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3DF7FD85-8D99-4D87-AE90-9D7C5D50F891}" xr6:coauthVersionLast="47" xr6:coauthVersionMax="47" xr10:uidLastSave="{00000000-0000-0000-0000-000000000000}"/>
  <bookViews>
    <workbookView xWindow="1950" yWindow="1950" windowWidth="21600" windowHeight="11385" xr2:uid="{F03D0505-575F-46B2-B919-6D62A8C7C4E8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14" i="1" l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<sst xmlns="http://schemas.openxmlformats.org/spreadsheetml/2006/main" count="15" uniqueCount="15">
  <si>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MODEL\SCENARIOS\2022\Parameterstudy_perm_storV_dT\perm10_V200_dt40.sr3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</si>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</sst>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77D3CB-DAB8-419C-BE61-3D35601D330A}" name="Table1" displayName="Table1" ref="A3:N1414" totalsRowShown="0">
  <autoFilter ref="A3:N1414" xr:uid="{9E77D3CB-DAB8-419C-BE61-3D35601D330A}"/>
  <tableColumns count="14">
    <tableColumn id="1" xr3:uid="{176F8ECF-B55F-4370-AA76-4377C540EFC7}" name="Time (day)"/>
    <tableColumn id="2" xr3:uid="{722E4E96-1A95-4C25-B9A6-3C563E4AD86F}" name="Date" dataDxfId="0"/>
    <tableColumn id="3" xr3:uid="{7C1BC676-ECD0-49F9-BA32-AEC59B485213}" name="Hot well INJ-Well bottom hole temperature (C)"/>
    <tableColumn id="4" xr3:uid="{15C1B761-1085-4644-8C62-0159B5855E26}" name="Hot well PROD-Well bottom hole temperature (C)"/>
    <tableColumn id="5" xr3:uid="{4DF9794E-5B30-4AD4-8707-EAD28FBC3B62}" name="Warm well INJ-Well bottom hole temperature (C)"/>
    <tableColumn id="6" xr3:uid="{195684CC-364F-4B74-B5AC-4868B89B4B93}" name="Warm well PROD-Well bottom hole temperature (C)"/>
    <tableColumn id="7" xr3:uid="{B8545CDD-7086-4DE0-9B5E-D104839177E1}" name="Hot well INJ-Well Bottom-hole Pressure (kPa)"/>
    <tableColumn id="8" xr3:uid="{32033A95-F93A-426E-8B29-FE4B56682C9F}" name="Hot well PROD-Well Bottom-hole Pressure (kPa)"/>
    <tableColumn id="9" xr3:uid="{46230DC9-932E-4CEA-9B75-AC19320DD9A2}" name="Warm well INJ-Well Bottom-hole Pressure (kPa)"/>
    <tableColumn id="10" xr3:uid="{BB4434B7-DFEA-49D4-95D0-BCDA314631FE}" name="Warm well PROD-Well Bottom-hole Pressure (kPa)"/>
    <tableColumn id="11" xr3:uid="{D2554E47-ED67-48AD-B943-79E3B322A9AB}" name="Hot well INJ-Fluid Rate SC (m³/day)"/>
    <tableColumn id="12" xr3:uid="{C4C635FD-CA3A-4460-B62B-2A3AE3EA2079}" name="Hot well PROD-Fluid Rate SC (m³/day)"/>
    <tableColumn id="13" xr3:uid="{20C1406E-111F-468B-9270-A5E0503F11E2}" name="Warm well INJ-Fluid Rate SC (m³/day)"/>
    <tableColumn id="14" xr3:uid="{17E58FB8-F25B-4C93-BEDE-5619FB4690E8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59B1F-ACD9-4269-97B8-930FA7CDB955}">
  <dimension ref="A1:N1414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15.000026703</v>
      </c>
      <c r="E4">
        <v>40</v>
      </c>
      <c r="F4">
        <v>14.999989510000001</v>
      </c>
      <c r="G4">
        <v>1338.5447998</v>
      </c>
      <c r="H4">
        <v>1329.5102539</v>
      </c>
      <c r="I4">
        <v>1329.3094481999999</v>
      </c>
      <c r="J4">
        <v>1320.2741699000001</v>
      </c>
      <c r="K4">
        <v>550</v>
      </c>
      <c r="L4">
        <v>0</v>
      </c>
      <c r="M4">
        <v>0</v>
      </c>
      <c r="N4">
        <v>550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15.000106812</v>
      </c>
      <c r="E5">
        <v>40</v>
      </c>
      <c r="F5">
        <v>14.999960899</v>
      </c>
      <c r="G5">
        <v>1338.8294678</v>
      </c>
      <c r="H5">
        <v>1329.7949219</v>
      </c>
      <c r="I5">
        <v>1329.026001</v>
      </c>
      <c r="J5">
        <v>1319.9908447</v>
      </c>
      <c r="K5">
        <v>550</v>
      </c>
      <c r="L5">
        <v>0</v>
      </c>
      <c r="M5">
        <v>0</v>
      </c>
      <c r="N5">
        <v>550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15.000332832</v>
      </c>
      <c r="E6">
        <v>40</v>
      </c>
      <c r="F6">
        <v>14.999885559000001</v>
      </c>
      <c r="G6">
        <v>1339.557251</v>
      </c>
      <c r="H6">
        <v>1330.5227050999999</v>
      </c>
      <c r="I6">
        <v>1328.3013916</v>
      </c>
      <c r="J6">
        <v>1319.2661132999999</v>
      </c>
      <c r="K6">
        <v>550</v>
      </c>
      <c r="L6">
        <v>0</v>
      </c>
      <c r="M6">
        <v>0</v>
      </c>
      <c r="N6">
        <v>550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15.000941277000001</v>
      </c>
      <c r="E7">
        <v>40</v>
      </c>
      <c r="F7">
        <v>14.999732018</v>
      </c>
      <c r="G7">
        <v>1341.0604248</v>
      </c>
      <c r="H7">
        <v>1332.0258789</v>
      </c>
      <c r="I7">
        <v>1326.8046875</v>
      </c>
      <c r="J7">
        <v>1317.7694091999999</v>
      </c>
      <c r="K7">
        <v>550</v>
      </c>
      <c r="L7">
        <v>0</v>
      </c>
      <c r="M7">
        <v>0</v>
      </c>
      <c r="N7">
        <v>550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15.002534866</v>
      </c>
      <c r="E8">
        <v>40</v>
      </c>
      <c r="F8">
        <v>14.999501228</v>
      </c>
      <c r="G8">
        <v>1343.3186035000001</v>
      </c>
      <c r="H8">
        <v>1334.2844238</v>
      </c>
      <c r="I8">
        <v>1324.5559082</v>
      </c>
      <c r="J8">
        <v>1315.5205077999999</v>
      </c>
      <c r="K8">
        <v>550</v>
      </c>
      <c r="L8">
        <v>0</v>
      </c>
      <c r="M8">
        <v>0</v>
      </c>
      <c r="N8">
        <v>550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15.006881714</v>
      </c>
      <c r="E9">
        <v>40</v>
      </c>
      <c r="F9">
        <v>14.999238968</v>
      </c>
      <c r="G9">
        <v>1345.8796387</v>
      </c>
      <c r="H9">
        <v>1336.8465576000001</v>
      </c>
      <c r="I9">
        <v>1322.0045166</v>
      </c>
      <c r="J9">
        <v>1312.9691161999999</v>
      </c>
      <c r="K9">
        <v>550</v>
      </c>
      <c r="L9">
        <v>0</v>
      </c>
      <c r="M9">
        <v>0</v>
      </c>
      <c r="N9">
        <v>550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15.019393921000001</v>
      </c>
      <c r="E10">
        <v>40</v>
      </c>
      <c r="F10">
        <v>14.998975754</v>
      </c>
      <c r="G10">
        <v>1348.4440918</v>
      </c>
      <c r="H10">
        <v>1339.4138184000001</v>
      </c>
      <c r="I10">
        <v>1319.4471435999999</v>
      </c>
      <c r="J10">
        <v>1310.4117432</v>
      </c>
      <c r="K10">
        <v>550</v>
      </c>
      <c r="L10">
        <v>0</v>
      </c>
      <c r="M10">
        <v>0</v>
      </c>
      <c r="N10">
        <v>550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15.056358337000001</v>
      </c>
      <c r="E11">
        <v>40</v>
      </c>
      <c r="F11">
        <v>14.998735428</v>
      </c>
      <c r="G11">
        <v>1350.7821045000001</v>
      </c>
      <c r="H11">
        <v>1341.7604980000001</v>
      </c>
      <c r="I11">
        <v>1317.1081543</v>
      </c>
      <c r="J11">
        <v>1308.0727539</v>
      </c>
      <c r="K11">
        <v>550</v>
      </c>
      <c r="L11">
        <v>0</v>
      </c>
      <c r="M11">
        <v>0</v>
      </c>
      <c r="N11">
        <v>550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15.166532516</v>
      </c>
      <c r="E12">
        <v>40</v>
      </c>
      <c r="F12">
        <v>14.998561859</v>
      </c>
      <c r="G12">
        <v>1352.458374</v>
      </c>
      <c r="H12">
        <v>1343.4624022999999</v>
      </c>
      <c r="I12">
        <v>1315.4079589999999</v>
      </c>
      <c r="J12">
        <v>1306.3725586</v>
      </c>
      <c r="K12">
        <v>550</v>
      </c>
      <c r="L12">
        <v>0</v>
      </c>
      <c r="M12">
        <v>0</v>
      </c>
      <c r="N12">
        <v>550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80</v>
      </c>
      <c r="D13">
        <v>15.495047569</v>
      </c>
      <c r="E13">
        <v>40</v>
      </c>
      <c r="F13">
        <v>14.998472214</v>
      </c>
      <c r="G13">
        <v>1353.2675781</v>
      </c>
      <c r="H13">
        <v>1344.3475341999999</v>
      </c>
      <c r="I13">
        <v>1314.5083007999999</v>
      </c>
      <c r="J13">
        <v>1305.4729004000001</v>
      </c>
      <c r="K13">
        <v>550</v>
      </c>
      <c r="L13">
        <v>0</v>
      </c>
      <c r="M13">
        <v>0</v>
      </c>
      <c r="N13">
        <v>550</v>
      </c>
    </row>
    <row r="14" spans="1:14" x14ac:dyDescent="0.25">
      <c r="A14">
        <v>8.8572999999999999E-2</v>
      </c>
      <c r="B14" s="1">
        <f>DATE(2010,5,1) + TIME(2,7,32)</f>
        <v>40299.088564814818</v>
      </c>
      <c r="C14">
        <v>80</v>
      </c>
      <c r="D14">
        <v>16.467594147</v>
      </c>
      <c r="E14">
        <v>40</v>
      </c>
      <c r="F14">
        <v>14.998448372</v>
      </c>
      <c r="G14">
        <v>1353.3138428</v>
      </c>
      <c r="H14">
        <v>1344.6120605000001</v>
      </c>
      <c r="I14">
        <v>1314.1925048999999</v>
      </c>
      <c r="J14">
        <v>1305.1569824000001</v>
      </c>
      <c r="K14">
        <v>550</v>
      </c>
      <c r="L14">
        <v>0</v>
      </c>
      <c r="M14">
        <v>0</v>
      </c>
      <c r="N14">
        <v>550</v>
      </c>
    </row>
    <row r="15" spans="1:14" x14ac:dyDescent="0.25">
      <c r="A15">
        <v>0.14928900000000001</v>
      </c>
      <c r="B15" s="1">
        <f>DATE(2010,5,1) + TIME(3,34,58)</f>
        <v>40299.149282407408</v>
      </c>
      <c r="C15">
        <v>80</v>
      </c>
      <c r="D15">
        <v>17.455448150999999</v>
      </c>
      <c r="E15">
        <v>40</v>
      </c>
      <c r="F15">
        <v>14.998452187</v>
      </c>
      <c r="G15">
        <v>1353.1014404</v>
      </c>
      <c r="H15">
        <v>1344.6024170000001</v>
      </c>
      <c r="I15">
        <v>1314.1488036999999</v>
      </c>
      <c r="J15">
        <v>1305.1129149999999</v>
      </c>
      <c r="K15">
        <v>550</v>
      </c>
      <c r="L15">
        <v>0</v>
      </c>
      <c r="M15">
        <v>0</v>
      </c>
      <c r="N15">
        <v>550</v>
      </c>
    </row>
    <row r="16" spans="1:14" x14ac:dyDescent="0.25">
      <c r="A16">
        <v>0.21075099999999999</v>
      </c>
      <c r="B16" s="1">
        <f>DATE(2010,5,1) + TIME(5,3,28)</f>
        <v>40299.210740740738</v>
      </c>
      <c r="C16">
        <v>80</v>
      </c>
      <c r="D16">
        <v>18.443370818999998</v>
      </c>
      <c r="E16">
        <v>40</v>
      </c>
      <c r="F16">
        <v>14.998459816</v>
      </c>
      <c r="G16">
        <v>1352.8466797000001</v>
      </c>
      <c r="H16">
        <v>1344.5407714999999</v>
      </c>
      <c r="I16">
        <v>1314.1470947</v>
      </c>
      <c r="J16">
        <v>1305.1107178</v>
      </c>
      <c r="K16">
        <v>550</v>
      </c>
      <c r="L16">
        <v>0</v>
      </c>
      <c r="M16">
        <v>0</v>
      </c>
      <c r="N16">
        <v>550</v>
      </c>
    </row>
    <row r="17" spans="1:14" x14ac:dyDescent="0.25">
      <c r="A17">
        <v>0.27296500000000001</v>
      </c>
      <c r="B17" s="1">
        <f>DATE(2010,5,1) + TIME(6,33,4)</f>
        <v>40299.272962962961</v>
      </c>
      <c r="C17">
        <v>80</v>
      </c>
      <c r="D17">
        <v>19.431171417000002</v>
      </c>
      <c r="E17">
        <v>40</v>
      </c>
      <c r="F17">
        <v>14.998468399</v>
      </c>
      <c r="G17">
        <v>1352.5911865</v>
      </c>
      <c r="H17">
        <v>1344.4692382999999</v>
      </c>
      <c r="I17">
        <v>1314.1508789</v>
      </c>
      <c r="J17">
        <v>1305.1141356999999</v>
      </c>
      <c r="K17">
        <v>550</v>
      </c>
      <c r="L17">
        <v>0</v>
      </c>
      <c r="M17">
        <v>0</v>
      </c>
      <c r="N17">
        <v>550</v>
      </c>
    </row>
    <row r="18" spans="1:14" x14ac:dyDescent="0.25">
      <c r="A18">
        <v>0.335947</v>
      </c>
      <c r="B18" s="1">
        <f>DATE(2010,5,1) + TIME(8,3,45)</f>
        <v>40299.3359375</v>
      </c>
      <c r="C18">
        <v>80</v>
      </c>
      <c r="D18">
        <v>20.419212341000001</v>
      </c>
      <c r="E18">
        <v>40</v>
      </c>
      <c r="F18">
        <v>14.998476028000001</v>
      </c>
      <c r="G18">
        <v>1352.3449707</v>
      </c>
      <c r="H18">
        <v>1344.3985596</v>
      </c>
      <c r="I18">
        <v>1314.1545410000001</v>
      </c>
      <c r="J18">
        <v>1305.1173096</v>
      </c>
      <c r="K18">
        <v>550</v>
      </c>
      <c r="L18">
        <v>0</v>
      </c>
      <c r="M18">
        <v>0</v>
      </c>
      <c r="N18">
        <v>550</v>
      </c>
    </row>
    <row r="19" spans="1:14" x14ac:dyDescent="0.25">
      <c r="A19">
        <v>0.39969199999999999</v>
      </c>
      <c r="B19" s="1">
        <f>DATE(2010,5,1) + TIME(9,35,33)</f>
        <v>40299.399687500001</v>
      </c>
      <c r="C19">
        <v>80</v>
      </c>
      <c r="D19">
        <v>21.407260895</v>
      </c>
      <c r="E19">
        <v>40</v>
      </c>
      <c r="F19">
        <v>14.998484612</v>
      </c>
      <c r="G19">
        <v>1352.1105957</v>
      </c>
      <c r="H19">
        <v>1344.331543</v>
      </c>
      <c r="I19">
        <v>1314.1577147999999</v>
      </c>
      <c r="J19">
        <v>1305.1199951000001</v>
      </c>
      <c r="K19">
        <v>550</v>
      </c>
      <c r="L19">
        <v>0</v>
      </c>
      <c r="M19">
        <v>0</v>
      </c>
      <c r="N19">
        <v>550</v>
      </c>
    </row>
    <row r="20" spans="1:14" x14ac:dyDescent="0.25">
      <c r="A20">
        <v>0.46420699999999998</v>
      </c>
      <c r="B20" s="1">
        <f>DATE(2010,5,1) + TIME(11,8,27)</f>
        <v>40299.464201388888</v>
      </c>
      <c r="C20">
        <v>80</v>
      </c>
      <c r="D20">
        <v>22.394674300999998</v>
      </c>
      <c r="E20">
        <v>40</v>
      </c>
      <c r="F20">
        <v>14.998492240999999</v>
      </c>
      <c r="G20">
        <v>1351.8885498</v>
      </c>
      <c r="H20">
        <v>1344.2689209</v>
      </c>
      <c r="I20">
        <v>1314.1605225000001</v>
      </c>
      <c r="J20">
        <v>1305.1220702999999</v>
      </c>
      <c r="K20">
        <v>550</v>
      </c>
      <c r="L20">
        <v>0</v>
      </c>
      <c r="M20">
        <v>0</v>
      </c>
      <c r="N20">
        <v>550</v>
      </c>
    </row>
    <row r="21" spans="1:14" x14ac:dyDescent="0.25">
      <c r="A21">
        <v>0.52954500000000004</v>
      </c>
      <c r="B21" s="1">
        <f>DATE(2010,5,1) + TIME(12,42,32)</f>
        <v>40299.529537037037</v>
      </c>
      <c r="C21">
        <v>80</v>
      </c>
      <c r="D21">
        <v>23.381929398</v>
      </c>
      <c r="E21">
        <v>40</v>
      </c>
      <c r="F21">
        <v>14.998500824000001</v>
      </c>
      <c r="G21">
        <v>1351.6783447</v>
      </c>
      <c r="H21">
        <v>1344.2110596</v>
      </c>
      <c r="I21">
        <v>1314.1630858999999</v>
      </c>
      <c r="J21">
        <v>1305.1240233999999</v>
      </c>
      <c r="K21">
        <v>550</v>
      </c>
      <c r="L21">
        <v>0</v>
      </c>
      <c r="M21">
        <v>0</v>
      </c>
      <c r="N21">
        <v>550</v>
      </c>
    </row>
    <row r="22" spans="1:14" x14ac:dyDescent="0.25">
      <c r="A22">
        <v>0.59572599999999998</v>
      </c>
      <c r="B22" s="1">
        <f>DATE(2010,5,1) + TIME(14,17,50)</f>
        <v>40299.595717592594</v>
      </c>
      <c r="C22">
        <v>80</v>
      </c>
      <c r="D22">
        <v>24.369014740000001</v>
      </c>
      <c r="E22">
        <v>40</v>
      </c>
      <c r="F22">
        <v>14.998508452999999</v>
      </c>
      <c r="G22">
        <v>1351.4797363</v>
      </c>
      <c r="H22">
        <v>1344.1578368999999</v>
      </c>
      <c r="I22">
        <v>1314.1655272999999</v>
      </c>
      <c r="J22">
        <v>1305.1258545000001</v>
      </c>
      <c r="K22">
        <v>550</v>
      </c>
      <c r="L22">
        <v>0</v>
      </c>
      <c r="M22">
        <v>0</v>
      </c>
      <c r="N22">
        <v>550</v>
      </c>
    </row>
    <row r="23" spans="1:14" x14ac:dyDescent="0.25">
      <c r="A23">
        <v>0.66277399999999997</v>
      </c>
      <c r="B23" s="1">
        <f>DATE(2010,5,1) + TIME(15,54,23)</f>
        <v>40299.662766203706</v>
      </c>
      <c r="C23">
        <v>80</v>
      </c>
      <c r="D23">
        <v>25.356163025000001</v>
      </c>
      <c r="E23">
        <v>40</v>
      </c>
      <c r="F23">
        <v>14.998517036000001</v>
      </c>
      <c r="G23">
        <v>1351.2921143000001</v>
      </c>
      <c r="H23">
        <v>1344.1090088000001</v>
      </c>
      <c r="I23">
        <v>1314.1679687999999</v>
      </c>
      <c r="J23">
        <v>1305.1275635</v>
      </c>
      <c r="K23">
        <v>550</v>
      </c>
      <c r="L23">
        <v>0</v>
      </c>
      <c r="M23">
        <v>0</v>
      </c>
      <c r="N23">
        <v>550</v>
      </c>
    </row>
    <row r="24" spans="1:14" x14ac:dyDescent="0.25">
      <c r="A24">
        <v>0.73069399999999995</v>
      </c>
      <c r="B24" s="1">
        <f>DATE(2010,5,1) + TIME(17,32,11)</f>
        <v>40299.730682870373</v>
      </c>
      <c r="C24">
        <v>80</v>
      </c>
      <c r="D24">
        <v>26.343317032000002</v>
      </c>
      <c r="E24">
        <v>40</v>
      </c>
      <c r="F24">
        <v>14.998524666</v>
      </c>
      <c r="G24">
        <v>1351.1148682</v>
      </c>
      <c r="H24">
        <v>1344.0644531</v>
      </c>
      <c r="I24">
        <v>1314.1702881000001</v>
      </c>
      <c r="J24">
        <v>1305.1291504000001</v>
      </c>
      <c r="K24">
        <v>550</v>
      </c>
      <c r="L24">
        <v>0</v>
      </c>
      <c r="M24">
        <v>0</v>
      </c>
      <c r="N24">
        <v>550</v>
      </c>
    </row>
    <row r="25" spans="1:14" x14ac:dyDescent="0.25">
      <c r="A25">
        <v>0.79949800000000004</v>
      </c>
      <c r="B25" s="1">
        <f>DATE(2010,5,1) + TIME(19,11,16)</f>
        <v>40299.799490740741</v>
      </c>
      <c r="C25">
        <v>80</v>
      </c>
      <c r="D25">
        <v>27.329858779999999</v>
      </c>
      <c r="E25">
        <v>40</v>
      </c>
      <c r="F25">
        <v>14.998533248999999</v>
      </c>
      <c r="G25">
        <v>1350.947876</v>
      </c>
      <c r="H25">
        <v>1344.0240478999999</v>
      </c>
      <c r="I25">
        <v>1314.1726074000001</v>
      </c>
      <c r="J25">
        <v>1305.1307373</v>
      </c>
      <c r="K25">
        <v>550</v>
      </c>
      <c r="L25">
        <v>0</v>
      </c>
      <c r="M25">
        <v>0</v>
      </c>
      <c r="N25">
        <v>550</v>
      </c>
    </row>
    <row r="26" spans="1:14" x14ac:dyDescent="0.25">
      <c r="A26">
        <v>0.86924000000000001</v>
      </c>
      <c r="B26" s="1">
        <f>DATE(2010,5,1) + TIME(20,51,42)</f>
        <v>40299.86923611111</v>
      </c>
      <c r="C26">
        <v>80</v>
      </c>
      <c r="D26">
        <v>28.316183089999999</v>
      </c>
      <c r="E26">
        <v>40</v>
      </c>
      <c r="F26">
        <v>14.998540878</v>
      </c>
      <c r="G26">
        <v>1350.7902832</v>
      </c>
      <c r="H26">
        <v>1343.9875488</v>
      </c>
      <c r="I26">
        <v>1314.1749268000001</v>
      </c>
      <c r="J26">
        <v>1305.1322021000001</v>
      </c>
      <c r="K26">
        <v>550</v>
      </c>
      <c r="L26">
        <v>0</v>
      </c>
      <c r="M26">
        <v>0</v>
      </c>
      <c r="N26">
        <v>550</v>
      </c>
    </row>
    <row r="27" spans="1:14" x14ac:dyDescent="0.25">
      <c r="A27">
        <v>0.93994999999999995</v>
      </c>
      <c r="B27" s="1">
        <f>DATE(2010,5,1) + TIME(22,33,31)</f>
        <v>40299.939942129633</v>
      </c>
      <c r="C27">
        <v>80</v>
      </c>
      <c r="D27">
        <v>29.302276611</v>
      </c>
      <c r="E27">
        <v>40</v>
      </c>
      <c r="F27">
        <v>14.998549461</v>
      </c>
      <c r="G27">
        <v>1350.6418457</v>
      </c>
      <c r="H27">
        <v>1343.9548339999999</v>
      </c>
      <c r="I27">
        <v>1314.1772461</v>
      </c>
      <c r="J27">
        <v>1305.1335449000001</v>
      </c>
      <c r="K27">
        <v>550</v>
      </c>
      <c r="L27">
        <v>0</v>
      </c>
      <c r="M27">
        <v>0</v>
      </c>
      <c r="N27">
        <v>550</v>
      </c>
    </row>
    <row r="28" spans="1:14" x14ac:dyDescent="0.25">
      <c r="A28">
        <v>1.011657</v>
      </c>
      <c r="B28" s="1">
        <f>DATE(2010,5,2) + TIME(0,16,47)</f>
        <v>40300.011655092596</v>
      </c>
      <c r="C28">
        <v>80</v>
      </c>
      <c r="D28">
        <v>30.288190841999999</v>
      </c>
      <c r="E28">
        <v>40</v>
      </c>
      <c r="F28">
        <v>14.998557091</v>
      </c>
      <c r="G28">
        <v>1350.5019531</v>
      </c>
      <c r="H28">
        <v>1343.9256591999999</v>
      </c>
      <c r="I28">
        <v>1314.1795654</v>
      </c>
      <c r="J28">
        <v>1305.1348877</v>
      </c>
      <c r="K28">
        <v>550</v>
      </c>
      <c r="L28">
        <v>0</v>
      </c>
      <c r="M28">
        <v>0</v>
      </c>
      <c r="N28">
        <v>550</v>
      </c>
    </row>
    <row r="29" spans="1:14" x14ac:dyDescent="0.25">
      <c r="A29">
        <v>1.0843879999999999</v>
      </c>
      <c r="B29" s="1">
        <f>DATE(2010,5,2) + TIME(2,1,31)</f>
        <v>40300.084386574075</v>
      </c>
      <c r="C29">
        <v>80</v>
      </c>
      <c r="D29">
        <v>31.273937225000001</v>
      </c>
      <c r="E29">
        <v>40</v>
      </c>
      <c r="F29">
        <v>14.998565674</v>
      </c>
      <c r="G29">
        <v>1350.3704834</v>
      </c>
      <c r="H29">
        <v>1343.9000243999999</v>
      </c>
      <c r="I29">
        <v>1314.1818848</v>
      </c>
      <c r="J29">
        <v>1305.1362305</v>
      </c>
      <c r="K29">
        <v>550</v>
      </c>
      <c r="L29">
        <v>0</v>
      </c>
      <c r="M29">
        <v>0</v>
      </c>
      <c r="N29">
        <v>550</v>
      </c>
    </row>
    <row r="30" spans="1:14" x14ac:dyDescent="0.25">
      <c r="A30">
        <v>1.1581710000000001</v>
      </c>
      <c r="B30" s="1">
        <f>DATE(2010,5,2) + TIME(3,47,45)</f>
        <v>40300.158159722225</v>
      </c>
      <c r="C30">
        <v>80</v>
      </c>
      <c r="D30">
        <v>32.259250641000001</v>
      </c>
      <c r="E30">
        <v>40</v>
      </c>
      <c r="F30">
        <v>14.998573303000001</v>
      </c>
      <c r="G30">
        <v>1350.2468262</v>
      </c>
      <c r="H30">
        <v>1343.8775635</v>
      </c>
      <c r="I30">
        <v>1314.184082</v>
      </c>
      <c r="J30">
        <v>1305.1374512</v>
      </c>
      <c r="K30">
        <v>550</v>
      </c>
      <c r="L30">
        <v>0</v>
      </c>
      <c r="M30">
        <v>0</v>
      </c>
      <c r="N30">
        <v>550</v>
      </c>
    </row>
    <row r="31" spans="1:14" x14ac:dyDescent="0.25">
      <c r="A31">
        <v>1.2330540000000001</v>
      </c>
      <c r="B31" s="1">
        <f>DATE(2010,5,2) + TIME(5,35,35)</f>
        <v>40300.233043981483</v>
      </c>
      <c r="C31">
        <v>80</v>
      </c>
      <c r="D31">
        <v>33.244266510000003</v>
      </c>
      <c r="E31">
        <v>40</v>
      </c>
      <c r="F31">
        <v>14.998581886</v>
      </c>
      <c r="G31">
        <v>1350.1306152</v>
      </c>
      <c r="H31">
        <v>1343.8583983999999</v>
      </c>
      <c r="I31">
        <v>1314.1862793</v>
      </c>
      <c r="J31">
        <v>1305.1386719</v>
      </c>
      <c r="K31">
        <v>550</v>
      </c>
      <c r="L31">
        <v>0</v>
      </c>
      <c r="M31">
        <v>0</v>
      </c>
      <c r="N31">
        <v>550</v>
      </c>
    </row>
    <row r="32" spans="1:14" x14ac:dyDescent="0.25">
      <c r="A32">
        <v>1.3090759999999999</v>
      </c>
      <c r="B32" s="1">
        <f>DATE(2010,5,2) + TIME(7,25,4)</f>
        <v>40300.309074074074</v>
      </c>
      <c r="C32">
        <v>80</v>
      </c>
      <c r="D32">
        <v>34.228961945000002</v>
      </c>
      <c r="E32">
        <v>40</v>
      </c>
      <c r="F32">
        <v>14.998589515999999</v>
      </c>
      <c r="G32">
        <v>1350.0217285000001</v>
      </c>
      <c r="H32">
        <v>1343.8421631000001</v>
      </c>
      <c r="I32">
        <v>1314.1885986</v>
      </c>
      <c r="J32">
        <v>1305.1397704999999</v>
      </c>
      <c r="K32">
        <v>550</v>
      </c>
      <c r="L32">
        <v>0</v>
      </c>
      <c r="M32">
        <v>0</v>
      </c>
      <c r="N32">
        <v>550</v>
      </c>
    </row>
    <row r="33" spans="1:14" x14ac:dyDescent="0.25">
      <c r="A33">
        <v>1.386279</v>
      </c>
      <c r="B33" s="1">
        <f>DATE(2010,5,2) + TIME(9,16,14)</f>
        <v>40300.386273148149</v>
      </c>
      <c r="C33">
        <v>80</v>
      </c>
      <c r="D33">
        <v>35.213317871000001</v>
      </c>
      <c r="E33">
        <v>40</v>
      </c>
      <c r="F33">
        <v>14.998597145</v>
      </c>
      <c r="G33">
        <v>1349.9195557</v>
      </c>
      <c r="H33">
        <v>1343.8288574000001</v>
      </c>
      <c r="I33">
        <v>1314.1907959</v>
      </c>
      <c r="J33">
        <v>1305.1408690999999</v>
      </c>
      <c r="K33">
        <v>550</v>
      </c>
      <c r="L33">
        <v>0</v>
      </c>
      <c r="M33">
        <v>0</v>
      </c>
      <c r="N33">
        <v>550</v>
      </c>
    </row>
    <row r="34" spans="1:14" x14ac:dyDescent="0.25">
      <c r="A34">
        <v>1.464709</v>
      </c>
      <c r="B34" s="1">
        <f>DATE(2010,5,2) + TIME(11,9,10)</f>
        <v>40300.464699074073</v>
      </c>
      <c r="C34">
        <v>80</v>
      </c>
      <c r="D34">
        <v>36.197311401</v>
      </c>
      <c r="E34">
        <v>40</v>
      </c>
      <c r="F34">
        <v>14.998605727999999</v>
      </c>
      <c r="G34">
        <v>1349.8238524999999</v>
      </c>
      <c r="H34">
        <v>1343.8183594</v>
      </c>
      <c r="I34">
        <v>1314.1929932</v>
      </c>
      <c r="J34">
        <v>1305.1419678</v>
      </c>
      <c r="K34">
        <v>550</v>
      </c>
      <c r="L34">
        <v>0</v>
      </c>
      <c r="M34">
        <v>0</v>
      </c>
      <c r="N34">
        <v>550</v>
      </c>
    </row>
    <row r="35" spans="1:14" x14ac:dyDescent="0.25">
      <c r="A35">
        <v>1.544416</v>
      </c>
      <c r="B35" s="1">
        <f>DATE(2010,5,2) + TIME(13,3,57)</f>
        <v>40300.544409722221</v>
      </c>
      <c r="C35">
        <v>80</v>
      </c>
      <c r="D35">
        <v>37.180919647000003</v>
      </c>
      <c r="E35">
        <v>40</v>
      </c>
      <c r="F35">
        <v>14.998613358</v>
      </c>
      <c r="G35">
        <v>1349.7344971</v>
      </c>
      <c r="H35">
        <v>1343.8104248</v>
      </c>
      <c r="I35">
        <v>1314.1951904</v>
      </c>
      <c r="J35">
        <v>1305.1429443</v>
      </c>
      <c r="K35">
        <v>550</v>
      </c>
      <c r="L35">
        <v>0</v>
      </c>
      <c r="M35">
        <v>0</v>
      </c>
      <c r="N35">
        <v>550</v>
      </c>
    </row>
    <row r="36" spans="1:14" x14ac:dyDescent="0.25">
      <c r="A36">
        <v>1.6254500000000001</v>
      </c>
      <c r="B36" s="1">
        <f>DATE(2010,5,2) + TIME(15,0,38)</f>
        <v>40300.625439814816</v>
      </c>
      <c r="C36">
        <v>80</v>
      </c>
      <c r="D36">
        <v>38.164119720000002</v>
      </c>
      <c r="E36">
        <v>40</v>
      </c>
      <c r="F36">
        <v>14.998621941</v>
      </c>
      <c r="G36">
        <v>1349.651001</v>
      </c>
      <c r="H36">
        <v>1343.8050536999999</v>
      </c>
      <c r="I36">
        <v>1314.1975098</v>
      </c>
      <c r="J36">
        <v>1305.144043</v>
      </c>
      <c r="K36">
        <v>550</v>
      </c>
      <c r="L36">
        <v>0</v>
      </c>
      <c r="M36">
        <v>0</v>
      </c>
      <c r="N36">
        <v>550</v>
      </c>
    </row>
    <row r="37" spans="1:14" x14ac:dyDescent="0.25">
      <c r="A37">
        <v>1.7078690000000001</v>
      </c>
      <c r="B37" s="1">
        <f>DATE(2010,5,2) + TIME(16,59,19)</f>
        <v>40300.707858796297</v>
      </c>
      <c r="C37">
        <v>80</v>
      </c>
      <c r="D37">
        <v>39.146877289000003</v>
      </c>
      <c r="E37">
        <v>40</v>
      </c>
      <c r="F37">
        <v>14.99862957</v>
      </c>
      <c r="G37">
        <v>1349.5732422000001</v>
      </c>
      <c r="H37">
        <v>1343.802124</v>
      </c>
      <c r="I37">
        <v>1314.199707</v>
      </c>
      <c r="J37">
        <v>1305.1448975000001</v>
      </c>
      <c r="K37">
        <v>550</v>
      </c>
      <c r="L37">
        <v>0</v>
      </c>
      <c r="M37">
        <v>0</v>
      </c>
      <c r="N37">
        <v>550</v>
      </c>
    </row>
    <row r="38" spans="1:14" x14ac:dyDescent="0.25">
      <c r="A38">
        <v>1.7917339999999999</v>
      </c>
      <c r="B38" s="1">
        <f>DATE(2010,5,2) + TIME(19,0,5)</f>
        <v>40300.791724537034</v>
      </c>
      <c r="C38">
        <v>80</v>
      </c>
      <c r="D38">
        <v>40.129203795999999</v>
      </c>
      <c r="E38">
        <v>40</v>
      </c>
      <c r="F38">
        <v>14.998637198999999</v>
      </c>
      <c r="G38">
        <v>1349.5007324000001</v>
      </c>
      <c r="H38">
        <v>1343.8013916</v>
      </c>
      <c r="I38">
        <v>1314.2019043</v>
      </c>
      <c r="J38">
        <v>1305.145874</v>
      </c>
      <c r="K38">
        <v>550</v>
      </c>
      <c r="L38">
        <v>0</v>
      </c>
      <c r="M38">
        <v>0</v>
      </c>
      <c r="N38">
        <v>550</v>
      </c>
    </row>
    <row r="39" spans="1:14" x14ac:dyDescent="0.25">
      <c r="A39">
        <v>1.877108</v>
      </c>
      <c r="B39" s="1">
        <f>DATE(2010,5,2) + TIME(21,3,2)</f>
        <v>40300.877106481479</v>
      </c>
      <c r="C39">
        <v>80</v>
      </c>
      <c r="D39">
        <v>41.111206054999997</v>
      </c>
      <c r="E39">
        <v>40</v>
      </c>
      <c r="F39">
        <v>14.998645782000001</v>
      </c>
      <c r="G39">
        <v>1349.4334716999999</v>
      </c>
      <c r="H39">
        <v>1343.8028564000001</v>
      </c>
      <c r="I39">
        <v>1314.2042236</v>
      </c>
      <c r="J39">
        <v>1305.1467285000001</v>
      </c>
      <c r="K39">
        <v>550</v>
      </c>
      <c r="L39">
        <v>0</v>
      </c>
      <c r="M39">
        <v>0</v>
      </c>
      <c r="N39">
        <v>550</v>
      </c>
    </row>
    <row r="40" spans="1:14" x14ac:dyDescent="0.25">
      <c r="A40">
        <v>1.9640470000000001</v>
      </c>
      <c r="B40" s="1">
        <f>DATE(2010,5,2) + TIME(23,8,13)</f>
        <v>40300.964039351849</v>
      </c>
      <c r="C40">
        <v>80</v>
      </c>
      <c r="D40">
        <v>42.092491150000001</v>
      </c>
      <c r="E40">
        <v>40</v>
      </c>
      <c r="F40">
        <v>14.998653411999999</v>
      </c>
      <c r="G40">
        <v>1349.3712158000001</v>
      </c>
      <c r="H40">
        <v>1343.8063964999999</v>
      </c>
      <c r="I40">
        <v>1314.2064209</v>
      </c>
      <c r="J40">
        <v>1305.1475829999999</v>
      </c>
      <c r="K40">
        <v>550</v>
      </c>
      <c r="L40">
        <v>0</v>
      </c>
      <c r="M40">
        <v>0</v>
      </c>
      <c r="N40">
        <v>550</v>
      </c>
    </row>
    <row r="41" spans="1:14" x14ac:dyDescent="0.25">
      <c r="A41">
        <v>2.0526439999999999</v>
      </c>
      <c r="B41" s="1">
        <f>DATE(2010,5,3) + TIME(1,15,48)</f>
        <v>40301.05263888889</v>
      </c>
      <c r="C41">
        <v>80</v>
      </c>
      <c r="D41">
        <v>43.073211669999999</v>
      </c>
      <c r="E41">
        <v>40</v>
      </c>
      <c r="F41">
        <v>14.998661995000001</v>
      </c>
      <c r="G41">
        <v>1349.3135986</v>
      </c>
      <c r="H41">
        <v>1343.8120117000001</v>
      </c>
      <c r="I41">
        <v>1314.2087402</v>
      </c>
      <c r="J41">
        <v>1305.1484375</v>
      </c>
      <c r="K41">
        <v>550</v>
      </c>
      <c r="L41">
        <v>0</v>
      </c>
      <c r="M41">
        <v>0</v>
      </c>
      <c r="N41">
        <v>550</v>
      </c>
    </row>
    <row r="42" spans="1:14" x14ac:dyDescent="0.25">
      <c r="A42">
        <v>2.1429819999999999</v>
      </c>
      <c r="B42" s="1">
        <f>DATE(2010,5,3) + TIME(3,25,53)</f>
        <v>40301.142974537041</v>
      </c>
      <c r="C42">
        <v>80</v>
      </c>
      <c r="D42">
        <v>44.053337096999996</v>
      </c>
      <c r="E42">
        <v>40</v>
      </c>
      <c r="F42">
        <v>14.998669624</v>
      </c>
      <c r="G42">
        <v>1349.260376</v>
      </c>
      <c r="H42">
        <v>1343.8193358999999</v>
      </c>
      <c r="I42">
        <v>1314.2109375</v>
      </c>
      <c r="J42">
        <v>1305.1492920000001</v>
      </c>
      <c r="K42">
        <v>550</v>
      </c>
      <c r="L42">
        <v>0</v>
      </c>
      <c r="M42">
        <v>0</v>
      </c>
      <c r="N42">
        <v>550</v>
      </c>
    </row>
    <row r="43" spans="1:14" x14ac:dyDescent="0.25">
      <c r="A43">
        <v>2.2351529999999999</v>
      </c>
      <c r="B43" s="1">
        <f>DATE(2010,5,3) + TIME(5,38,37)</f>
        <v>40301.235150462962</v>
      </c>
      <c r="C43">
        <v>80</v>
      </c>
      <c r="D43">
        <v>45.032825469999999</v>
      </c>
      <c r="E43">
        <v>40</v>
      </c>
      <c r="F43">
        <v>14.998678206999999</v>
      </c>
      <c r="G43">
        <v>1349.2115478999999</v>
      </c>
      <c r="H43">
        <v>1343.8286132999999</v>
      </c>
      <c r="I43">
        <v>1314.2132568</v>
      </c>
      <c r="J43">
        <v>1305.1500243999999</v>
      </c>
      <c r="K43">
        <v>550</v>
      </c>
      <c r="L43">
        <v>0</v>
      </c>
      <c r="M43">
        <v>0</v>
      </c>
      <c r="N43">
        <v>550</v>
      </c>
    </row>
    <row r="44" spans="1:14" x14ac:dyDescent="0.25">
      <c r="A44">
        <v>2.329253</v>
      </c>
      <c r="B44" s="1">
        <f>DATE(2010,5,3) + TIME(7,54,7)</f>
        <v>40301.329247685186</v>
      </c>
      <c r="C44">
        <v>80</v>
      </c>
      <c r="D44">
        <v>46.011634827000002</v>
      </c>
      <c r="E44">
        <v>40</v>
      </c>
      <c r="F44">
        <v>14.998685837</v>
      </c>
      <c r="G44">
        <v>1349.1667480000001</v>
      </c>
      <c r="H44">
        <v>1343.8393555</v>
      </c>
      <c r="I44">
        <v>1314.2155762</v>
      </c>
      <c r="J44">
        <v>1305.1508789</v>
      </c>
      <c r="K44">
        <v>550</v>
      </c>
      <c r="L44">
        <v>0</v>
      </c>
      <c r="M44">
        <v>0</v>
      </c>
      <c r="N44">
        <v>550</v>
      </c>
    </row>
    <row r="45" spans="1:14" x14ac:dyDescent="0.25">
      <c r="A45">
        <v>2.4253909999999999</v>
      </c>
      <c r="B45" s="1">
        <f>DATE(2010,5,3) + TIME(10,12,33)</f>
        <v>40301.425381944442</v>
      </c>
      <c r="C45">
        <v>80</v>
      </c>
      <c r="D45">
        <v>46.989715576000002</v>
      </c>
      <c r="E45">
        <v>40</v>
      </c>
      <c r="F45">
        <v>14.99869442</v>
      </c>
      <c r="G45">
        <v>1349.1258545000001</v>
      </c>
      <c r="H45">
        <v>1343.8518065999999</v>
      </c>
      <c r="I45">
        <v>1314.2178954999999</v>
      </c>
      <c r="J45">
        <v>1305.1516113</v>
      </c>
      <c r="K45">
        <v>550</v>
      </c>
      <c r="L45">
        <v>0</v>
      </c>
      <c r="M45">
        <v>0</v>
      </c>
      <c r="N45">
        <v>550</v>
      </c>
    </row>
    <row r="46" spans="1:14" x14ac:dyDescent="0.25">
      <c r="A46">
        <v>2.5236830000000001</v>
      </c>
      <c r="B46" s="1">
        <f>DATE(2010,5,3) + TIME(12,34,6)</f>
        <v>40301.523680555554</v>
      </c>
      <c r="C46">
        <v>80</v>
      </c>
      <c r="D46">
        <v>47.967025757000002</v>
      </c>
      <c r="E46">
        <v>40</v>
      </c>
      <c r="F46">
        <v>14.998702049</v>
      </c>
      <c r="G46">
        <v>1349.0886230000001</v>
      </c>
      <c r="H46">
        <v>1343.8658447</v>
      </c>
      <c r="I46">
        <v>1314.2202147999999</v>
      </c>
      <c r="J46">
        <v>1305.1523437999999</v>
      </c>
      <c r="K46">
        <v>550</v>
      </c>
      <c r="L46">
        <v>0</v>
      </c>
      <c r="M46">
        <v>0</v>
      </c>
      <c r="N46">
        <v>550</v>
      </c>
    </row>
    <row r="47" spans="1:14" x14ac:dyDescent="0.25">
      <c r="A47">
        <v>2.6242570000000001</v>
      </c>
      <c r="B47" s="1">
        <f>DATE(2010,5,3) + TIME(14,58,55)</f>
        <v>40301.624247685184</v>
      </c>
      <c r="C47">
        <v>80</v>
      </c>
      <c r="D47">
        <v>48.943508147999999</v>
      </c>
      <c r="E47">
        <v>40</v>
      </c>
      <c r="F47">
        <v>14.998710632</v>
      </c>
      <c r="G47">
        <v>1349.0549315999999</v>
      </c>
      <c r="H47">
        <v>1343.8812256000001</v>
      </c>
      <c r="I47">
        <v>1314.2226562000001</v>
      </c>
      <c r="J47">
        <v>1305.1530762</v>
      </c>
      <c r="K47">
        <v>550</v>
      </c>
      <c r="L47">
        <v>0</v>
      </c>
      <c r="M47">
        <v>0</v>
      </c>
      <c r="N47">
        <v>550</v>
      </c>
    </row>
    <row r="48" spans="1:14" x14ac:dyDescent="0.25">
      <c r="A48">
        <v>2.7272539999999998</v>
      </c>
      <c r="B48" s="1">
        <f>DATE(2010,5,3) + TIME(17,27,14)</f>
        <v>40301.72724537037</v>
      </c>
      <c r="C48">
        <v>80</v>
      </c>
      <c r="D48">
        <v>49.919105530000003</v>
      </c>
      <c r="E48">
        <v>40</v>
      </c>
      <c r="F48">
        <v>14.998718262000001</v>
      </c>
      <c r="G48">
        <v>1349.0246582</v>
      </c>
      <c r="H48">
        <v>1343.8978271000001</v>
      </c>
      <c r="I48">
        <v>1314.2250977000001</v>
      </c>
      <c r="J48">
        <v>1305.1538086</v>
      </c>
      <c r="K48">
        <v>550</v>
      </c>
      <c r="L48">
        <v>0</v>
      </c>
      <c r="M48">
        <v>0</v>
      </c>
      <c r="N48">
        <v>550</v>
      </c>
    </row>
    <row r="49" spans="1:14" x14ac:dyDescent="0.25">
      <c r="A49">
        <v>2.8328259999999998</v>
      </c>
      <c r="B49" s="1">
        <f>DATE(2010,5,3) + TIME(19,59,16)</f>
        <v>40301.832824074074</v>
      </c>
      <c r="C49">
        <v>80</v>
      </c>
      <c r="D49">
        <v>50.893329620000003</v>
      </c>
      <c r="E49">
        <v>40</v>
      </c>
      <c r="F49">
        <v>14.998726845</v>
      </c>
      <c r="G49">
        <v>1348.9975586</v>
      </c>
      <c r="H49">
        <v>1343.9157714999999</v>
      </c>
      <c r="I49">
        <v>1314.2275391000001</v>
      </c>
      <c r="J49">
        <v>1305.1545410000001</v>
      </c>
      <c r="K49">
        <v>550</v>
      </c>
      <c r="L49">
        <v>0</v>
      </c>
      <c r="M49">
        <v>0</v>
      </c>
      <c r="N49">
        <v>550</v>
      </c>
    </row>
    <row r="50" spans="1:14" x14ac:dyDescent="0.25">
      <c r="A50">
        <v>2.941192</v>
      </c>
      <c r="B50" s="1">
        <f>DATE(2010,5,3) + TIME(22,35,19)</f>
        <v>40301.941192129627</v>
      </c>
      <c r="C50">
        <v>80</v>
      </c>
      <c r="D50">
        <v>51.866897582999997</v>
      </c>
      <c r="E50">
        <v>40</v>
      </c>
      <c r="F50">
        <v>14.998735428</v>
      </c>
      <c r="G50">
        <v>1348.9735106999999</v>
      </c>
      <c r="H50">
        <v>1343.9348144999999</v>
      </c>
      <c r="I50">
        <v>1314.2299805</v>
      </c>
      <c r="J50">
        <v>1305.1552733999999</v>
      </c>
      <c r="K50">
        <v>550</v>
      </c>
      <c r="L50">
        <v>0</v>
      </c>
      <c r="M50">
        <v>0</v>
      </c>
      <c r="N50">
        <v>550</v>
      </c>
    </row>
    <row r="51" spans="1:14" x14ac:dyDescent="0.25">
      <c r="A51">
        <v>3.0525000000000002</v>
      </c>
      <c r="B51" s="1">
        <f>DATE(2010,5,4) + TIME(1,15,36)</f>
        <v>40302.052499999998</v>
      </c>
      <c r="C51">
        <v>80</v>
      </c>
      <c r="D51">
        <v>52.839408874999997</v>
      </c>
      <c r="E51">
        <v>40</v>
      </c>
      <c r="F51">
        <v>14.998744010999999</v>
      </c>
      <c r="G51">
        <v>1348.9522704999999</v>
      </c>
      <c r="H51">
        <v>1343.9550781</v>
      </c>
      <c r="I51">
        <v>1314.2325439000001</v>
      </c>
      <c r="J51">
        <v>1305.1560059000001</v>
      </c>
      <c r="K51">
        <v>550</v>
      </c>
      <c r="L51">
        <v>0</v>
      </c>
      <c r="M51">
        <v>0</v>
      </c>
      <c r="N51">
        <v>550</v>
      </c>
    </row>
    <row r="52" spans="1:14" x14ac:dyDescent="0.25">
      <c r="A52">
        <v>3.1669550000000002</v>
      </c>
      <c r="B52" s="1">
        <f>DATE(2010,5,4) + TIME(4,0,24)</f>
        <v>40302.166944444441</v>
      </c>
      <c r="C52">
        <v>80</v>
      </c>
      <c r="D52">
        <v>53.810745238999999</v>
      </c>
      <c r="E52">
        <v>40</v>
      </c>
      <c r="F52">
        <v>14.99875164</v>
      </c>
      <c r="G52">
        <v>1348.9339600000001</v>
      </c>
      <c r="H52">
        <v>1343.9761963000001</v>
      </c>
      <c r="I52">
        <v>1314.2349853999999</v>
      </c>
      <c r="J52">
        <v>1305.1567382999999</v>
      </c>
      <c r="K52">
        <v>550</v>
      </c>
      <c r="L52">
        <v>0</v>
      </c>
      <c r="M52">
        <v>0</v>
      </c>
      <c r="N52">
        <v>550</v>
      </c>
    </row>
    <row r="53" spans="1:14" x14ac:dyDescent="0.25">
      <c r="A53">
        <v>3.2847870000000001</v>
      </c>
      <c r="B53" s="1">
        <f>DATE(2010,5,4) + TIME(6,50,5)</f>
        <v>40302.284780092596</v>
      </c>
      <c r="C53">
        <v>80</v>
      </c>
      <c r="D53">
        <v>54.780815124999997</v>
      </c>
      <c r="E53">
        <v>40</v>
      </c>
      <c r="F53">
        <v>14.998760223</v>
      </c>
      <c r="G53">
        <v>1348.9182129000001</v>
      </c>
      <c r="H53">
        <v>1343.9982910000001</v>
      </c>
      <c r="I53">
        <v>1314.2376709</v>
      </c>
      <c r="J53">
        <v>1305.1574707</v>
      </c>
      <c r="K53">
        <v>550</v>
      </c>
      <c r="L53">
        <v>0</v>
      </c>
      <c r="M53">
        <v>0</v>
      </c>
      <c r="N53">
        <v>550</v>
      </c>
    </row>
    <row r="54" spans="1:14" x14ac:dyDescent="0.25">
      <c r="A54">
        <v>3.4062540000000001</v>
      </c>
      <c r="B54" s="1">
        <f>DATE(2010,5,4) + TIME(9,45,0)</f>
        <v>40302.40625</v>
      </c>
      <c r="C54">
        <v>80</v>
      </c>
      <c r="D54">
        <v>55.749523162999999</v>
      </c>
      <c r="E54">
        <v>40</v>
      </c>
      <c r="F54">
        <v>14.998768805999999</v>
      </c>
      <c r="G54">
        <v>1348.9049072</v>
      </c>
      <c r="H54">
        <v>1344.0211182</v>
      </c>
      <c r="I54">
        <v>1314.2402344</v>
      </c>
      <c r="J54">
        <v>1305.1583252</v>
      </c>
      <c r="K54">
        <v>550</v>
      </c>
      <c r="L54">
        <v>0</v>
      </c>
      <c r="M54">
        <v>0</v>
      </c>
      <c r="N54">
        <v>550</v>
      </c>
    </row>
    <row r="55" spans="1:14" x14ac:dyDescent="0.25">
      <c r="A55">
        <v>3.531644</v>
      </c>
      <c r="B55" s="1">
        <f>DATE(2010,5,4) + TIME(12,45,34)</f>
        <v>40302.531643518516</v>
      </c>
      <c r="C55">
        <v>80</v>
      </c>
      <c r="D55">
        <v>56.716754913000003</v>
      </c>
      <c r="E55">
        <v>40</v>
      </c>
      <c r="F55">
        <v>14.998777390000001</v>
      </c>
      <c r="G55">
        <v>1348.894043</v>
      </c>
      <c r="H55">
        <v>1344.0447998</v>
      </c>
      <c r="I55">
        <v>1314.2429199000001</v>
      </c>
      <c r="J55">
        <v>1305.1590576000001</v>
      </c>
      <c r="K55">
        <v>550</v>
      </c>
      <c r="L55">
        <v>0</v>
      </c>
      <c r="M55">
        <v>0</v>
      </c>
      <c r="N55">
        <v>550</v>
      </c>
    </row>
    <row r="56" spans="1:14" x14ac:dyDescent="0.25">
      <c r="A56">
        <v>3.6612840000000002</v>
      </c>
      <c r="B56" s="1">
        <f>DATE(2010,5,4) + TIME(15,52,14)</f>
        <v>40302.661273148151</v>
      </c>
      <c r="C56">
        <v>80</v>
      </c>
      <c r="D56">
        <v>57.682384491000001</v>
      </c>
      <c r="E56">
        <v>40</v>
      </c>
      <c r="F56">
        <v>14.998785973</v>
      </c>
      <c r="G56">
        <v>1348.885376</v>
      </c>
      <c r="H56">
        <v>1344.0690918</v>
      </c>
      <c r="I56">
        <v>1314.2457274999999</v>
      </c>
      <c r="J56">
        <v>1305.1597899999999</v>
      </c>
      <c r="K56">
        <v>550</v>
      </c>
      <c r="L56">
        <v>0</v>
      </c>
      <c r="M56">
        <v>0</v>
      </c>
      <c r="N56">
        <v>550</v>
      </c>
    </row>
    <row r="57" spans="1:14" x14ac:dyDescent="0.25">
      <c r="A57">
        <v>3.7955369999999999</v>
      </c>
      <c r="B57" s="1">
        <f>DATE(2010,5,4) + TIME(19,5,34)</f>
        <v>40302.795532407406</v>
      </c>
      <c r="C57">
        <v>80</v>
      </c>
      <c r="D57">
        <v>58.646274566999999</v>
      </c>
      <c r="E57">
        <v>40</v>
      </c>
      <c r="F57">
        <v>14.998795509000001</v>
      </c>
      <c r="G57">
        <v>1348.8787841999999</v>
      </c>
      <c r="H57">
        <v>1344.0939940999999</v>
      </c>
      <c r="I57">
        <v>1314.2485352000001</v>
      </c>
      <c r="J57">
        <v>1305.1606445</v>
      </c>
      <c r="K57">
        <v>550</v>
      </c>
      <c r="L57">
        <v>0</v>
      </c>
      <c r="M57">
        <v>0</v>
      </c>
      <c r="N57">
        <v>550</v>
      </c>
    </row>
    <row r="58" spans="1:14" x14ac:dyDescent="0.25">
      <c r="A58">
        <v>3.9348200000000002</v>
      </c>
      <c r="B58" s="1">
        <f>DATE(2010,5,4) + TIME(22,26,8)</f>
        <v>40302.934814814813</v>
      </c>
      <c r="C58">
        <v>80</v>
      </c>
      <c r="D58">
        <v>59.608268738</v>
      </c>
      <c r="E58">
        <v>40</v>
      </c>
      <c r="F58">
        <v>14.998804092</v>
      </c>
      <c r="G58">
        <v>1348.8742675999999</v>
      </c>
      <c r="H58">
        <v>1344.1193848</v>
      </c>
      <c r="I58">
        <v>1314.2513428</v>
      </c>
      <c r="J58">
        <v>1305.161499</v>
      </c>
      <c r="K58">
        <v>550</v>
      </c>
      <c r="L58">
        <v>0</v>
      </c>
      <c r="M58">
        <v>0</v>
      </c>
      <c r="N58">
        <v>550</v>
      </c>
    </row>
    <row r="59" spans="1:14" x14ac:dyDescent="0.25">
      <c r="A59">
        <v>4.0796049999999999</v>
      </c>
      <c r="B59" s="1">
        <f>DATE(2010,5,5) + TIME(1,54,37)</f>
        <v>40303.079594907409</v>
      </c>
      <c r="C59">
        <v>80</v>
      </c>
      <c r="D59">
        <v>60.567771911999998</v>
      </c>
      <c r="E59">
        <v>40</v>
      </c>
      <c r="F59">
        <v>14.998813629000001</v>
      </c>
      <c r="G59">
        <v>1348.871582</v>
      </c>
      <c r="H59">
        <v>1344.1451416</v>
      </c>
      <c r="I59">
        <v>1314.2542725000001</v>
      </c>
      <c r="J59">
        <v>1305.1623535000001</v>
      </c>
      <c r="K59">
        <v>550</v>
      </c>
      <c r="L59">
        <v>0</v>
      </c>
      <c r="M59">
        <v>0</v>
      </c>
      <c r="N59">
        <v>550</v>
      </c>
    </row>
    <row r="60" spans="1:14" x14ac:dyDescent="0.25">
      <c r="A60">
        <v>4.2305010000000003</v>
      </c>
      <c r="B60" s="1">
        <f>DATE(2010,5,5) + TIME(5,31,55)</f>
        <v>40303.230497685188</v>
      </c>
      <c r="C60">
        <v>80</v>
      </c>
      <c r="D60">
        <v>61.525089264000002</v>
      </c>
      <c r="E60">
        <v>40</v>
      </c>
      <c r="F60">
        <v>14.998822212</v>
      </c>
      <c r="G60">
        <v>1348.8704834</v>
      </c>
      <c r="H60">
        <v>1344.1712646000001</v>
      </c>
      <c r="I60">
        <v>1314.2573242000001</v>
      </c>
      <c r="J60">
        <v>1305.1632079999999</v>
      </c>
      <c r="K60">
        <v>550</v>
      </c>
      <c r="L60">
        <v>0</v>
      </c>
      <c r="M60">
        <v>0</v>
      </c>
      <c r="N60">
        <v>550</v>
      </c>
    </row>
    <row r="61" spans="1:14" x14ac:dyDescent="0.25">
      <c r="A61">
        <v>4.3881259999999997</v>
      </c>
      <c r="B61" s="1">
        <f>DATE(2010,5,5) + TIME(9,18,54)</f>
        <v>40303.388124999998</v>
      </c>
      <c r="C61">
        <v>80</v>
      </c>
      <c r="D61">
        <v>62.48015213</v>
      </c>
      <c r="E61">
        <v>40</v>
      </c>
      <c r="F61">
        <v>14.998831749000001</v>
      </c>
      <c r="G61">
        <v>1348.8710937999999</v>
      </c>
      <c r="H61">
        <v>1344.1975098</v>
      </c>
      <c r="I61">
        <v>1314.260376</v>
      </c>
      <c r="J61">
        <v>1305.1640625</v>
      </c>
      <c r="K61">
        <v>550</v>
      </c>
      <c r="L61">
        <v>0</v>
      </c>
      <c r="M61">
        <v>0</v>
      </c>
      <c r="N61">
        <v>550</v>
      </c>
    </row>
    <row r="62" spans="1:14" x14ac:dyDescent="0.25">
      <c r="A62">
        <v>4.553166</v>
      </c>
      <c r="B62" s="1">
        <f>DATE(2010,5,5) + TIME(13,16,33)</f>
        <v>40303.553159722222</v>
      </c>
      <c r="C62">
        <v>80</v>
      </c>
      <c r="D62">
        <v>63.432445526000002</v>
      </c>
      <c r="E62">
        <v>40</v>
      </c>
      <c r="F62">
        <v>14.998841285999999</v>
      </c>
      <c r="G62">
        <v>1348.8730469</v>
      </c>
      <c r="H62">
        <v>1344.2238769999999</v>
      </c>
      <c r="I62">
        <v>1314.2635498</v>
      </c>
      <c r="J62">
        <v>1305.1650391000001</v>
      </c>
      <c r="K62">
        <v>550</v>
      </c>
      <c r="L62">
        <v>0</v>
      </c>
      <c r="M62">
        <v>0</v>
      </c>
      <c r="N62">
        <v>550</v>
      </c>
    </row>
    <row r="63" spans="1:14" x14ac:dyDescent="0.25">
      <c r="A63">
        <v>4.7264749999999998</v>
      </c>
      <c r="B63" s="1">
        <f>DATE(2010,5,5) + TIME(17,26,7)</f>
        <v>40303.726469907408</v>
      </c>
      <c r="C63">
        <v>80</v>
      </c>
      <c r="D63">
        <v>64.381652832</v>
      </c>
      <c r="E63">
        <v>40</v>
      </c>
      <c r="F63">
        <v>14.998850822</v>
      </c>
      <c r="G63">
        <v>1348.8764647999999</v>
      </c>
      <c r="H63">
        <v>1344.2501221</v>
      </c>
      <c r="I63">
        <v>1314.2668457</v>
      </c>
      <c r="J63">
        <v>1305.1660156</v>
      </c>
      <c r="K63">
        <v>550</v>
      </c>
      <c r="L63">
        <v>0</v>
      </c>
      <c r="M63">
        <v>0</v>
      </c>
      <c r="N63">
        <v>550</v>
      </c>
    </row>
    <row r="64" spans="1:14" x14ac:dyDescent="0.25">
      <c r="A64">
        <v>4.9090579999999999</v>
      </c>
      <c r="B64" s="1">
        <f>DATE(2010,5,5) + TIME(21,49,2)</f>
        <v>40303.909050925926</v>
      </c>
      <c r="C64">
        <v>80</v>
      </c>
      <c r="D64">
        <v>65.32749939</v>
      </c>
      <c r="E64">
        <v>40</v>
      </c>
      <c r="F64">
        <v>14.998860359</v>
      </c>
      <c r="G64">
        <v>1348.8809814000001</v>
      </c>
      <c r="H64">
        <v>1344.2762451000001</v>
      </c>
      <c r="I64">
        <v>1314.2702637</v>
      </c>
      <c r="J64">
        <v>1305.1671143000001</v>
      </c>
      <c r="K64">
        <v>550</v>
      </c>
      <c r="L64">
        <v>0</v>
      </c>
      <c r="M64">
        <v>0</v>
      </c>
      <c r="N64">
        <v>550</v>
      </c>
    </row>
    <row r="65" spans="1:14" x14ac:dyDescent="0.25">
      <c r="A65">
        <v>5.1020940000000001</v>
      </c>
      <c r="B65" s="1">
        <f>DATE(2010,5,6) + TIME(2,27,0)</f>
        <v>40304.102083333331</v>
      </c>
      <c r="C65">
        <v>80</v>
      </c>
      <c r="D65">
        <v>66.269561768000003</v>
      </c>
      <c r="E65">
        <v>40</v>
      </c>
      <c r="F65">
        <v>14.998870849999999</v>
      </c>
      <c r="G65">
        <v>1348.8865966999999</v>
      </c>
      <c r="H65">
        <v>1344.3020019999999</v>
      </c>
      <c r="I65">
        <v>1314.2736815999999</v>
      </c>
      <c r="J65">
        <v>1305.1682129000001</v>
      </c>
      <c r="K65">
        <v>550</v>
      </c>
      <c r="L65">
        <v>0</v>
      </c>
      <c r="M65">
        <v>0</v>
      </c>
      <c r="N65">
        <v>550</v>
      </c>
    </row>
    <row r="66" spans="1:14" x14ac:dyDescent="0.25">
      <c r="A66">
        <v>5.2033649999999998</v>
      </c>
      <c r="B66" s="1">
        <f>DATE(2010,5,6) + TIME(4,52,50)</f>
        <v>40304.203356481485</v>
      </c>
      <c r="C66">
        <v>80</v>
      </c>
      <c r="D66">
        <v>66.750251770000006</v>
      </c>
      <c r="E66">
        <v>40</v>
      </c>
      <c r="F66">
        <v>14.998876572</v>
      </c>
      <c r="G66">
        <v>1348.9257812000001</v>
      </c>
      <c r="H66">
        <v>1344.3319091999999</v>
      </c>
      <c r="I66">
        <v>1314.2770995999999</v>
      </c>
      <c r="J66">
        <v>1305.1693115</v>
      </c>
      <c r="K66">
        <v>550</v>
      </c>
      <c r="L66">
        <v>0</v>
      </c>
      <c r="M66">
        <v>0</v>
      </c>
      <c r="N66">
        <v>550</v>
      </c>
    </row>
    <row r="67" spans="1:14" x14ac:dyDescent="0.25">
      <c r="A67">
        <v>5.3046350000000002</v>
      </c>
      <c r="B67" s="1">
        <f>DATE(2010,5,6) + TIME(7,18,40)</f>
        <v>40304.304629629631</v>
      </c>
      <c r="C67">
        <v>80</v>
      </c>
      <c r="D67">
        <v>67.215545653999996</v>
      </c>
      <c r="E67">
        <v>40</v>
      </c>
      <c r="F67">
        <v>14.998881340000001</v>
      </c>
      <c r="G67">
        <v>1348.9304199000001</v>
      </c>
      <c r="H67">
        <v>1344.3452147999999</v>
      </c>
      <c r="I67">
        <v>1314.2790527</v>
      </c>
      <c r="J67">
        <v>1305.1699219</v>
      </c>
      <c r="K67">
        <v>550</v>
      </c>
      <c r="L67">
        <v>0</v>
      </c>
      <c r="M67">
        <v>0</v>
      </c>
      <c r="N67">
        <v>550</v>
      </c>
    </row>
    <row r="68" spans="1:14" x14ac:dyDescent="0.25">
      <c r="A68">
        <v>5.4059059999999999</v>
      </c>
      <c r="B68" s="1">
        <f>DATE(2010,5,6) + TIME(9,44,30)</f>
        <v>40304.405902777777</v>
      </c>
      <c r="C68">
        <v>80</v>
      </c>
      <c r="D68">
        <v>67.665824889999996</v>
      </c>
      <c r="E68">
        <v>40</v>
      </c>
      <c r="F68">
        <v>14.998887062</v>
      </c>
      <c r="G68">
        <v>1348.9350586</v>
      </c>
      <c r="H68">
        <v>1344.3579102000001</v>
      </c>
      <c r="I68">
        <v>1314.2808838000001</v>
      </c>
      <c r="J68">
        <v>1305.1705322</v>
      </c>
      <c r="K68">
        <v>550</v>
      </c>
      <c r="L68">
        <v>0</v>
      </c>
      <c r="M68">
        <v>0</v>
      </c>
      <c r="N68">
        <v>550</v>
      </c>
    </row>
    <row r="69" spans="1:14" x14ac:dyDescent="0.25">
      <c r="A69">
        <v>5.5071760000000003</v>
      </c>
      <c r="B69" s="1">
        <f>DATE(2010,5,6) + TIME(12,10,20)</f>
        <v>40304.507175925923</v>
      </c>
      <c r="C69">
        <v>80</v>
      </c>
      <c r="D69">
        <v>68.101448059000006</v>
      </c>
      <c r="E69">
        <v>40</v>
      </c>
      <c r="F69">
        <v>14.99889183</v>
      </c>
      <c r="G69">
        <v>1348.9396973</v>
      </c>
      <c r="H69">
        <v>1344.3699951000001</v>
      </c>
      <c r="I69">
        <v>1314.2827147999999</v>
      </c>
      <c r="J69">
        <v>1305.1711425999999</v>
      </c>
      <c r="K69">
        <v>550</v>
      </c>
      <c r="L69">
        <v>0</v>
      </c>
      <c r="M69">
        <v>0</v>
      </c>
      <c r="N69">
        <v>550</v>
      </c>
    </row>
    <row r="70" spans="1:14" x14ac:dyDescent="0.25">
      <c r="A70">
        <v>5.608447</v>
      </c>
      <c r="B70" s="1">
        <f>DATE(2010,5,6) + TIME(14,36,9)</f>
        <v>40304.608437499999</v>
      </c>
      <c r="C70">
        <v>80</v>
      </c>
      <c r="D70">
        <v>68.522781371999997</v>
      </c>
      <c r="E70">
        <v>40</v>
      </c>
      <c r="F70">
        <v>14.998896599</v>
      </c>
      <c r="G70">
        <v>1348.9443358999999</v>
      </c>
      <c r="H70">
        <v>1344.3815918</v>
      </c>
      <c r="I70">
        <v>1314.2845459</v>
      </c>
      <c r="J70">
        <v>1305.1717529</v>
      </c>
      <c r="K70">
        <v>550</v>
      </c>
      <c r="L70">
        <v>0</v>
      </c>
      <c r="M70">
        <v>0</v>
      </c>
      <c r="N70">
        <v>550</v>
      </c>
    </row>
    <row r="71" spans="1:14" x14ac:dyDescent="0.25">
      <c r="A71">
        <v>5.7097170000000004</v>
      </c>
      <c r="B71" s="1">
        <f>DATE(2010,5,6) + TIME(17,1,59)</f>
        <v>40304.709710648145</v>
      </c>
      <c r="C71">
        <v>80</v>
      </c>
      <c r="D71">
        <v>68.930191039999997</v>
      </c>
      <c r="E71">
        <v>40</v>
      </c>
      <c r="F71">
        <v>14.998901367</v>
      </c>
      <c r="G71">
        <v>1348.9488524999999</v>
      </c>
      <c r="H71">
        <v>1344.3925781</v>
      </c>
      <c r="I71">
        <v>1314.2862548999999</v>
      </c>
      <c r="J71">
        <v>1305.1723632999999</v>
      </c>
      <c r="K71">
        <v>550</v>
      </c>
      <c r="L71">
        <v>0</v>
      </c>
      <c r="M71">
        <v>0</v>
      </c>
      <c r="N71">
        <v>550</v>
      </c>
    </row>
    <row r="72" spans="1:14" x14ac:dyDescent="0.25">
      <c r="A72">
        <v>5.8109869999999999</v>
      </c>
      <c r="B72" s="1">
        <f>DATE(2010,5,6) + TIME(19,27,49)</f>
        <v>40304.810983796298</v>
      </c>
      <c r="C72">
        <v>80</v>
      </c>
      <c r="D72">
        <v>69.324035644999995</v>
      </c>
      <c r="E72">
        <v>40</v>
      </c>
      <c r="F72">
        <v>14.998906136</v>
      </c>
      <c r="G72">
        <v>1348.9532471</v>
      </c>
      <c r="H72">
        <v>1344.4029541</v>
      </c>
      <c r="I72">
        <v>1314.2880858999999</v>
      </c>
      <c r="J72">
        <v>1305.1729736</v>
      </c>
      <c r="K72">
        <v>550</v>
      </c>
      <c r="L72">
        <v>0</v>
      </c>
      <c r="M72">
        <v>0</v>
      </c>
      <c r="N72">
        <v>550</v>
      </c>
    </row>
    <row r="73" spans="1:14" x14ac:dyDescent="0.25">
      <c r="A73">
        <v>5.9122579999999996</v>
      </c>
      <c r="B73" s="1">
        <f>DATE(2010,5,6) + TIME(21,53,39)</f>
        <v>40304.912256944444</v>
      </c>
      <c r="C73">
        <v>80</v>
      </c>
      <c r="D73">
        <v>69.704666137999993</v>
      </c>
      <c r="E73">
        <v>40</v>
      </c>
      <c r="F73">
        <v>14.998910904000001</v>
      </c>
      <c r="G73">
        <v>1348.9576416</v>
      </c>
      <c r="H73">
        <v>1344.4128418</v>
      </c>
      <c r="I73">
        <v>1314.2897949000001</v>
      </c>
      <c r="J73">
        <v>1305.1735839999999</v>
      </c>
      <c r="K73">
        <v>550</v>
      </c>
      <c r="L73">
        <v>0</v>
      </c>
      <c r="M73">
        <v>0</v>
      </c>
      <c r="N73">
        <v>550</v>
      </c>
    </row>
    <row r="74" spans="1:14" x14ac:dyDescent="0.25">
      <c r="A74">
        <v>6.0134720000000002</v>
      </c>
      <c r="B74" s="1">
        <f>DATE(2010,5,7) + TIME(0,19,23)</f>
        <v>40305.013460648152</v>
      </c>
      <c r="C74">
        <v>80</v>
      </c>
      <c r="D74">
        <v>70.072196959999999</v>
      </c>
      <c r="E74">
        <v>40</v>
      </c>
      <c r="F74">
        <v>14.998915672000001</v>
      </c>
      <c r="G74">
        <v>1348.9617920000001</v>
      </c>
      <c r="H74">
        <v>1344.4221190999999</v>
      </c>
      <c r="I74">
        <v>1314.2915039</v>
      </c>
      <c r="J74">
        <v>1305.1741943</v>
      </c>
      <c r="K74">
        <v>550</v>
      </c>
      <c r="L74">
        <v>0</v>
      </c>
      <c r="M74">
        <v>0</v>
      </c>
      <c r="N74">
        <v>550</v>
      </c>
    </row>
    <row r="75" spans="1:14" x14ac:dyDescent="0.25">
      <c r="A75">
        <v>6.1146669999999999</v>
      </c>
      <c r="B75" s="1">
        <f>DATE(2010,5,7) + TIME(2,45,7)</f>
        <v>40305.114664351851</v>
      </c>
      <c r="C75">
        <v>80</v>
      </c>
      <c r="D75">
        <v>70.426956176999994</v>
      </c>
      <c r="E75">
        <v>40</v>
      </c>
      <c r="F75">
        <v>14.998920440999999</v>
      </c>
      <c r="G75">
        <v>1348.9658202999999</v>
      </c>
      <c r="H75">
        <v>1344.4309082</v>
      </c>
      <c r="I75">
        <v>1314.2932129000001</v>
      </c>
      <c r="J75">
        <v>1305.1748047000001</v>
      </c>
      <c r="K75">
        <v>550</v>
      </c>
      <c r="L75">
        <v>0</v>
      </c>
      <c r="M75">
        <v>0</v>
      </c>
      <c r="N75">
        <v>550</v>
      </c>
    </row>
    <row r="76" spans="1:14" x14ac:dyDescent="0.25">
      <c r="A76">
        <v>6.2158620000000004</v>
      </c>
      <c r="B76" s="1">
        <f>DATE(2010,5,7) + TIME(5,10,50)</f>
        <v>40305.215856481482</v>
      </c>
      <c r="C76">
        <v>80</v>
      </c>
      <c r="D76">
        <v>70.769569396999998</v>
      </c>
      <c r="E76">
        <v>40</v>
      </c>
      <c r="F76">
        <v>14.998925208999999</v>
      </c>
      <c r="G76">
        <v>1348.9697266000001</v>
      </c>
      <c r="H76">
        <v>1344.4392089999999</v>
      </c>
      <c r="I76">
        <v>1314.2949219</v>
      </c>
      <c r="J76">
        <v>1305.1754149999999</v>
      </c>
      <c r="K76">
        <v>550</v>
      </c>
      <c r="L76">
        <v>0</v>
      </c>
      <c r="M76">
        <v>0</v>
      </c>
      <c r="N76">
        <v>550</v>
      </c>
    </row>
    <row r="77" spans="1:14" x14ac:dyDescent="0.25">
      <c r="A77">
        <v>6.3170570000000001</v>
      </c>
      <c r="B77" s="1">
        <f>DATE(2010,5,7) + TIME(7,36,33)</f>
        <v>40305.317048611112</v>
      </c>
      <c r="C77">
        <v>80</v>
      </c>
      <c r="D77">
        <v>71.100379943999997</v>
      </c>
      <c r="E77">
        <v>40</v>
      </c>
      <c r="F77">
        <v>14.998929024000001</v>
      </c>
      <c r="G77">
        <v>1348.9733887</v>
      </c>
      <c r="H77">
        <v>1344.4468993999999</v>
      </c>
      <c r="I77">
        <v>1314.2966309000001</v>
      </c>
      <c r="J77">
        <v>1305.1760254000001</v>
      </c>
      <c r="K77">
        <v>550</v>
      </c>
      <c r="L77">
        <v>0</v>
      </c>
      <c r="M77">
        <v>0</v>
      </c>
      <c r="N77">
        <v>550</v>
      </c>
    </row>
    <row r="78" spans="1:14" x14ac:dyDescent="0.25">
      <c r="A78">
        <v>6.4182519999999998</v>
      </c>
      <c r="B78" s="1">
        <f>DATE(2010,5,7) + TIME(10,2,16)</f>
        <v>40305.418240740742</v>
      </c>
      <c r="C78">
        <v>80</v>
      </c>
      <c r="D78">
        <v>71.419715881000002</v>
      </c>
      <c r="E78">
        <v>40</v>
      </c>
      <c r="F78">
        <v>14.998933792000001</v>
      </c>
      <c r="G78">
        <v>1348.9768065999999</v>
      </c>
      <c r="H78">
        <v>1344.4541016000001</v>
      </c>
      <c r="I78">
        <v>1314.2982178</v>
      </c>
      <c r="J78">
        <v>1305.1766356999999</v>
      </c>
      <c r="K78">
        <v>550</v>
      </c>
      <c r="L78">
        <v>0</v>
      </c>
      <c r="M78">
        <v>0</v>
      </c>
      <c r="N78">
        <v>550</v>
      </c>
    </row>
    <row r="79" spans="1:14" x14ac:dyDescent="0.25">
      <c r="A79">
        <v>6.5194470000000004</v>
      </c>
      <c r="B79" s="1">
        <f>DATE(2010,5,7) + TIME(12,28,0)</f>
        <v>40305.519444444442</v>
      </c>
      <c r="C79">
        <v>80</v>
      </c>
      <c r="D79">
        <v>71.727920531999999</v>
      </c>
      <c r="E79">
        <v>40</v>
      </c>
      <c r="F79">
        <v>14.998938559999999</v>
      </c>
      <c r="G79">
        <v>1348.9801024999999</v>
      </c>
      <c r="H79">
        <v>1344.4608154</v>
      </c>
      <c r="I79">
        <v>1314.2999268000001</v>
      </c>
      <c r="J79">
        <v>1305.1772461</v>
      </c>
      <c r="K79">
        <v>550</v>
      </c>
      <c r="L79">
        <v>0</v>
      </c>
      <c r="M79">
        <v>0</v>
      </c>
      <c r="N79">
        <v>550</v>
      </c>
    </row>
    <row r="80" spans="1:14" x14ac:dyDescent="0.25">
      <c r="A80">
        <v>6.6206420000000001</v>
      </c>
      <c r="B80" s="1">
        <f>DATE(2010,5,7) + TIME(14,53,43)</f>
        <v>40305.620636574073</v>
      </c>
      <c r="C80">
        <v>80</v>
      </c>
      <c r="D80">
        <v>72.025314331000004</v>
      </c>
      <c r="E80">
        <v>40</v>
      </c>
      <c r="F80">
        <v>14.998942375</v>
      </c>
      <c r="G80">
        <v>1348.9831543</v>
      </c>
      <c r="H80">
        <v>1344.4669189000001</v>
      </c>
      <c r="I80">
        <v>1314.3015137</v>
      </c>
      <c r="J80">
        <v>1305.1779785000001</v>
      </c>
      <c r="K80">
        <v>550</v>
      </c>
      <c r="L80">
        <v>0</v>
      </c>
      <c r="M80">
        <v>0</v>
      </c>
      <c r="N80">
        <v>550</v>
      </c>
    </row>
    <row r="81" spans="1:14" x14ac:dyDescent="0.25">
      <c r="A81">
        <v>6.7218369999999998</v>
      </c>
      <c r="B81" s="1">
        <f>DATE(2010,5,7) + TIME(17,19,26)</f>
        <v>40305.721828703703</v>
      </c>
      <c r="C81">
        <v>80</v>
      </c>
      <c r="D81">
        <v>72.312217712000006</v>
      </c>
      <c r="E81">
        <v>40</v>
      </c>
      <c r="F81">
        <v>14.99894619</v>
      </c>
      <c r="G81">
        <v>1348.9859618999999</v>
      </c>
      <c r="H81">
        <v>1344.4726562000001</v>
      </c>
      <c r="I81">
        <v>1314.3031006000001</v>
      </c>
      <c r="J81">
        <v>1305.1785889</v>
      </c>
      <c r="K81">
        <v>550</v>
      </c>
      <c r="L81">
        <v>0</v>
      </c>
      <c r="M81">
        <v>0</v>
      </c>
      <c r="N81">
        <v>550</v>
      </c>
    </row>
    <row r="82" spans="1:14" x14ac:dyDescent="0.25">
      <c r="A82">
        <v>6.8230320000000004</v>
      </c>
      <c r="B82" s="1">
        <f>DATE(2010,5,7) + TIME(19,45,9)</f>
        <v>40305.823020833333</v>
      </c>
      <c r="C82">
        <v>80</v>
      </c>
      <c r="D82">
        <v>72.588943481000001</v>
      </c>
      <c r="E82">
        <v>40</v>
      </c>
      <c r="F82">
        <v>14.998950958</v>
      </c>
      <c r="G82">
        <v>1348.9886475000001</v>
      </c>
      <c r="H82">
        <v>1344.4779053</v>
      </c>
      <c r="I82">
        <v>1314.3046875</v>
      </c>
      <c r="J82">
        <v>1305.1791992000001</v>
      </c>
      <c r="K82">
        <v>550</v>
      </c>
      <c r="L82">
        <v>0</v>
      </c>
      <c r="M82">
        <v>0</v>
      </c>
      <c r="N82">
        <v>550</v>
      </c>
    </row>
    <row r="83" spans="1:14" x14ac:dyDescent="0.25">
      <c r="A83">
        <v>6.9242270000000001</v>
      </c>
      <c r="B83" s="1">
        <f>DATE(2010,5,7) + TIME(22,10,53)</f>
        <v>40305.924224537041</v>
      </c>
      <c r="C83">
        <v>80</v>
      </c>
      <c r="D83">
        <v>72.855812072999996</v>
      </c>
      <c r="E83">
        <v>40</v>
      </c>
      <c r="F83">
        <v>14.998954772999999</v>
      </c>
      <c r="G83">
        <v>1348.9909668</v>
      </c>
      <c r="H83">
        <v>1344.4825439000001</v>
      </c>
      <c r="I83">
        <v>1314.3061522999999</v>
      </c>
      <c r="J83">
        <v>1305.1798096</v>
      </c>
      <c r="K83">
        <v>550</v>
      </c>
      <c r="L83">
        <v>0</v>
      </c>
      <c r="M83">
        <v>0</v>
      </c>
      <c r="N83">
        <v>550</v>
      </c>
    </row>
    <row r="84" spans="1:14" x14ac:dyDescent="0.25">
      <c r="A84">
        <v>7.1266170000000004</v>
      </c>
      <c r="B84" s="1">
        <f>DATE(2010,5,8) + TIME(3,2,19)</f>
        <v>40306.126608796294</v>
      </c>
      <c r="C84">
        <v>80</v>
      </c>
      <c r="D84">
        <v>73.351081848000007</v>
      </c>
      <c r="E84">
        <v>40</v>
      </c>
      <c r="F84">
        <v>14.998962402</v>
      </c>
      <c r="G84">
        <v>1348.9770507999999</v>
      </c>
      <c r="H84">
        <v>1344.4853516000001</v>
      </c>
      <c r="I84">
        <v>1314.3079834</v>
      </c>
      <c r="J84">
        <v>1305.1805420000001</v>
      </c>
      <c r="K84">
        <v>550</v>
      </c>
      <c r="L84">
        <v>0</v>
      </c>
      <c r="M84">
        <v>0</v>
      </c>
      <c r="N84">
        <v>550</v>
      </c>
    </row>
    <row r="85" spans="1:14" x14ac:dyDescent="0.25">
      <c r="A85">
        <v>7.3294699999999997</v>
      </c>
      <c r="B85" s="1">
        <f>DATE(2010,5,8) + TIME(7,54,26)</f>
        <v>40306.329467592594</v>
      </c>
      <c r="C85">
        <v>80</v>
      </c>
      <c r="D85">
        <v>73.812889099000003</v>
      </c>
      <c r="E85">
        <v>40</v>
      </c>
      <c r="F85">
        <v>14.998970032000001</v>
      </c>
      <c r="G85">
        <v>1348.9812012</v>
      </c>
      <c r="H85">
        <v>1344.4918213000001</v>
      </c>
      <c r="I85">
        <v>1314.3109131000001</v>
      </c>
      <c r="J85">
        <v>1305.1817627</v>
      </c>
      <c r="K85">
        <v>550</v>
      </c>
      <c r="L85">
        <v>0</v>
      </c>
      <c r="M85">
        <v>0</v>
      </c>
      <c r="N85">
        <v>550</v>
      </c>
    </row>
    <row r="86" spans="1:14" x14ac:dyDescent="0.25">
      <c r="A86">
        <v>7.534497</v>
      </c>
      <c r="B86" s="1">
        <f>DATE(2010,5,8) + TIME(12,49,40)</f>
        <v>40306.534490740742</v>
      </c>
      <c r="C86">
        <v>80</v>
      </c>
      <c r="D86">
        <v>74.246482849000003</v>
      </c>
      <c r="E86">
        <v>40</v>
      </c>
      <c r="F86">
        <v>14.998977661</v>
      </c>
      <c r="G86">
        <v>1348.9840088000001</v>
      </c>
      <c r="H86">
        <v>1344.4968262</v>
      </c>
      <c r="I86">
        <v>1314.3138428</v>
      </c>
      <c r="J86">
        <v>1305.1829834</v>
      </c>
      <c r="K86">
        <v>550</v>
      </c>
      <c r="L86">
        <v>0</v>
      </c>
      <c r="M86">
        <v>0</v>
      </c>
      <c r="N86">
        <v>550</v>
      </c>
    </row>
    <row r="87" spans="1:14" x14ac:dyDescent="0.25">
      <c r="A87">
        <v>7.7419979999999997</v>
      </c>
      <c r="B87" s="1">
        <f>DATE(2010,5,8) + TIME(17,48,28)</f>
        <v>40306.741990740738</v>
      </c>
      <c r="C87">
        <v>80</v>
      </c>
      <c r="D87">
        <v>74.653526306000003</v>
      </c>
      <c r="E87">
        <v>40</v>
      </c>
      <c r="F87">
        <v>14.998985291</v>
      </c>
      <c r="G87">
        <v>1348.9858397999999</v>
      </c>
      <c r="H87">
        <v>1344.5001221</v>
      </c>
      <c r="I87">
        <v>1314.3167725000001</v>
      </c>
      <c r="J87">
        <v>1305.1842041</v>
      </c>
      <c r="K87">
        <v>550</v>
      </c>
      <c r="L87">
        <v>0</v>
      </c>
      <c r="M87">
        <v>0</v>
      </c>
      <c r="N87">
        <v>550</v>
      </c>
    </row>
    <row r="88" spans="1:14" x14ac:dyDescent="0.25">
      <c r="A88">
        <v>7.9523010000000003</v>
      </c>
      <c r="B88" s="1">
        <f>DATE(2010,5,8) + TIME(22,51,18)</f>
        <v>40306.952291666668</v>
      </c>
      <c r="C88">
        <v>80</v>
      </c>
      <c r="D88">
        <v>75.035568237000007</v>
      </c>
      <c r="E88">
        <v>40</v>
      </c>
      <c r="F88">
        <v>14.998991966</v>
      </c>
      <c r="G88">
        <v>1348.9866943</v>
      </c>
      <c r="H88">
        <v>1344.5019531</v>
      </c>
      <c r="I88">
        <v>1314.3197021000001</v>
      </c>
      <c r="J88">
        <v>1305.1855469</v>
      </c>
      <c r="K88">
        <v>550</v>
      </c>
      <c r="L88">
        <v>0</v>
      </c>
      <c r="M88">
        <v>0</v>
      </c>
      <c r="N88">
        <v>550</v>
      </c>
    </row>
    <row r="89" spans="1:14" x14ac:dyDescent="0.25">
      <c r="A89">
        <v>8.1657430000000009</v>
      </c>
      <c r="B89" s="1">
        <f>DATE(2010,5,9) + TIME(3,58,40)</f>
        <v>40307.16574074074</v>
      </c>
      <c r="C89">
        <v>80</v>
      </c>
      <c r="D89">
        <v>75.393829346000004</v>
      </c>
      <c r="E89">
        <v>40</v>
      </c>
      <c r="F89">
        <v>14.998999596000001</v>
      </c>
      <c r="G89">
        <v>1348.9865723</v>
      </c>
      <c r="H89">
        <v>1344.5024414</v>
      </c>
      <c r="I89">
        <v>1314.3226318</v>
      </c>
      <c r="J89">
        <v>1305.1867675999999</v>
      </c>
      <c r="K89">
        <v>550</v>
      </c>
      <c r="L89">
        <v>0</v>
      </c>
      <c r="M89">
        <v>0</v>
      </c>
      <c r="N89">
        <v>550</v>
      </c>
    </row>
    <row r="90" spans="1:14" x14ac:dyDescent="0.25">
      <c r="A90">
        <v>8.3826750000000008</v>
      </c>
      <c r="B90" s="1">
        <f>DATE(2010,5,9) + TIME(9,11,3)</f>
        <v>40307.382673611108</v>
      </c>
      <c r="C90">
        <v>80</v>
      </c>
      <c r="D90">
        <v>75.729881286999998</v>
      </c>
      <c r="E90">
        <v>40</v>
      </c>
      <c r="F90">
        <v>14.999006271000001</v>
      </c>
      <c r="G90">
        <v>1348.9853516000001</v>
      </c>
      <c r="H90">
        <v>1344.5013428</v>
      </c>
      <c r="I90">
        <v>1314.3254394999999</v>
      </c>
      <c r="J90">
        <v>1305.1881103999999</v>
      </c>
      <c r="K90">
        <v>550</v>
      </c>
      <c r="L90">
        <v>0</v>
      </c>
      <c r="M90">
        <v>0</v>
      </c>
      <c r="N90">
        <v>550</v>
      </c>
    </row>
    <row r="91" spans="1:14" x14ac:dyDescent="0.25">
      <c r="A91">
        <v>8.6034659999999992</v>
      </c>
      <c r="B91" s="1">
        <f>DATE(2010,5,9) + TIME(14,28,59)</f>
        <v>40307.603460648148</v>
      </c>
      <c r="C91">
        <v>80</v>
      </c>
      <c r="D91">
        <v>76.044952393000003</v>
      </c>
      <c r="E91">
        <v>40</v>
      </c>
      <c r="F91">
        <v>14.999013901</v>
      </c>
      <c r="G91">
        <v>1348.9831543</v>
      </c>
      <c r="H91">
        <v>1344.4989014</v>
      </c>
      <c r="I91">
        <v>1314.3282471</v>
      </c>
      <c r="J91">
        <v>1305.1894531</v>
      </c>
      <c r="K91">
        <v>550</v>
      </c>
      <c r="L91">
        <v>0</v>
      </c>
      <c r="M91">
        <v>0</v>
      </c>
      <c r="N91">
        <v>550</v>
      </c>
    </row>
    <row r="92" spans="1:14" x14ac:dyDescent="0.25">
      <c r="A92">
        <v>8.8285070000000001</v>
      </c>
      <c r="B92" s="1">
        <f>DATE(2010,5,9) + TIME(19,53,3)</f>
        <v>40307.828506944446</v>
      </c>
      <c r="C92">
        <v>80</v>
      </c>
      <c r="D92">
        <v>76.340194702000005</v>
      </c>
      <c r="E92">
        <v>40</v>
      </c>
      <c r="F92">
        <v>14.999020575999999</v>
      </c>
      <c r="G92">
        <v>1348.9798584</v>
      </c>
      <c r="H92">
        <v>1344.4951172000001</v>
      </c>
      <c r="I92">
        <v>1314.3310547000001</v>
      </c>
      <c r="J92">
        <v>1305.1907959</v>
      </c>
      <c r="K92">
        <v>550</v>
      </c>
      <c r="L92">
        <v>0</v>
      </c>
      <c r="M92">
        <v>0</v>
      </c>
      <c r="N92">
        <v>550</v>
      </c>
    </row>
    <row r="93" spans="1:14" x14ac:dyDescent="0.25">
      <c r="A93">
        <v>9.0582119999999993</v>
      </c>
      <c r="B93" s="1">
        <f>DATE(2010,5,10) + TIME(1,23,49)</f>
        <v>40308.058206018519</v>
      </c>
      <c r="C93">
        <v>80</v>
      </c>
      <c r="D93">
        <v>76.616661071999999</v>
      </c>
      <c r="E93">
        <v>40</v>
      </c>
      <c r="F93">
        <v>14.999028206</v>
      </c>
      <c r="G93">
        <v>1348.9755858999999</v>
      </c>
      <c r="H93">
        <v>1344.4898682</v>
      </c>
      <c r="I93">
        <v>1314.3339844</v>
      </c>
      <c r="J93">
        <v>1305.1921387</v>
      </c>
      <c r="K93">
        <v>550</v>
      </c>
      <c r="L93">
        <v>0</v>
      </c>
      <c r="M93">
        <v>0</v>
      </c>
      <c r="N93">
        <v>550</v>
      </c>
    </row>
    <row r="94" spans="1:14" x14ac:dyDescent="0.25">
      <c r="A94">
        <v>9.2930250000000001</v>
      </c>
      <c r="B94" s="1">
        <f>DATE(2010,5,10) + TIME(7,1,57)</f>
        <v>40308.293020833335</v>
      </c>
      <c r="C94">
        <v>80</v>
      </c>
      <c r="D94">
        <v>76.875350952000005</v>
      </c>
      <c r="E94">
        <v>40</v>
      </c>
      <c r="F94">
        <v>14.999034882</v>
      </c>
      <c r="G94">
        <v>1348.9702147999999</v>
      </c>
      <c r="H94">
        <v>1344.4832764</v>
      </c>
      <c r="I94">
        <v>1314.3367920000001</v>
      </c>
      <c r="J94">
        <v>1305.1936035000001</v>
      </c>
      <c r="K94">
        <v>550</v>
      </c>
      <c r="L94">
        <v>0</v>
      </c>
      <c r="M94">
        <v>0</v>
      </c>
      <c r="N94">
        <v>550</v>
      </c>
    </row>
    <row r="95" spans="1:14" x14ac:dyDescent="0.25">
      <c r="A95">
        <v>9.5334719999999997</v>
      </c>
      <c r="B95" s="1">
        <f>DATE(2010,5,10) + TIME(12,48,11)</f>
        <v>40308.533460648148</v>
      </c>
      <c r="C95">
        <v>80</v>
      </c>
      <c r="D95">
        <v>77.117233275999993</v>
      </c>
      <c r="E95">
        <v>40</v>
      </c>
      <c r="F95">
        <v>14.999041557</v>
      </c>
      <c r="G95">
        <v>1348.9637451000001</v>
      </c>
      <c r="H95">
        <v>1344.4754639</v>
      </c>
      <c r="I95">
        <v>1314.3395995999999</v>
      </c>
      <c r="J95">
        <v>1305.1950684000001</v>
      </c>
      <c r="K95">
        <v>550</v>
      </c>
      <c r="L95">
        <v>0</v>
      </c>
      <c r="M95">
        <v>0</v>
      </c>
      <c r="N95">
        <v>550</v>
      </c>
    </row>
    <row r="96" spans="1:14" x14ac:dyDescent="0.25">
      <c r="A96">
        <v>9.7800879999999992</v>
      </c>
      <c r="B96" s="1">
        <f>DATE(2010,5,10) + TIME(18,43,19)</f>
        <v>40308.780081018522</v>
      </c>
      <c r="C96">
        <v>80</v>
      </c>
      <c r="D96">
        <v>77.343193053999997</v>
      </c>
      <c r="E96">
        <v>40</v>
      </c>
      <c r="F96">
        <v>14.999048233</v>
      </c>
      <c r="G96">
        <v>1348.9562988</v>
      </c>
      <c r="H96">
        <v>1344.4663086</v>
      </c>
      <c r="I96">
        <v>1314.3424072</v>
      </c>
      <c r="J96">
        <v>1305.1965332</v>
      </c>
      <c r="K96">
        <v>550</v>
      </c>
      <c r="L96">
        <v>0</v>
      </c>
      <c r="M96">
        <v>0</v>
      </c>
      <c r="N96">
        <v>550</v>
      </c>
    </row>
    <row r="97" spans="1:14" x14ac:dyDescent="0.25">
      <c r="A97">
        <v>10.033377</v>
      </c>
      <c r="B97" s="1">
        <f>DATE(2010,5,11) + TIME(0,48,3)</f>
        <v>40309.033368055556</v>
      </c>
      <c r="C97">
        <v>80</v>
      </c>
      <c r="D97">
        <v>77.553977966000005</v>
      </c>
      <c r="E97">
        <v>40</v>
      </c>
      <c r="F97">
        <v>14.999054909</v>
      </c>
      <c r="G97">
        <v>1348.9475098</v>
      </c>
      <c r="H97">
        <v>1344.4556885</v>
      </c>
      <c r="I97">
        <v>1314.3452147999999</v>
      </c>
      <c r="J97">
        <v>1305.1979980000001</v>
      </c>
      <c r="K97">
        <v>550</v>
      </c>
      <c r="L97">
        <v>0</v>
      </c>
      <c r="M97">
        <v>0</v>
      </c>
      <c r="N97">
        <v>550</v>
      </c>
    </row>
    <row r="98" spans="1:14" x14ac:dyDescent="0.25">
      <c r="A98">
        <v>10.29396</v>
      </c>
      <c r="B98" s="1">
        <f>DATE(2010,5,11) + TIME(7,3,18)</f>
        <v>40309.293958333335</v>
      </c>
      <c r="C98">
        <v>80</v>
      </c>
      <c r="D98">
        <v>77.750373839999995</v>
      </c>
      <c r="E98">
        <v>40</v>
      </c>
      <c r="F98">
        <v>14.999062538</v>
      </c>
      <c r="G98">
        <v>1348.9377440999999</v>
      </c>
      <c r="H98">
        <v>1344.4438477000001</v>
      </c>
      <c r="I98">
        <v>1314.3481445</v>
      </c>
      <c r="J98">
        <v>1305.1995850000001</v>
      </c>
      <c r="K98">
        <v>550</v>
      </c>
      <c r="L98">
        <v>0</v>
      </c>
      <c r="M98">
        <v>0</v>
      </c>
      <c r="N98">
        <v>550</v>
      </c>
    </row>
    <row r="99" spans="1:14" x14ac:dyDescent="0.25">
      <c r="A99">
        <v>10.562512999999999</v>
      </c>
      <c r="B99" s="1">
        <f>DATE(2010,5,11) + TIME(13,30,1)</f>
        <v>40309.562511574077</v>
      </c>
      <c r="C99">
        <v>80</v>
      </c>
      <c r="D99">
        <v>77.933105468999997</v>
      </c>
      <c r="E99">
        <v>40</v>
      </c>
      <c r="F99">
        <v>14.999069214</v>
      </c>
      <c r="G99">
        <v>1348.9267577999999</v>
      </c>
      <c r="H99">
        <v>1344.4306641000001</v>
      </c>
      <c r="I99">
        <v>1314.3510742000001</v>
      </c>
      <c r="J99">
        <v>1305.2010498</v>
      </c>
      <c r="K99">
        <v>550</v>
      </c>
      <c r="L99">
        <v>0</v>
      </c>
      <c r="M99">
        <v>0</v>
      </c>
      <c r="N99">
        <v>550</v>
      </c>
    </row>
    <row r="100" spans="1:14" x14ac:dyDescent="0.25">
      <c r="A100">
        <v>10.839808</v>
      </c>
      <c r="B100" s="1">
        <f>DATE(2010,5,11) + TIME(20,9,19)</f>
        <v>40309.839803240742</v>
      </c>
      <c r="C100">
        <v>80</v>
      </c>
      <c r="D100">
        <v>78.102882385000001</v>
      </c>
      <c r="E100">
        <v>40</v>
      </c>
      <c r="F100">
        <v>14.99907589</v>
      </c>
      <c r="G100">
        <v>1348.9145507999999</v>
      </c>
      <c r="H100">
        <v>1344.4161377</v>
      </c>
      <c r="I100">
        <v>1314.3540039</v>
      </c>
      <c r="J100">
        <v>1305.2027588000001</v>
      </c>
      <c r="K100">
        <v>550</v>
      </c>
      <c r="L100">
        <v>0</v>
      </c>
      <c r="M100">
        <v>0</v>
      </c>
      <c r="N100">
        <v>550</v>
      </c>
    </row>
    <row r="101" spans="1:14" x14ac:dyDescent="0.25">
      <c r="A101">
        <v>11.125356999999999</v>
      </c>
      <c r="B101" s="1">
        <f>DATE(2010,5,12) + TIME(3,0,30)</f>
        <v>40310.125347222223</v>
      </c>
      <c r="C101">
        <v>80</v>
      </c>
      <c r="D101">
        <v>78.259704589999998</v>
      </c>
      <c r="E101">
        <v>40</v>
      </c>
      <c r="F101">
        <v>14.999082565</v>
      </c>
      <c r="G101">
        <v>1348.9012451000001</v>
      </c>
      <c r="H101">
        <v>1344.4001464999999</v>
      </c>
      <c r="I101">
        <v>1314.3569336</v>
      </c>
      <c r="J101">
        <v>1305.2044678</v>
      </c>
      <c r="K101">
        <v>550</v>
      </c>
      <c r="L101">
        <v>0</v>
      </c>
      <c r="M101">
        <v>0</v>
      </c>
      <c r="N101">
        <v>550</v>
      </c>
    </row>
    <row r="102" spans="1:14" x14ac:dyDescent="0.25">
      <c r="A102">
        <v>11.419953</v>
      </c>
      <c r="B102" s="1">
        <f>DATE(2010,5,12) + TIME(10,4,43)</f>
        <v>40310.419942129629</v>
      </c>
      <c r="C102">
        <v>80</v>
      </c>
      <c r="D102">
        <v>78.404342650999993</v>
      </c>
      <c r="E102">
        <v>40</v>
      </c>
      <c r="F102">
        <v>14.999090195000001</v>
      </c>
      <c r="G102">
        <v>1348.8865966999999</v>
      </c>
      <c r="H102">
        <v>1344.3830565999999</v>
      </c>
      <c r="I102">
        <v>1314.3598632999999</v>
      </c>
      <c r="J102">
        <v>1305.2061768000001</v>
      </c>
      <c r="K102">
        <v>550</v>
      </c>
      <c r="L102">
        <v>0</v>
      </c>
      <c r="M102">
        <v>0</v>
      </c>
      <c r="N102">
        <v>550</v>
      </c>
    </row>
    <row r="103" spans="1:14" x14ac:dyDescent="0.25">
      <c r="A103">
        <v>11.723777999999999</v>
      </c>
      <c r="B103" s="1">
        <f>DATE(2010,5,12) + TIME(17,22,14)</f>
        <v>40310.723773148151</v>
      </c>
      <c r="C103">
        <v>80</v>
      </c>
      <c r="D103">
        <v>78.537254333000007</v>
      </c>
      <c r="E103">
        <v>40</v>
      </c>
      <c r="F103">
        <v>14.999096870000001</v>
      </c>
      <c r="G103">
        <v>1348.8708495999999</v>
      </c>
      <c r="H103">
        <v>1344.3645019999999</v>
      </c>
      <c r="I103">
        <v>1314.3629149999999</v>
      </c>
      <c r="J103">
        <v>1305.2078856999999</v>
      </c>
      <c r="K103">
        <v>550</v>
      </c>
      <c r="L103">
        <v>0</v>
      </c>
      <c r="M103">
        <v>0</v>
      </c>
      <c r="N103">
        <v>550</v>
      </c>
    </row>
    <row r="104" spans="1:14" x14ac:dyDescent="0.25">
      <c r="A104">
        <v>12.036688</v>
      </c>
      <c r="B104" s="1">
        <f>DATE(2010,5,13) + TIME(0,52,49)</f>
        <v>40311.036678240744</v>
      </c>
      <c r="C104">
        <v>80</v>
      </c>
      <c r="D104">
        <v>78.658836364999999</v>
      </c>
      <c r="E104">
        <v>40</v>
      </c>
      <c r="F104">
        <v>14.999103546000001</v>
      </c>
      <c r="G104">
        <v>1348.8538818</v>
      </c>
      <c r="H104">
        <v>1344.3447266000001</v>
      </c>
      <c r="I104">
        <v>1314.3659668</v>
      </c>
      <c r="J104">
        <v>1305.2097168</v>
      </c>
      <c r="K104">
        <v>550</v>
      </c>
      <c r="L104">
        <v>0</v>
      </c>
      <c r="M104">
        <v>0</v>
      </c>
      <c r="N104">
        <v>550</v>
      </c>
    </row>
    <row r="105" spans="1:14" x14ac:dyDescent="0.25">
      <c r="A105">
        <v>12.359514000000001</v>
      </c>
      <c r="B105" s="1">
        <f>DATE(2010,5,13) + TIME(8,37,42)</f>
        <v>40311.359513888892</v>
      </c>
      <c r="C105">
        <v>80</v>
      </c>
      <c r="D105">
        <v>78.769859314000001</v>
      </c>
      <c r="E105">
        <v>40</v>
      </c>
      <c r="F105">
        <v>14.999111176</v>
      </c>
      <c r="G105">
        <v>1348.8358154</v>
      </c>
      <c r="H105">
        <v>1344.3237305</v>
      </c>
      <c r="I105">
        <v>1314.3691406</v>
      </c>
      <c r="J105">
        <v>1305.2115478999999</v>
      </c>
      <c r="K105">
        <v>550</v>
      </c>
      <c r="L105">
        <v>0</v>
      </c>
      <c r="M105">
        <v>0</v>
      </c>
      <c r="N105">
        <v>550</v>
      </c>
    </row>
    <row r="106" spans="1:14" x14ac:dyDescent="0.25">
      <c r="A106">
        <v>12.693165</v>
      </c>
      <c r="B106" s="1">
        <f>DATE(2010,5,13) + TIME(16,38,9)</f>
        <v>40311.693159722221</v>
      </c>
      <c r="C106">
        <v>80</v>
      </c>
      <c r="D106">
        <v>78.871063231999997</v>
      </c>
      <c r="E106">
        <v>40</v>
      </c>
      <c r="F106">
        <v>14.999117850999999</v>
      </c>
      <c r="G106">
        <v>1348.8164062000001</v>
      </c>
      <c r="H106">
        <v>1344.3015137</v>
      </c>
      <c r="I106">
        <v>1314.3723144999999</v>
      </c>
      <c r="J106">
        <v>1305.213501</v>
      </c>
      <c r="K106">
        <v>550</v>
      </c>
      <c r="L106">
        <v>0</v>
      </c>
      <c r="M106">
        <v>0</v>
      </c>
      <c r="N106">
        <v>550</v>
      </c>
    </row>
    <row r="107" spans="1:14" x14ac:dyDescent="0.25">
      <c r="A107">
        <v>13.038655</v>
      </c>
      <c r="B107" s="1">
        <f>DATE(2010,5,14) + TIME(0,55,39)</f>
        <v>40312.038645833331</v>
      </c>
      <c r="C107">
        <v>80</v>
      </c>
      <c r="D107">
        <v>78.963127135999997</v>
      </c>
      <c r="E107">
        <v>40</v>
      </c>
      <c r="F107">
        <v>14.999125481</v>
      </c>
      <c r="G107">
        <v>1348.7958983999999</v>
      </c>
      <c r="H107">
        <v>1344.2780762</v>
      </c>
      <c r="I107">
        <v>1314.3754882999999</v>
      </c>
      <c r="J107">
        <v>1305.2155762</v>
      </c>
      <c r="K107">
        <v>550</v>
      </c>
      <c r="L107">
        <v>0</v>
      </c>
      <c r="M107">
        <v>0</v>
      </c>
      <c r="N107">
        <v>550</v>
      </c>
    </row>
    <row r="108" spans="1:14" x14ac:dyDescent="0.25">
      <c r="A108">
        <v>13.397122</v>
      </c>
      <c r="B108" s="1">
        <f>DATE(2010,5,14) + TIME(9,31,51)</f>
        <v>40312.397118055553</v>
      </c>
      <c r="C108">
        <v>80</v>
      </c>
      <c r="D108">
        <v>79.046707153</v>
      </c>
      <c r="E108">
        <v>40</v>
      </c>
      <c r="F108">
        <v>14.999132156</v>
      </c>
      <c r="G108">
        <v>1348.7740478999999</v>
      </c>
      <c r="H108">
        <v>1344.253418</v>
      </c>
      <c r="I108">
        <v>1314.3787841999999</v>
      </c>
      <c r="J108">
        <v>1305.2175293</v>
      </c>
      <c r="K108">
        <v>550</v>
      </c>
      <c r="L108">
        <v>0</v>
      </c>
      <c r="M108">
        <v>0</v>
      </c>
      <c r="N108">
        <v>550</v>
      </c>
    </row>
    <row r="109" spans="1:14" x14ac:dyDescent="0.25">
      <c r="A109">
        <v>13.580059</v>
      </c>
      <c r="B109" s="1">
        <f>DATE(2010,5,14) + TIME(13,55,17)</f>
        <v>40312.580057870371</v>
      </c>
      <c r="C109">
        <v>80</v>
      </c>
      <c r="D109">
        <v>79.086517334000007</v>
      </c>
      <c r="E109">
        <v>40</v>
      </c>
      <c r="F109">
        <v>14.999135970999999</v>
      </c>
      <c r="G109">
        <v>1348.7543945</v>
      </c>
      <c r="H109">
        <v>1344.2276611</v>
      </c>
      <c r="I109">
        <v>1314.3819579999999</v>
      </c>
      <c r="J109">
        <v>1305.2196045000001</v>
      </c>
      <c r="K109">
        <v>550</v>
      </c>
      <c r="L109">
        <v>0</v>
      </c>
      <c r="M109">
        <v>0</v>
      </c>
      <c r="N109">
        <v>550</v>
      </c>
    </row>
    <row r="110" spans="1:14" x14ac:dyDescent="0.25">
      <c r="A110">
        <v>13.762995999999999</v>
      </c>
      <c r="B110" s="1">
        <f>DATE(2010,5,14) + TIME(18,18,42)</f>
        <v>40312.762986111113</v>
      </c>
      <c r="C110">
        <v>80</v>
      </c>
      <c r="D110">
        <v>79.123634338000002</v>
      </c>
      <c r="E110">
        <v>40</v>
      </c>
      <c r="F110">
        <v>14.999139786000001</v>
      </c>
      <c r="G110">
        <v>1348.7424315999999</v>
      </c>
      <c r="H110">
        <v>1344.2144774999999</v>
      </c>
      <c r="I110">
        <v>1314.3836670000001</v>
      </c>
      <c r="J110">
        <v>1305.2207031</v>
      </c>
      <c r="K110">
        <v>550</v>
      </c>
      <c r="L110">
        <v>0</v>
      </c>
      <c r="M110">
        <v>0</v>
      </c>
      <c r="N110">
        <v>550</v>
      </c>
    </row>
    <row r="111" spans="1:14" x14ac:dyDescent="0.25">
      <c r="A111">
        <v>13.945933</v>
      </c>
      <c r="B111" s="1">
        <f>DATE(2010,5,14) + TIME(22,42,8)</f>
        <v>40312.945925925924</v>
      </c>
      <c r="C111">
        <v>80</v>
      </c>
      <c r="D111">
        <v>79.158226013000004</v>
      </c>
      <c r="E111">
        <v>40</v>
      </c>
      <c r="F111">
        <v>14.9991436</v>
      </c>
      <c r="G111">
        <v>1348.7304687999999</v>
      </c>
      <c r="H111">
        <v>1344.2011719</v>
      </c>
      <c r="I111">
        <v>1314.385376</v>
      </c>
      <c r="J111">
        <v>1305.2216797000001</v>
      </c>
      <c r="K111">
        <v>550</v>
      </c>
      <c r="L111">
        <v>0</v>
      </c>
      <c r="M111">
        <v>0</v>
      </c>
      <c r="N111">
        <v>550</v>
      </c>
    </row>
    <row r="112" spans="1:14" x14ac:dyDescent="0.25">
      <c r="A112">
        <v>14.311807</v>
      </c>
      <c r="B112" s="1">
        <f>DATE(2010,5,15) + TIME(7,29,0)</f>
        <v>40313.311805555553</v>
      </c>
      <c r="C112">
        <v>80</v>
      </c>
      <c r="D112">
        <v>79.218612671000002</v>
      </c>
      <c r="E112">
        <v>40</v>
      </c>
      <c r="F112">
        <v>14.999150276</v>
      </c>
      <c r="G112">
        <v>1348.7156981999999</v>
      </c>
      <c r="H112">
        <v>1344.1878661999999</v>
      </c>
      <c r="I112">
        <v>1314.3870850000001</v>
      </c>
      <c r="J112">
        <v>1305.2229004000001</v>
      </c>
      <c r="K112">
        <v>550</v>
      </c>
      <c r="L112">
        <v>0</v>
      </c>
      <c r="M112">
        <v>0</v>
      </c>
      <c r="N112">
        <v>550</v>
      </c>
    </row>
    <row r="113" spans="1:14" x14ac:dyDescent="0.25">
      <c r="A113">
        <v>14.677788</v>
      </c>
      <c r="B113" s="1">
        <f>DATE(2010,5,15) + TIME(16,16,0)</f>
        <v>40313.677777777775</v>
      </c>
      <c r="C113">
        <v>80</v>
      </c>
      <c r="D113">
        <v>79.271446228000002</v>
      </c>
      <c r="E113">
        <v>40</v>
      </c>
      <c r="F113">
        <v>14.999156952</v>
      </c>
      <c r="G113">
        <v>1348.6915283000001</v>
      </c>
      <c r="H113">
        <v>1344.1610106999999</v>
      </c>
      <c r="I113">
        <v>1314.3903809000001</v>
      </c>
      <c r="J113">
        <v>1305.2250977000001</v>
      </c>
      <c r="K113">
        <v>550</v>
      </c>
      <c r="L113">
        <v>0</v>
      </c>
      <c r="M113">
        <v>0</v>
      </c>
      <c r="N113">
        <v>550</v>
      </c>
    </row>
    <row r="114" spans="1:14" x14ac:dyDescent="0.25">
      <c r="A114">
        <v>15.044969</v>
      </c>
      <c r="B114" s="1">
        <f>DATE(2010,5,16) + TIME(1,4,45)</f>
        <v>40314.044965277775</v>
      </c>
      <c r="C114">
        <v>80</v>
      </c>
      <c r="D114">
        <v>79.317848205999994</v>
      </c>
      <c r="E114">
        <v>40</v>
      </c>
      <c r="F114">
        <v>14.999163628</v>
      </c>
      <c r="G114">
        <v>1348.6671143000001</v>
      </c>
      <c r="H114">
        <v>1344.1340332</v>
      </c>
      <c r="I114">
        <v>1314.3936768000001</v>
      </c>
      <c r="J114">
        <v>1305.2272949000001</v>
      </c>
      <c r="K114">
        <v>550</v>
      </c>
      <c r="L114">
        <v>0</v>
      </c>
      <c r="M114">
        <v>0</v>
      </c>
      <c r="N114">
        <v>550</v>
      </c>
    </row>
    <row r="115" spans="1:14" x14ac:dyDescent="0.25">
      <c r="A115">
        <v>15.413969</v>
      </c>
      <c r="B115" s="1">
        <f>DATE(2010,5,16) + TIME(9,56,6)</f>
        <v>40314.413958333331</v>
      </c>
      <c r="C115">
        <v>80</v>
      </c>
      <c r="D115">
        <v>79.358680724999999</v>
      </c>
      <c r="E115">
        <v>40</v>
      </c>
      <c r="F115">
        <v>14.999169350000001</v>
      </c>
      <c r="G115">
        <v>1348.6423339999999</v>
      </c>
      <c r="H115">
        <v>1344.1070557</v>
      </c>
      <c r="I115">
        <v>1314.3968506000001</v>
      </c>
      <c r="J115">
        <v>1305.2294922000001</v>
      </c>
      <c r="K115">
        <v>550</v>
      </c>
      <c r="L115">
        <v>0</v>
      </c>
      <c r="M115">
        <v>0</v>
      </c>
      <c r="N115">
        <v>550</v>
      </c>
    </row>
    <row r="116" spans="1:14" x14ac:dyDescent="0.25">
      <c r="A116">
        <v>15.785354999999999</v>
      </c>
      <c r="B116" s="1">
        <f>DATE(2010,5,16) + TIME(18,50,54)</f>
        <v>40314.78534722222</v>
      </c>
      <c r="C116">
        <v>80</v>
      </c>
      <c r="D116">
        <v>79.394676208000007</v>
      </c>
      <c r="E116">
        <v>40</v>
      </c>
      <c r="F116">
        <v>14.999176025000001</v>
      </c>
      <c r="G116">
        <v>1348.6174315999999</v>
      </c>
      <c r="H116">
        <v>1344.0798339999999</v>
      </c>
      <c r="I116">
        <v>1314.4001464999999</v>
      </c>
      <c r="J116">
        <v>1305.2315673999999</v>
      </c>
      <c r="K116">
        <v>550</v>
      </c>
      <c r="L116">
        <v>0</v>
      </c>
      <c r="M116">
        <v>0</v>
      </c>
      <c r="N116">
        <v>550</v>
      </c>
    </row>
    <row r="117" spans="1:14" x14ac:dyDescent="0.25">
      <c r="A117">
        <v>16.159708999999999</v>
      </c>
      <c r="B117" s="1">
        <f>DATE(2010,5,17) + TIME(3,49,58)</f>
        <v>40315.159699074073</v>
      </c>
      <c r="C117">
        <v>80</v>
      </c>
      <c r="D117">
        <v>79.426467896000005</v>
      </c>
      <c r="E117">
        <v>40</v>
      </c>
      <c r="F117">
        <v>14.999182701000001</v>
      </c>
      <c r="G117">
        <v>1348.5922852000001</v>
      </c>
      <c r="H117">
        <v>1344.0527344</v>
      </c>
      <c r="I117">
        <v>1314.4033202999999</v>
      </c>
      <c r="J117">
        <v>1305.2337646000001</v>
      </c>
      <c r="K117">
        <v>550</v>
      </c>
      <c r="L117">
        <v>0</v>
      </c>
      <c r="M117">
        <v>0</v>
      </c>
      <c r="N117">
        <v>550</v>
      </c>
    </row>
    <row r="118" spans="1:14" x14ac:dyDescent="0.25">
      <c r="A118">
        <v>16.537665000000001</v>
      </c>
      <c r="B118" s="1">
        <f>DATE(2010,5,17) + TIME(12,54,14)</f>
        <v>40315.537662037037</v>
      </c>
      <c r="C118">
        <v>80</v>
      </c>
      <c r="D118">
        <v>79.454597473000007</v>
      </c>
      <c r="E118">
        <v>40</v>
      </c>
      <c r="F118">
        <v>14.999188423</v>
      </c>
      <c r="G118">
        <v>1348.5668945</v>
      </c>
      <c r="H118">
        <v>1344.0255127</v>
      </c>
      <c r="I118">
        <v>1314.4064940999999</v>
      </c>
      <c r="J118">
        <v>1305.2359618999999</v>
      </c>
      <c r="K118">
        <v>550</v>
      </c>
      <c r="L118">
        <v>0</v>
      </c>
      <c r="M118">
        <v>0</v>
      </c>
      <c r="N118">
        <v>550</v>
      </c>
    </row>
    <row r="119" spans="1:14" x14ac:dyDescent="0.25">
      <c r="A119">
        <v>16.919816999999998</v>
      </c>
      <c r="B119" s="1">
        <f>DATE(2010,5,17) + TIME(22,4,32)</f>
        <v>40315.919814814813</v>
      </c>
      <c r="C119">
        <v>80</v>
      </c>
      <c r="D119">
        <v>79.479530334000003</v>
      </c>
      <c r="E119">
        <v>40</v>
      </c>
      <c r="F119">
        <v>14.999195099</v>
      </c>
      <c r="G119">
        <v>1348.5412598</v>
      </c>
      <c r="H119">
        <v>1343.9981689000001</v>
      </c>
      <c r="I119">
        <v>1314.409668</v>
      </c>
      <c r="J119">
        <v>1305.2382812000001</v>
      </c>
      <c r="K119">
        <v>550</v>
      </c>
      <c r="L119">
        <v>0</v>
      </c>
      <c r="M119">
        <v>0</v>
      </c>
      <c r="N119">
        <v>550</v>
      </c>
    </row>
    <row r="120" spans="1:14" x14ac:dyDescent="0.25">
      <c r="A120">
        <v>17.306771999999999</v>
      </c>
      <c r="B120" s="1">
        <f>DATE(2010,5,18) + TIME(7,21,45)</f>
        <v>40316.306770833333</v>
      </c>
      <c r="C120">
        <v>80</v>
      </c>
      <c r="D120">
        <v>79.501663207999997</v>
      </c>
      <c r="E120">
        <v>40</v>
      </c>
      <c r="F120">
        <v>14.999200821000001</v>
      </c>
      <c r="G120">
        <v>1348.5155029</v>
      </c>
      <c r="H120">
        <v>1343.9707031</v>
      </c>
      <c r="I120">
        <v>1314.4129639</v>
      </c>
      <c r="J120">
        <v>1305.2404785000001</v>
      </c>
      <c r="K120">
        <v>550</v>
      </c>
      <c r="L120">
        <v>0</v>
      </c>
      <c r="M120">
        <v>0</v>
      </c>
      <c r="N120">
        <v>550</v>
      </c>
    </row>
    <row r="121" spans="1:14" x14ac:dyDescent="0.25">
      <c r="A121">
        <v>17.699152999999999</v>
      </c>
      <c r="B121" s="1">
        <f>DATE(2010,5,18) + TIME(16,46,46)</f>
        <v>40316.699143518519</v>
      </c>
      <c r="C121">
        <v>80</v>
      </c>
      <c r="D121">
        <v>79.521339416999993</v>
      </c>
      <c r="E121">
        <v>40</v>
      </c>
      <c r="F121">
        <v>14.999206543</v>
      </c>
      <c r="G121">
        <v>1348.4895019999999</v>
      </c>
      <c r="H121">
        <v>1343.9432373</v>
      </c>
      <c r="I121">
        <v>1314.4162598</v>
      </c>
      <c r="J121">
        <v>1305.2427978999999</v>
      </c>
      <c r="K121">
        <v>550</v>
      </c>
      <c r="L121">
        <v>0</v>
      </c>
      <c r="M121">
        <v>0</v>
      </c>
      <c r="N121">
        <v>550</v>
      </c>
    </row>
    <row r="122" spans="1:14" x14ac:dyDescent="0.25">
      <c r="A122">
        <v>18.097607</v>
      </c>
      <c r="B122" s="1">
        <f>DATE(2010,5,19) + TIME(2,20,33)</f>
        <v>40317.097604166665</v>
      </c>
      <c r="C122">
        <v>80</v>
      </c>
      <c r="D122">
        <v>79.538864136000001</v>
      </c>
      <c r="E122">
        <v>40</v>
      </c>
      <c r="F122">
        <v>14.999213219</v>
      </c>
      <c r="G122">
        <v>1348.4632568</v>
      </c>
      <c r="H122">
        <v>1343.9156493999999</v>
      </c>
      <c r="I122">
        <v>1314.4194336</v>
      </c>
      <c r="J122">
        <v>1305.2451172000001</v>
      </c>
      <c r="K122">
        <v>550</v>
      </c>
      <c r="L122">
        <v>0</v>
      </c>
      <c r="M122">
        <v>0</v>
      </c>
      <c r="N122">
        <v>550</v>
      </c>
    </row>
    <row r="123" spans="1:14" x14ac:dyDescent="0.25">
      <c r="A123">
        <v>18.502813</v>
      </c>
      <c r="B123" s="1">
        <f>DATE(2010,5,19) + TIME(12,4,3)</f>
        <v>40317.502812500003</v>
      </c>
      <c r="C123">
        <v>80</v>
      </c>
      <c r="D123">
        <v>79.554496764999996</v>
      </c>
      <c r="E123">
        <v>40</v>
      </c>
      <c r="F123">
        <v>14.999218941000001</v>
      </c>
      <c r="G123">
        <v>1348.4367675999999</v>
      </c>
      <c r="H123">
        <v>1343.8879394999999</v>
      </c>
      <c r="I123">
        <v>1314.4228516000001</v>
      </c>
      <c r="J123">
        <v>1305.2474365</v>
      </c>
      <c r="K123">
        <v>550</v>
      </c>
      <c r="L123">
        <v>0</v>
      </c>
      <c r="M123">
        <v>0</v>
      </c>
      <c r="N123">
        <v>550</v>
      </c>
    </row>
    <row r="124" spans="1:14" x14ac:dyDescent="0.25">
      <c r="A124">
        <v>18.915486999999999</v>
      </c>
      <c r="B124" s="1">
        <f>DATE(2010,5,19) + TIME(21,58,18)</f>
        <v>40317.915486111109</v>
      </c>
      <c r="C124">
        <v>80</v>
      </c>
      <c r="D124">
        <v>79.568466186999999</v>
      </c>
      <c r="E124">
        <v>40</v>
      </c>
      <c r="F124">
        <v>14.999224663</v>
      </c>
      <c r="G124">
        <v>1348.4100341999999</v>
      </c>
      <c r="H124">
        <v>1343.8601074000001</v>
      </c>
      <c r="I124">
        <v>1314.4261475000001</v>
      </c>
      <c r="J124">
        <v>1305.2497559000001</v>
      </c>
      <c r="K124">
        <v>550</v>
      </c>
      <c r="L124">
        <v>0</v>
      </c>
      <c r="M124">
        <v>0</v>
      </c>
      <c r="N124">
        <v>550</v>
      </c>
    </row>
    <row r="125" spans="1:14" x14ac:dyDescent="0.25">
      <c r="A125">
        <v>19.336393999999999</v>
      </c>
      <c r="B125" s="1">
        <f>DATE(2010,5,20) + TIME(8,4,24)</f>
        <v>40318.336388888885</v>
      </c>
      <c r="C125">
        <v>80</v>
      </c>
      <c r="D125">
        <v>79.580970764</v>
      </c>
      <c r="E125">
        <v>40</v>
      </c>
      <c r="F125">
        <v>14.999231339</v>
      </c>
      <c r="G125">
        <v>1348.3830565999999</v>
      </c>
      <c r="H125">
        <v>1343.8320312000001</v>
      </c>
      <c r="I125">
        <v>1314.4295654</v>
      </c>
      <c r="J125">
        <v>1305.2521973</v>
      </c>
      <c r="K125">
        <v>550</v>
      </c>
      <c r="L125">
        <v>0</v>
      </c>
      <c r="M125">
        <v>0</v>
      </c>
      <c r="N125">
        <v>550</v>
      </c>
    </row>
    <row r="126" spans="1:14" x14ac:dyDescent="0.25">
      <c r="A126">
        <v>19.766413</v>
      </c>
      <c r="B126" s="1">
        <f>DATE(2010,5,20) + TIME(18,23,38)</f>
        <v>40318.766412037039</v>
      </c>
      <c r="C126">
        <v>80</v>
      </c>
      <c r="D126">
        <v>79.592178344999994</v>
      </c>
      <c r="E126">
        <v>40</v>
      </c>
      <c r="F126">
        <v>14.999237061000001</v>
      </c>
      <c r="G126">
        <v>1348.3558350000001</v>
      </c>
      <c r="H126">
        <v>1343.8039550999999</v>
      </c>
      <c r="I126">
        <v>1314.4329834</v>
      </c>
      <c r="J126">
        <v>1305.2547606999999</v>
      </c>
      <c r="K126">
        <v>550</v>
      </c>
      <c r="L126">
        <v>0</v>
      </c>
      <c r="M126">
        <v>0</v>
      </c>
      <c r="N126">
        <v>550</v>
      </c>
    </row>
    <row r="127" spans="1:14" x14ac:dyDescent="0.25">
      <c r="A127">
        <v>20.206513999999999</v>
      </c>
      <c r="B127" s="1">
        <f>DATE(2010,5,21) + TIME(4,57,22)</f>
        <v>40319.206504629627</v>
      </c>
      <c r="C127">
        <v>80</v>
      </c>
      <c r="D127">
        <v>79.602249146000005</v>
      </c>
      <c r="E127">
        <v>40</v>
      </c>
      <c r="F127">
        <v>14.999242783</v>
      </c>
      <c r="G127">
        <v>1348.3282471</v>
      </c>
      <c r="H127">
        <v>1343.7755127</v>
      </c>
      <c r="I127">
        <v>1314.4365233999999</v>
      </c>
      <c r="J127">
        <v>1305.2573242000001</v>
      </c>
      <c r="K127">
        <v>550</v>
      </c>
      <c r="L127">
        <v>0</v>
      </c>
      <c r="M127">
        <v>0</v>
      </c>
      <c r="N127">
        <v>550</v>
      </c>
    </row>
    <row r="128" spans="1:14" x14ac:dyDescent="0.25">
      <c r="A128">
        <v>20.654343000000001</v>
      </c>
      <c r="B128" s="1">
        <f>DATE(2010,5,21) + TIME(15,42,15)</f>
        <v>40319.654340277775</v>
      </c>
      <c r="C128">
        <v>80</v>
      </c>
      <c r="D128">
        <v>79.611259459999999</v>
      </c>
      <c r="E128">
        <v>40</v>
      </c>
      <c r="F128">
        <v>14.999249458</v>
      </c>
      <c r="G128">
        <v>1348.300293</v>
      </c>
      <c r="H128">
        <v>1343.7469481999999</v>
      </c>
      <c r="I128">
        <v>1314.4400635</v>
      </c>
      <c r="J128">
        <v>1305.2598877</v>
      </c>
      <c r="K128">
        <v>550</v>
      </c>
      <c r="L128">
        <v>0</v>
      </c>
      <c r="M128">
        <v>0</v>
      </c>
      <c r="N128">
        <v>550</v>
      </c>
    </row>
    <row r="129" spans="1:14" x14ac:dyDescent="0.25">
      <c r="A129">
        <v>21.110742999999999</v>
      </c>
      <c r="B129" s="1">
        <f>DATE(2010,5,22) + TIME(2,39,28)</f>
        <v>40320.11074074074</v>
      </c>
      <c r="C129">
        <v>80</v>
      </c>
      <c r="D129">
        <v>79.619338988999999</v>
      </c>
      <c r="E129">
        <v>40</v>
      </c>
      <c r="F129">
        <v>14.99925518</v>
      </c>
      <c r="G129">
        <v>1348.2722168</v>
      </c>
      <c r="H129">
        <v>1343.7182617000001</v>
      </c>
      <c r="I129">
        <v>1314.4437256000001</v>
      </c>
      <c r="J129">
        <v>1305.2625731999999</v>
      </c>
      <c r="K129">
        <v>550</v>
      </c>
      <c r="L129">
        <v>0</v>
      </c>
      <c r="M129">
        <v>0</v>
      </c>
      <c r="N129">
        <v>550</v>
      </c>
    </row>
    <row r="130" spans="1:14" x14ac:dyDescent="0.25">
      <c r="A130">
        <v>21.576588999999998</v>
      </c>
      <c r="B130" s="1">
        <f>DATE(2010,5,22) + TIME(13,50,17)</f>
        <v>40320.576585648145</v>
      </c>
      <c r="C130">
        <v>80</v>
      </c>
      <c r="D130">
        <v>79.626609802000004</v>
      </c>
      <c r="E130">
        <v>40</v>
      </c>
      <c r="F130">
        <v>14.999260902</v>
      </c>
      <c r="G130">
        <v>1348.2438964999999</v>
      </c>
      <c r="H130">
        <v>1343.6894531</v>
      </c>
      <c r="I130">
        <v>1314.4475098</v>
      </c>
      <c r="J130">
        <v>1305.2652588000001</v>
      </c>
      <c r="K130">
        <v>550</v>
      </c>
      <c r="L130">
        <v>0</v>
      </c>
      <c r="M130">
        <v>0</v>
      </c>
      <c r="N130">
        <v>550</v>
      </c>
    </row>
    <row r="131" spans="1:14" x14ac:dyDescent="0.25">
      <c r="A131">
        <v>22.052636</v>
      </c>
      <c r="B131" s="1">
        <f>DATE(2010,5,23) + TIME(1,15,47)</f>
        <v>40321.052627314813</v>
      </c>
      <c r="C131">
        <v>80</v>
      </c>
      <c r="D131">
        <v>79.633163452000005</v>
      </c>
      <c r="E131">
        <v>40</v>
      </c>
      <c r="F131">
        <v>14.999267578</v>
      </c>
      <c r="G131">
        <v>1348.2154541</v>
      </c>
      <c r="H131">
        <v>1343.6605225000001</v>
      </c>
      <c r="I131">
        <v>1314.4512939000001</v>
      </c>
      <c r="J131">
        <v>1305.2679443</v>
      </c>
      <c r="K131">
        <v>550</v>
      </c>
      <c r="L131">
        <v>0</v>
      </c>
      <c r="M131">
        <v>0</v>
      </c>
      <c r="N131">
        <v>550</v>
      </c>
    </row>
    <row r="132" spans="1:14" x14ac:dyDescent="0.25">
      <c r="A132">
        <v>22.539791000000001</v>
      </c>
      <c r="B132" s="1">
        <f>DATE(2010,5,23) + TIME(12,57,17)</f>
        <v>40321.539780092593</v>
      </c>
      <c r="C132">
        <v>80</v>
      </c>
      <c r="D132">
        <v>79.639091492000006</v>
      </c>
      <c r="E132">
        <v>40</v>
      </c>
      <c r="F132">
        <v>14.9992733</v>
      </c>
      <c r="G132">
        <v>1348.1866454999999</v>
      </c>
      <c r="H132">
        <v>1343.6314697</v>
      </c>
      <c r="I132">
        <v>1314.4550781</v>
      </c>
      <c r="J132">
        <v>1305.2707519999999</v>
      </c>
      <c r="K132">
        <v>550</v>
      </c>
      <c r="L132">
        <v>0</v>
      </c>
      <c r="M132">
        <v>0</v>
      </c>
      <c r="N132">
        <v>550</v>
      </c>
    </row>
    <row r="133" spans="1:14" x14ac:dyDescent="0.25">
      <c r="A133">
        <v>23.039014999999999</v>
      </c>
      <c r="B133" s="1">
        <f>DATE(2010,5,24) + TIME(0,56,10)</f>
        <v>40322.039004629631</v>
      </c>
      <c r="C133">
        <v>80</v>
      </c>
      <c r="D133">
        <v>79.644462584999999</v>
      </c>
      <c r="E133">
        <v>40</v>
      </c>
      <c r="F133">
        <v>14.999279022</v>
      </c>
      <c r="G133">
        <v>1348.1577147999999</v>
      </c>
      <c r="H133">
        <v>1343.6022949000001</v>
      </c>
      <c r="I133">
        <v>1314.4589844</v>
      </c>
      <c r="J133">
        <v>1305.2736815999999</v>
      </c>
      <c r="K133">
        <v>550</v>
      </c>
      <c r="L133">
        <v>0</v>
      </c>
      <c r="M133">
        <v>0</v>
      </c>
      <c r="N133">
        <v>550</v>
      </c>
    </row>
    <row r="134" spans="1:14" x14ac:dyDescent="0.25">
      <c r="A134">
        <v>23.551431999999998</v>
      </c>
      <c r="B134" s="1">
        <f>DATE(2010,5,24) + TIME(13,14,3)</f>
        <v>40322.551423611112</v>
      </c>
      <c r="C134">
        <v>80</v>
      </c>
      <c r="D134">
        <v>79.649353027000004</v>
      </c>
      <c r="E134">
        <v>40</v>
      </c>
      <c r="F134">
        <v>14.999285698</v>
      </c>
      <c r="G134">
        <v>1348.128418</v>
      </c>
      <c r="H134">
        <v>1343.572876</v>
      </c>
      <c r="I134">
        <v>1314.4631348</v>
      </c>
      <c r="J134">
        <v>1305.2767334</v>
      </c>
      <c r="K134">
        <v>550</v>
      </c>
      <c r="L134">
        <v>0</v>
      </c>
      <c r="M134">
        <v>0</v>
      </c>
      <c r="N134">
        <v>550</v>
      </c>
    </row>
    <row r="135" spans="1:14" x14ac:dyDescent="0.25">
      <c r="A135">
        <v>24.078278000000001</v>
      </c>
      <c r="B135" s="1">
        <f>DATE(2010,5,25) + TIME(1,52,43)</f>
        <v>40323.078275462962</v>
      </c>
      <c r="C135">
        <v>80</v>
      </c>
      <c r="D135">
        <v>79.653808593999997</v>
      </c>
      <c r="E135">
        <v>40</v>
      </c>
      <c r="F135">
        <v>14.999292373999999</v>
      </c>
      <c r="G135">
        <v>1348.0987548999999</v>
      </c>
      <c r="H135">
        <v>1343.5433350000001</v>
      </c>
      <c r="I135">
        <v>1314.4671631000001</v>
      </c>
      <c r="J135">
        <v>1305.2797852000001</v>
      </c>
      <c r="K135">
        <v>550</v>
      </c>
      <c r="L135">
        <v>0</v>
      </c>
      <c r="M135">
        <v>0</v>
      </c>
      <c r="N135">
        <v>550</v>
      </c>
    </row>
    <row r="136" spans="1:14" x14ac:dyDescent="0.25">
      <c r="A136">
        <v>24.620923999999999</v>
      </c>
      <c r="B136" s="1">
        <f>DATE(2010,5,25) + TIME(14,54,7)</f>
        <v>40323.62091435185</v>
      </c>
      <c r="C136">
        <v>80</v>
      </c>
      <c r="D136">
        <v>79.657890320000007</v>
      </c>
      <c r="E136">
        <v>40</v>
      </c>
      <c r="F136">
        <v>14.999298096</v>
      </c>
      <c r="G136">
        <v>1348.0687256000001</v>
      </c>
      <c r="H136">
        <v>1343.5134277</v>
      </c>
      <c r="I136">
        <v>1314.4714355000001</v>
      </c>
      <c r="J136">
        <v>1305.2828368999999</v>
      </c>
      <c r="K136">
        <v>550</v>
      </c>
      <c r="L136">
        <v>0</v>
      </c>
      <c r="M136">
        <v>0</v>
      </c>
      <c r="N136">
        <v>550</v>
      </c>
    </row>
    <row r="137" spans="1:14" x14ac:dyDescent="0.25">
      <c r="A137">
        <v>25.173985999999999</v>
      </c>
      <c r="B137" s="1">
        <f>DATE(2010,5,26) + TIME(4,10,32)</f>
        <v>40324.173981481479</v>
      </c>
      <c r="C137">
        <v>80</v>
      </c>
      <c r="D137">
        <v>79.661598205999994</v>
      </c>
      <c r="E137">
        <v>40</v>
      </c>
      <c r="F137">
        <v>14.999304771</v>
      </c>
      <c r="G137">
        <v>1348.0383300999999</v>
      </c>
      <c r="H137">
        <v>1343.4831543</v>
      </c>
      <c r="I137">
        <v>1314.4758300999999</v>
      </c>
      <c r="J137">
        <v>1305.2861327999999</v>
      </c>
      <c r="K137">
        <v>550</v>
      </c>
      <c r="L137">
        <v>0</v>
      </c>
      <c r="M137">
        <v>0</v>
      </c>
      <c r="N137">
        <v>550</v>
      </c>
    </row>
    <row r="138" spans="1:14" x14ac:dyDescent="0.25">
      <c r="A138">
        <v>25.727499000000002</v>
      </c>
      <c r="B138" s="1">
        <f>DATE(2010,5,26) + TIME(17,27,35)</f>
        <v>40324.727488425924</v>
      </c>
      <c r="C138">
        <v>80</v>
      </c>
      <c r="D138">
        <v>79.664909363000007</v>
      </c>
      <c r="E138">
        <v>40</v>
      </c>
      <c r="F138">
        <v>14.999310492999999</v>
      </c>
      <c r="G138">
        <v>1348.0078125</v>
      </c>
      <c r="H138">
        <v>1343.4530029</v>
      </c>
      <c r="I138">
        <v>1314.4803466999999</v>
      </c>
      <c r="J138">
        <v>1305.2894286999999</v>
      </c>
      <c r="K138">
        <v>550</v>
      </c>
      <c r="L138">
        <v>0</v>
      </c>
      <c r="M138">
        <v>0</v>
      </c>
      <c r="N138">
        <v>550</v>
      </c>
    </row>
    <row r="139" spans="1:14" x14ac:dyDescent="0.25">
      <c r="A139">
        <v>26.282454999999999</v>
      </c>
      <c r="B139" s="1">
        <f>DATE(2010,5,27) + TIME(6,46,44)</f>
        <v>40325.282453703701</v>
      </c>
      <c r="C139">
        <v>80</v>
      </c>
      <c r="D139">
        <v>79.667900084999999</v>
      </c>
      <c r="E139">
        <v>40</v>
      </c>
      <c r="F139">
        <v>14.999317168999999</v>
      </c>
      <c r="G139">
        <v>1347.9777832</v>
      </c>
      <c r="H139">
        <v>1343.4233397999999</v>
      </c>
      <c r="I139">
        <v>1314.4847411999999</v>
      </c>
      <c r="J139">
        <v>1305.2927245999999</v>
      </c>
      <c r="K139">
        <v>550</v>
      </c>
      <c r="L139">
        <v>0</v>
      </c>
      <c r="M139">
        <v>0</v>
      </c>
      <c r="N139">
        <v>550</v>
      </c>
    </row>
    <row r="140" spans="1:14" x14ac:dyDescent="0.25">
      <c r="A140">
        <v>26.839807</v>
      </c>
      <c r="B140" s="1">
        <f>DATE(2010,5,27) + TIME(20,9,19)</f>
        <v>40325.839803240742</v>
      </c>
      <c r="C140">
        <v>80</v>
      </c>
      <c r="D140">
        <v>79.670600891000007</v>
      </c>
      <c r="E140">
        <v>40</v>
      </c>
      <c r="F140">
        <v>14.999322891</v>
      </c>
      <c r="G140">
        <v>1347.9482422000001</v>
      </c>
      <c r="H140">
        <v>1343.3941649999999</v>
      </c>
      <c r="I140">
        <v>1314.4892577999999</v>
      </c>
      <c r="J140">
        <v>1305.2960204999999</v>
      </c>
      <c r="K140">
        <v>550</v>
      </c>
      <c r="L140">
        <v>0</v>
      </c>
      <c r="M140">
        <v>0</v>
      </c>
      <c r="N140">
        <v>550</v>
      </c>
    </row>
    <row r="141" spans="1:14" x14ac:dyDescent="0.25">
      <c r="A141">
        <v>27.400435000000002</v>
      </c>
      <c r="B141" s="1">
        <f>DATE(2010,5,28) + TIME(9,36,37)</f>
        <v>40326.40042824074</v>
      </c>
      <c r="C141">
        <v>80</v>
      </c>
      <c r="D141">
        <v>79.673057556000003</v>
      </c>
      <c r="E141">
        <v>40</v>
      </c>
      <c r="F141">
        <v>14.999329567</v>
      </c>
      <c r="G141">
        <v>1347.9189452999999</v>
      </c>
      <c r="H141">
        <v>1343.3654785000001</v>
      </c>
      <c r="I141">
        <v>1314.4937743999999</v>
      </c>
      <c r="J141">
        <v>1305.2994385</v>
      </c>
      <c r="K141">
        <v>550</v>
      </c>
      <c r="L141">
        <v>0</v>
      </c>
      <c r="M141">
        <v>0</v>
      </c>
      <c r="N141">
        <v>550</v>
      </c>
    </row>
    <row r="142" spans="1:14" x14ac:dyDescent="0.25">
      <c r="A142">
        <v>27.96538</v>
      </c>
      <c r="B142" s="1">
        <f>DATE(2010,5,28) + TIME(23,10,8)</f>
        <v>40326.965370370373</v>
      </c>
      <c r="C142">
        <v>80</v>
      </c>
      <c r="D142">
        <v>79.675300598000007</v>
      </c>
      <c r="E142">
        <v>40</v>
      </c>
      <c r="F142">
        <v>14.999335288999999</v>
      </c>
      <c r="G142">
        <v>1347.8900146000001</v>
      </c>
      <c r="H142">
        <v>1343.3371582</v>
      </c>
      <c r="I142">
        <v>1314.4982910000001</v>
      </c>
      <c r="J142">
        <v>1305.3028564000001</v>
      </c>
      <c r="K142">
        <v>550</v>
      </c>
      <c r="L142">
        <v>0</v>
      </c>
      <c r="M142">
        <v>0</v>
      </c>
      <c r="N142">
        <v>550</v>
      </c>
    </row>
    <row r="143" spans="1:14" x14ac:dyDescent="0.25">
      <c r="A143">
        <v>28.535588000000001</v>
      </c>
      <c r="B143" s="1">
        <f>DATE(2010,5,29) + TIME(12,51,14)</f>
        <v>40327.535578703704</v>
      </c>
      <c r="C143">
        <v>80</v>
      </c>
      <c r="D143">
        <v>79.677368164000001</v>
      </c>
      <c r="E143">
        <v>40</v>
      </c>
      <c r="F143">
        <v>14.999341964999999</v>
      </c>
      <c r="G143">
        <v>1347.8613281</v>
      </c>
      <c r="H143">
        <v>1343.3092041</v>
      </c>
      <c r="I143">
        <v>1314.5028076000001</v>
      </c>
      <c r="J143">
        <v>1305.3062743999999</v>
      </c>
      <c r="K143">
        <v>550</v>
      </c>
      <c r="L143">
        <v>0</v>
      </c>
      <c r="M143">
        <v>0</v>
      </c>
      <c r="N143">
        <v>550</v>
      </c>
    </row>
    <row r="144" spans="1:14" x14ac:dyDescent="0.25">
      <c r="A144">
        <v>29.112023000000001</v>
      </c>
      <c r="B144" s="1">
        <f>DATE(2010,5,30) + TIME(2,41,18)</f>
        <v>40328.112013888887</v>
      </c>
      <c r="C144">
        <v>80</v>
      </c>
      <c r="D144">
        <v>79.679267882999994</v>
      </c>
      <c r="E144">
        <v>40</v>
      </c>
      <c r="F144">
        <v>14.999347687</v>
      </c>
      <c r="G144">
        <v>1347.8327637</v>
      </c>
      <c r="H144">
        <v>1343.2814940999999</v>
      </c>
      <c r="I144">
        <v>1314.5074463000001</v>
      </c>
      <c r="J144">
        <v>1305.3096923999999</v>
      </c>
      <c r="K144">
        <v>550</v>
      </c>
      <c r="L144">
        <v>0</v>
      </c>
      <c r="M144">
        <v>0</v>
      </c>
      <c r="N144">
        <v>550</v>
      </c>
    </row>
    <row r="145" spans="1:14" x14ac:dyDescent="0.25">
      <c r="A145">
        <v>29.695665000000002</v>
      </c>
      <c r="B145" s="1">
        <f>DATE(2010,5,30) + TIME(16,41,45)</f>
        <v>40328.695659722223</v>
      </c>
      <c r="C145">
        <v>80</v>
      </c>
      <c r="D145">
        <v>79.681022643999995</v>
      </c>
      <c r="E145">
        <v>40</v>
      </c>
      <c r="F145">
        <v>14.999353408999999</v>
      </c>
      <c r="G145">
        <v>1347.8044434000001</v>
      </c>
      <c r="H145">
        <v>1343.2540283000001</v>
      </c>
      <c r="I145">
        <v>1314.512207</v>
      </c>
      <c r="J145">
        <v>1305.3132324000001</v>
      </c>
      <c r="K145">
        <v>550</v>
      </c>
      <c r="L145">
        <v>0</v>
      </c>
      <c r="M145">
        <v>0</v>
      </c>
      <c r="N145">
        <v>550</v>
      </c>
    </row>
    <row r="146" spans="1:14" x14ac:dyDescent="0.25">
      <c r="A146">
        <v>30.287542999999999</v>
      </c>
      <c r="B146" s="1">
        <f>DATE(2010,5,31) + TIME(6,54,3)</f>
        <v>40329.287534722222</v>
      </c>
      <c r="C146">
        <v>80</v>
      </c>
      <c r="D146">
        <v>79.682655334000003</v>
      </c>
      <c r="E146">
        <v>40</v>
      </c>
      <c r="F146">
        <v>14.999360084999999</v>
      </c>
      <c r="G146">
        <v>1347.7761230000001</v>
      </c>
      <c r="H146">
        <v>1343.2266846</v>
      </c>
      <c r="I146">
        <v>1314.5169678</v>
      </c>
      <c r="J146">
        <v>1305.3167725000001</v>
      </c>
      <c r="K146">
        <v>550</v>
      </c>
      <c r="L146">
        <v>0</v>
      </c>
      <c r="M146">
        <v>0</v>
      </c>
      <c r="N146">
        <v>550</v>
      </c>
    </row>
    <row r="147" spans="1:14" x14ac:dyDescent="0.25">
      <c r="A147">
        <v>30.888715999999999</v>
      </c>
      <c r="B147" s="1">
        <f>DATE(2010,5,31) + TIME(21,19,45)</f>
        <v>40329.888715277775</v>
      </c>
      <c r="C147">
        <v>80</v>
      </c>
      <c r="D147">
        <v>79.684173584000007</v>
      </c>
      <c r="E147">
        <v>40</v>
      </c>
      <c r="F147">
        <v>14.999365807</v>
      </c>
      <c r="G147">
        <v>1347.7480469</v>
      </c>
      <c r="H147">
        <v>1343.1994629000001</v>
      </c>
      <c r="I147">
        <v>1314.5217285000001</v>
      </c>
      <c r="J147">
        <v>1305.3203125</v>
      </c>
      <c r="K147">
        <v>550</v>
      </c>
      <c r="L147">
        <v>0</v>
      </c>
      <c r="M147">
        <v>0</v>
      </c>
      <c r="N147">
        <v>550</v>
      </c>
    </row>
    <row r="148" spans="1:14" x14ac:dyDescent="0.25">
      <c r="A148">
        <v>31</v>
      </c>
      <c r="B148" s="1">
        <f>DATE(2010,6,1) + TIME(0,0,0)</f>
        <v>40330</v>
      </c>
      <c r="C148">
        <v>80</v>
      </c>
      <c r="D148">
        <v>79.684440613000007</v>
      </c>
      <c r="E148">
        <v>40</v>
      </c>
      <c r="F148">
        <v>14.999367714</v>
      </c>
      <c r="G148">
        <v>1347.7199707</v>
      </c>
      <c r="H148">
        <v>1343.1723632999999</v>
      </c>
      <c r="I148">
        <v>1314.5263672000001</v>
      </c>
      <c r="J148">
        <v>1305.3237305</v>
      </c>
      <c r="K148">
        <v>550</v>
      </c>
      <c r="L148">
        <v>0</v>
      </c>
      <c r="M148">
        <v>0</v>
      </c>
      <c r="N148">
        <v>550</v>
      </c>
    </row>
    <row r="149" spans="1:14" x14ac:dyDescent="0.25">
      <c r="A149">
        <v>31.611594</v>
      </c>
      <c r="B149" s="1">
        <f>DATE(2010,6,1) + TIME(14,40,41)</f>
        <v>40330.611585648148</v>
      </c>
      <c r="C149">
        <v>80</v>
      </c>
      <c r="D149">
        <v>79.685844420999999</v>
      </c>
      <c r="E149">
        <v>40</v>
      </c>
      <c r="F149">
        <v>14.999373436000001</v>
      </c>
      <c r="G149">
        <v>1347.7145995999999</v>
      </c>
      <c r="H149">
        <v>1343.1673584</v>
      </c>
      <c r="I149">
        <v>1314.5275879000001</v>
      </c>
      <c r="J149">
        <v>1305.324707</v>
      </c>
      <c r="K149">
        <v>550</v>
      </c>
      <c r="L149">
        <v>0</v>
      </c>
      <c r="M149">
        <v>0</v>
      </c>
      <c r="N149">
        <v>550</v>
      </c>
    </row>
    <row r="150" spans="1:14" x14ac:dyDescent="0.25">
      <c r="A150">
        <v>32.232447000000001</v>
      </c>
      <c r="B150" s="1">
        <f>DATE(2010,6,2) + TIME(5,34,43)</f>
        <v>40331.232442129629</v>
      </c>
      <c r="C150">
        <v>80</v>
      </c>
      <c r="D150">
        <v>79.687149047999995</v>
      </c>
      <c r="E150">
        <v>40</v>
      </c>
      <c r="F150">
        <v>14.999380112000001</v>
      </c>
      <c r="G150">
        <v>1347.6865233999999</v>
      </c>
      <c r="H150">
        <v>1343.1405029</v>
      </c>
      <c r="I150">
        <v>1314.5327147999999</v>
      </c>
      <c r="J150">
        <v>1305.3284911999999</v>
      </c>
      <c r="K150">
        <v>550</v>
      </c>
      <c r="L150">
        <v>0</v>
      </c>
      <c r="M150">
        <v>0</v>
      </c>
      <c r="N150">
        <v>550</v>
      </c>
    </row>
    <row r="151" spans="1:14" x14ac:dyDescent="0.25">
      <c r="A151">
        <v>32.860571999999998</v>
      </c>
      <c r="B151" s="1">
        <f>DATE(2010,6,2) + TIME(20,39,13)</f>
        <v>40331.860567129632</v>
      </c>
      <c r="C151">
        <v>80</v>
      </c>
      <c r="D151">
        <v>79.688362122000001</v>
      </c>
      <c r="E151">
        <v>40</v>
      </c>
      <c r="F151">
        <v>14.999385834</v>
      </c>
      <c r="G151">
        <v>1347.6584473</v>
      </c>
      <c r="H151">
        <v>1343.1136475000001</v>
      </c>
      <c r="I151">
        <v>1314.5377197</v>
      </c>
      <c r="J151">
        <v>1305.3322754000001</v>
      </c>
      <c r="K151">
        <v>550</v>
      </c>
      <c r="L151">
        <v>0</v>
      </c>
      <c r="M151">
        <v>0</v>
      </c>
      <c r="N151">
        <v>550</v>
      </c>
    </row>
    <row r="152" spans="1:14" x14ac:dyDescent="0.25">
      <c r="A152">
        <v>33.496972999999997</v>
      </c>
      <c r="B152" s="1">
        <f>DATE(2010,6,3) + TIME(11,55,38)</f>
        <v>40332.496967592589</v>
      </c>
      <c r="C152">
        <v>80</v>
      </c>
      <c r="D152">
        <v>79.689498900999993</v>
      </c>
      <c r="E152">
        <v>40</v>
      </c>
      <c r="F152">
        <v>14.999392509</v>
      </c>
      <c r="G152">
        <v>1347.6306152</v>
      </c>
      <c r="H152">
        <v>1343.0870361</v>
      </c>
      <c r="I152">
        <v>1314.5429687999999</v>
      </c>
      <c r="J152">
        <v>1305.3361815999999</v>
      </c>
      <c r="K152">
        <v>550</v>
      </c>
      <c r="L152">
        <v>0</v>
      </c>
      <c r="M152">
        <v>0</v>
      </c>
      <c r="N152">
        <v>550</v>
      </c>
    </row>
    <row r="153" spans="1:14" x14ac:dyDescent="0.25">
      <c r="A153">
        <v>34.142660999999997</v>
      </c>
      <c r="B153" s="1">
        <f>DATE(2010,6,4) + TIME(3,25,25)</f>
        <v>40333.142650462964</v>
      </c>
      <c r="C153">
        <v>80</v>
      </c>
      <c r="D153">
        <v>79.690567017000006</v>
      </c>
      <c r="E153">
        <v>40</v>
      </c>
      <c r="F153">
        <v>14.999399185</v>
      </c>
      <c r="G153">
        <v>1347.6026611</v>
      </c>
      <c r="H153">
        <v>1343.0605469</v>
      </c>
      <c r="I153">
        <v>1314.5482178</v>
      </c>
      <c r="J153">
        <v>1305.3400879000001</v>
      </c>
      <c r="K153">
        <v>550</v>
      </c>
      <c r="L153">
        <v>0</v>
      </c>
      <c r="M153">
        <v>0</v>
      </c>
      <c r="N153">
        <v>550</v>
      </c>
    </row>
    <row r="154" spans="1:14" x14ac:dyDescent="0.25">
      <c r="A154">
        <v>34.798698999999999</v>
      </c>
      <c r="B154" s="1">
        <f>DATE(2010,6,4) + TIME(19,10,7)</f>
        <v>40333.798692129632</v>
      </c>
      <c r="C154">
        <v>80</v>
      </c>
      <c r="D154">
        <v>79.691574097</v>
      </c>
      <c r="E154">
        <v>40</v>
      </c>
      <c r="F154">
        <v>14.999405861</v>
      </c>
      <c r="G154">
        <v>1347.5749512</v>
      </c>
      <c r="H154">
        <v>1343.0341797000001</v>
      </c>
      <c r="I154">
        <v>1314.5535889</v>
      </c>
      <c r="J154">
        <v>1305.3441161999999</v>
      </c>
      <c r="K154">
        <v>550</v>
      </c>
      <c r="L154">
        <v>0</v>
      </c>
      <c r="M154">
        <v>0</v>
      </c>
      <c r="N154">
        <v>550</v>
      </c>
    </row>
    <row r="155" spans="1:14" x14ac:dyDescent="0.25">
      <c r="A155">
        <v>35.466439000000001</v>
      </c>
      <c r="B155" s="1">
        <f>DATE(2010,6,5) + TIME(11,11,40)</f>
        <v>40334.466435185182</v>
      </c>
      <c r="C155">
        <v>80</v>
      </c>
      <c r="D155">
        <v>79.692520142000006</v>
      </c>
      <c r="E155">
        <v>40</v>
      </c>
      <c r="F155">
        <v>14.999412537</v>
      </c>
      <c r="G155">
        <v>1347.5471190999999</v>
      </c>
      <c r="H155">
        <v>1343.0079346</v>
      </c>
      <c r="I155">
        <v>1314.559082</v>
      </c>
      <c r="J155">
        <v>1305.3482666</v>
      </c>
      <c r="K155">
        <v>550</v>
      </c>
      <c r="L155">
        <v>0</v>
      </c>
      <c r="M155">
        <v>0</v>
      </c>
      <c r="N155">
        <v>550</v>
      </c>
    </row>
    <row r="156" spans="1:14" x14ac:dyDescent="0.25">
      <c r="A156">
        <v>36.146939000000003</v>
      </c>
      <c r="B156" s="1">
        <f>DATE(2010,6,6) + TIME(3,31,35)</f>
        <v>40335.146932870368</v>
      </c>
      <c r="C156">
        <v>80</v>
      </c>
      <c r="D156">
        <v>79.693420410000002</v>
      </c>
      <c r="E156">
        <v>40</v>
      </c>
      <c r="F156">
        <v>14.999420166</v>
      </c>
      <c r="G156">
        <v>1347.5194091999999</v>
      </c>
      <c r="H156">
        <v>1342.9816894999999</v>
      </c>
      <c r="I156">
        <v>1314.5646973</v>
      </c>
      <c r="J156">
        <v>1305.3524170000001</v>
      </c>
      <c r="K156">
        <v>550</v>
      </c>
      <c r="L156">
        <v>0</v>
      </c>
      <c r="M156">
        <v>0</v>
      </c>
      <c r="N156">
        <v>550</v>
      </c>
    </row>
    <row r="157" spans="1:14" x14ac:dyDescent="0.25">
      <c r="A157">
        <v>36.841200999999998</v>
      </c>
      <c r="B157" s="1">
        <f>DATE(2010,6,6) + TIME(20,11,19)</f>
        <v>40335.841192129628</v>
      </c>
      <c r="C157">
        <v>80</v>
      </c>
      <c r="D157">
        <v>79.694267272999994</v>
      </c>
      <c r="E157">
        <v>40</v>
      </c>
      <c r="F157">
        <v>14.999426842</v>
      </c>
      <c r="G157">
        <v>1347.4914550999999</v>
      </c>
      <c r="H157">
        <v>1342.9554443</v>
      </c>
      <c r="I157">
        <v>1314.5704346</v>
      </c>
      <c r="J157">
        <v>1305.3566894999999</v>
      </c>
      <c r="K157">
        <v>550</v>
      </c>
      <c r="L157">
        <v>0</v>
      </c>
      <c r="M157">
        <v>0</v>
      </c>
      <c r="N157">
        <v>550</v>
      </c>
    </row>
    <row r="158" spans="1:14" x14ac:dyDescent="0.25">
      <c r="A158">
        <v>37.550590999999997</v>
      </c>
      <c r="B158" s="1">
        <f>DATE(2010,6,7) + TIME(13,12,51)</f>
        <v>40336.55059027778</v>
      </c>
      <c r="C158">
        <v>80</v>
      </c>
      <c r="D158">
        <v>79.695075989000003</v>
      </c>
      <c r="E158">
        <v>40</v>
      </c>
      <c r="F158">
        <v>14.999435425</v>
      </c>
      <c r="G158">
        <v>1347.463501</v>
      </c>
      <c r="H158">
        <v>1342.9290771000001</v>
      </c>
      <c r="I158">
        <v>1314.5762939000001</v>
      </c>
      <c r="J158">
        <v>1305.3610839999999</v>
      </c>
      <c r="K158">
        <v>550</v>
      </c>
      <c r="L158">
        <v>0</v>
      </c>
      <c r="M158">
        <v>0</v>
      </c>
      <c r="N158">
        <v>550</v>
      </c>
    </row>
    <row r="159" spans="1:14" x14ac:dyDescent="0.25">
      <c r="A159">
        <v>38.276609999999998</v>
      </c>
      <c r="B159" s="1">
        <f>DATE(2010,6,8) + TIME(6,38,19)</f>
        <v>40337.276608796295</v>
      </c>
      <c r="C159">
        <v>80</v>
      </c>
      <c r="D159">
        <v>79.695854186999995</v>
      </c>
      <c r="E159">
        <v>40</v>
      </c>
      <c r="F159">
        <v>14.999443054</v>
      </c>
      <c r="G159">
        <v>1347.4354248</v>
      </c>
      <c r="H159">
        <v>1342.902832</v>
      </c>
      <c r="I159">
        <v>1314.5822754000001</v>
      </c>
      <c r="J159">
        <v>1305.3656006000001</v>
      </c>
      <c r="K159">
        <v>550</v>
      </c>
      <c r="L159">
        <v>0</v>
      </c>
      <c r="M159">
        <v>0</v>
      </c>
      <c r="N159">
        <v>550</v>
      </c>
    </row>
    <row r="160" spans="1:14" x14ac:dyDescent="0.25">
      <c r="A160">
        <v>39.020907999999999</v>
      </c>
      <c r="B160" s="1">
        <f>DATE(2010,6,9) + TIME(0,30,6)</f>
        <v>40338.020902777775</v>
      </c>
      <c r="C160">
        <v>80</v>
      </c>
      <c r="D160">
        <v>79.696586608999993</v>
      </c>
      <c r="E160">
        <v>40</v>
      </c>
      <c r="F160">
        <v>14.999452591000001</v>
      </c>
      <c r="G160">
        <v>1347.4071045000001</v>
      </c>
      <c r="H160">
        <v>1342.8763428</v>
      </c>
      <c r="I160">
        <v>1314.588501</v>
      </c>
      <c r="J160">
        <v>1305.3702393000001</v>
      </c>
      <c r="K160">
        <v>550</v>
      </c>
      <c r="L160">
        <v>0</v>
      </c>
      <c r="M160">
        <v>0</v>
      </c>
      <c r="N160">
        <v>550</v>
      </c>
    </row>
    <row r="161" spans="1:14" x14ac:dyDescent="0.25">
      <c r="A161">
        <v>39.77984</v>
      </c>
      <c r="B161" s="1">
        <f>DATE(2010,6,9) + TIME(18,42,58)</f>
        <v>40338.77983796296</v>
      </c>
      <c r="C161">
        <v>80</v>
      </c>
      <c r="D161">
        <v>79.697288513000004</v>
      </c>
      <c r="E161">
        <v>40</v>
      </c>
      <c r="F161">
        <v>14.999462127999999</v>
      </c>
      <c r="G161">
        <v>1347.3785399999999</v>
      </c>
      <c r="H161">
        <v>1342.8497314000001</v>
      </c>
      <c r="I161">
        <v>1314.5948486</v>
      </c>
      <c r="J161">
        <v>1305.375</v>
      </c>
      <c r="K161">
        <v>550</v>
      </c>
      <c r="L161">
        <v>0</v>
      </c>
      <c r="M161">
        <v>0</v>
      </c>
      <c r="N161">
        <v>550</v>
      </c>
    </row>
    <row r="162" spans="1:14" x14ac:dyDescent="0.25">
      <c r="A162">
        <v>40.541297</v>
      </c>
      <c r="B162" s="1">
        <f>DATE(2010,6,10) + TIME(12,59,28)</f>
        <v>40339.541296296295</v>
      </c>
      <c r="C162">
        <v>80</v>
      </c>
      <c r="D162">
        <v>79.697944641000007</v>
      </c>
      <c r="E162">
        <v>40</v>
      </c>
      <c r="F162">
        <v>14.999472618</v>
      </c>
      <c r="G162">
        <v>1347.3498535000001</v>
      </c>
      <c r="H162">
        <v>1342.8229980000001</v>
      </c>
      <c r="I162">
        <v>1314.6014404</v>
      </c>
      <c r="J162">
        <v>1305.3798827999999</v>
      </c>
      <c r="K162">
        <v>550</v>
      </c>
      <c r="L162">
        <v>0</v>
      </c>
      <c r="M162">
        <v>0</v>
      </c>
      <c r="N162">
        <v>550</v>
      </c>
    </row>
    <row r="163" spans="1:14" x14ac:dyDescent="0.25">
      <c r="A163">
        <v>41.306547000000002</v>
      </c>
      <c r="B163" s="1">
        <f>DATE(2010,6,11) + TIME(7,21,25)</f>
        <v>40340.306539351855</v>
      </c>
      <c r="C163">
        <v>80</v>
      </c>
      <c r="D163">
        <v>79.698570251000007</v>
      </c>
      <c r="E163">
        <v>40</v>
      </c>
      <c r="F163">
        <v>14.999483109</v>
      </c>
      <c r="G163">
        <v>1347.3216553</v>
      </c>
      <c r="H163">
        <v>1342.796875</v>
      </c>
      <c r="I163">
        <v>1314.6080322</v>
      </c>
      <c r="J163">
        <v>1305.3847656</v>
      </c>
      <c r="K163">
        <v>550</v>
      </c>
      <c r="L163">
        <v>0</v>
      </c>
      <c r="M163">
        <v>0</v>
      </c>
      <c r="N163">
        <v>550</v>
      </c>
    </row>
    <row r="164" spans="1:14" x14ac:dyDescent="0.25">
      <c r="A164">
        <v>42.077106999999998</v>
      </c>
      <c r="B164" s="1">
        <f>DATE(2010,6,12) + TIME(1,51,2)</f>
        <v>40341.077106481483</v>
      </c>
      <c r="C164">
        <v>80</v>
      </c>
      <c r="D164">
        <v>79.699157714999998</v>
      </c>
      <c r="E164">
        <v>40</v>
      </c>
      <c r="F164">
        <v>14.999495506000001</v>
      </c>
      <c r="G164">
        <v>1347.2937012</v>
      </c>
      <c r="H164">
        <v>1342.7709961</v>
      </c>
      <c r="I164">
        <v>1314.614624</v>
      </c>
      <c r="J164">
        <v>1305.3897704999999</v>
      </c>
      <c r="K164">
        <v>550</v>
      </c>
      <c r="L164">
        <v>0</v>
      </c>
      <c r="M164">
        <v>0</v>
      </c>
      <c r="N164">
        <v>550</v>
      </c>
    </row>
    <row r="165" spans="1:14" x14ac:dyDescent="0.25">
      <c r="A165">
        <v>42.854385999999998</v>
      </c>
      <c r="B165" s="1">
        <f>DATE(2010,6,12) + TIME(20,30,18)</f>
        <v>40341.854375000003</v>
      </c>
      <c r="C165">
        <v>80</v>
      </c>
      <c r="D165">
        <v>79.699714661000002</v>
      </c>
      <c r="E165">
        <v>40</v>
      </c>
      <c r="F165">
        <v>14.999509810999999</v>
      </c>
      <c r="G165">
        <v>1347.2659911999999</v>
      </c>
      <c r="H165">
        <v>1342.7453613</v>
      </c>
      <c r="I165">
        <v>1314.6214600000001</v>
      </c>
      <c r="J165">
        <v>1305.3947754000001</v>
      </c>
      <c r="K165">
        <v>550</v>
      </c>
      <c r="L165">
        <v>0</v>
      </c>
      <c r="M165">
        <v>0</v>
      </c>
      <c r="N165">
        <v>550</v>
      </c>
    </row>
    <row r="166" spans="1:14" x14ac:dyDescent="0.25">
      <c r="A166">
        <v>43.639795999999997</v>
      </c>
      <c r="B166" s="1">
        <f>DATE(2010,6,13) + TIME(15,21,18)</f>
        <v>40342.639791666668</v>
      </c>
      <c r="C166">
        <v>80</v>
      </c>
      <c r="D166">
        <v>79.700241089000002</v>
      </c>
      <c r="E166">
        <v>40</v>
      </c>
      <c r="F166">
        <v>14.999525070000001</v>
      </c>
      <c r="G166">
        <v>1347.2385254000001</v>
      </c>
      <c r="H166">
        <v>1342.7200928</v>
      </c>
      <c r="I166">
        <v>1314.6281738</v>
      </c>
      <c r="J166">
        <v>1305.3999022999999</v>
      </c>
      <c r="K166">
        <v>550</v>
      </c>
      <c r="L166">
        <v>0</v>
      </c>
      <c r="M166">
        <v>0</v>
      </c>
      <c r="N166">
        <v>550</v>
      </c>
    </row>
    <row r="167" spans="1:14" x14ac:dyDescent="0.25">
      <c r="A167">
        <v>44.434781000000001</v>
      </c>
      <c r="B167" s="1">
        <f>DATE(2010,6,14) + TIME(10,26,5)</f>
        <v>40343.43478009259</v>
      </c>
      <c r="C167">
        <v>80</v>
      </c>
      <c r="D167">
        <v>79.700752257999994</v>
      </c>
      <c r="E167">
        <v>40</v>
      </c>
      <c r="F167">
        <v>14.999542236</v>
      </c>
      <c r="G167">
        <v>1347.2111815999999</v>
      </c>
      <c r="H167">
        <v>1342.6949463000001</v>
      </c>
      <c r="I167">
        <v>1314.6351318</v>
      </c>
      <c r="J167">
        <v>1305.4050293</v>
      </c>
      <c r="K167">
        <v>550</v>
      </c>
      <c r="L167">
        <v>0</v>
      </c>
      <c r="M167">
        <v>0</v>
      </c>
      <c r="N167">
        <v>550</v>
      </c>
    </row>
    <row r="168" spans="1:14" x14ac:dyDescent="0.25">
      <c r="A168">
        <v>45.240828</v>
      </c>
      <c r="B168" s="1">
        <f>DATE(2010,6,15) + TIME(5,46,47)</f>
        <v>40344.24082175926</v>
      </c>
      <c r="C168">
        <v>80</v>
      </c>
      <c r="D168">
        <v>79.701248168999996</v>
      </c>
      <c r="E168">
        <v>40</v>
      </c>
      <c r="F168">
        <v>14.999562263</v>
      </c>
      <c r="G168">
        <v>1347.1839600000001</v>
      </c>
      <c r="H168">
        <v>1342.6699219</v>
      </c>
      <c r="I168">
        <v>1314.6422118999999</v>
      </c>
      <c r="J168">
        <v>1305.4102783000001</v>
      </c>
      <c r="K168">
        <v>550</v>
      </c>
      <c r="L168">
        <v>0</v>
      </c>
      <c r="M168">
        <v>0</v>
      </c>
      <c r="N168">
        <v>550</v>
      </c>
    </row>
    <row r="169" spans="1:14" x14ac:dyDescent="0.25">
      <c r="A169">
        <v>46.053032999999999</v>
      </c>
      <c r="B169" s="1">
        <f>DATE(2010,6,16) + TIME(1,16,22)</f>
        <v>40345.053032407406</v>
      </c>
      <c r="C169">
        <v>80</v>
      </c>
      <c r="D169">
        <v>79.701713561999995</v>
      </c>
      <c r="E169">
        <v>40</v>
      </c>
      <c r="F169">
        <v>14.999584198000001</v>
      </c>
      <c r="G169">
        <v>1347.1568603999999</v>
      </c>
      <c r="H169">
        <v>1342.6450195</v>
      </c>
      <c r="I169">
        <v>1314.6494141000001</v>
      </c>
      <c r="J169">
        <v>1305.4156493999999</v>
      </c>
      <c r="K169">
        <v>550</v>
      </c>
      <c r="L169">
        <v>0</v>
      </c>
      <c r="M169">
        <v>0</v>
      </c>
      <c r="N169">
        <v>550</v>
      </c>
    </row>
    <row r="170" spans="1:14" x14ac:dyDescent="0.25">
      <c r="A170">
        <v>46.870552000000004</v>
      </c>
      <c r="B170" s="1">
        <f>DATE(2010,6,16) + TIME(20,53,35)</f>
        <v>40345.87054398148</v>
      </c>
      <c r="C170">
        <v>80</v>
      </c>
      <c r="D170">
        <v>79.702163696</v>
      </c>
      <c r="E170">
        <v>40</v>
      </c>
      <c r="F170">
        <v>14.999610901</v>
      </c>
      <c r="G170">
        <v>1347.1298827999999</v>
      </c>
      <c r="H170">
        <v>1342.6204834</v>
      </c>
      <c r="I170">
        <v>1314.6567382999999</v>
      </c>
      <c r="J170">
        <v>1305.4210204999999</v>
      </c>
      <c r="K170">
        <v>550</v>
      </c>
      <c r="L170">
        <v>0</v>
      </c>
      <c r="M170">
        <v>0</v>
      </c>
      <c r="N170">
        <v>550</v>
      </c>
    </row>
    <row r="171" spans="1:14" x14ac:dyDescent="0.25">
      <c r="A171">
        <v>47.694647000000003</v>
      </c>
      <c r="B171" s="1">
        <f>DATE(2010,6,17) + TIME(16,40,17)</f>
        <v>40346.694641203707</v>
      </c>
      <c r="C171">
        <v>80</v>
      </c>
      <c r="D171">
        <v>79.702598571999999</v>
      </c>
      <c r="E171">
        <v>40</v>
      </c>
      <c r="F171">
        <v>14.999640465000001</v>
      </c>
      <c r="G171">
        <v>1347.1031493999999</v>
      </c>
      <c r="H171">
        <v>1342.5960693</v>
      </c>
      <c r="I171">
        <v>1314.6641846</v>
      </c>
      <c r="J171">
        <v>1305.4265137</v>
      </c>
      <c r="K171">
        <v>550</v>
      </c>
      <c r="L171">
        <v>0</v>
      </c>
      <c r="M171">
        <v>0</v>
      </c>
      <c r="N171">
        <v>550</v>
      </c>
    </row>
    <row r="172" spans="1:14" x14ac:dyDescent="0.25">
      <c r="A172">
        <v>48.526584999999997</v>
      </c>
      <c r="B172" s="1">
        <f>DATE(2010,6,18) + TIME(12,38,16)</f>
        <v>40347.526574074072</v>
      </c>
      <c r="C172">
        <v>80</v>
      </c>
      <c r="D172">
        <v>79.703025818</v>
      </c>
      <c r="E172">
        <v>40</v>
      </c>
      <c r="F172">
        <v>14.999675751</v>
      </c>
      <c r="G172">
        <v>1347.0766602000001</v>
      </c>
      <c r="H172">
        <v>1342.5718993999999</v>
      </c>
      <c r="I172">
        <v>1314.6716309000001</v>
      </c>
      <c r="J172">
        <v>1305.4321289</v>
      </c>
      <c r="K172">
        <v>550</v>
      </c>
      <c r="L172">
        <v>0</v>
      </c>
      <c r="M172">
        <v>0</v>
      </c>
      <c r="N172">
        <v>550</v>
      </c>
    </row>
    <row r="173" spans="1:14" x14ac:dyDescent="0.25">
      <c r="A173">
        <v>49.367666999999997</v>
      </c>
      <c r="B173" s="1">
        <f>DATE(2010,6,19) + TIME(8,49,26)</f>
        <v>40348.367662037039</v>
      </c>
      <c r="C173">
        <v>80</v>
      </c>
      <c r="D173">
        <v>79.703430175999998</v>
      </c>
      <c r="E173">
        <v>40</v>
      </c>
      <c r="F173">
        <v>14.999716759</v>
      </c>
      <c r="G173">
        <v>1347.050293</v>
      </c>
      <c r="H173">
        <v>1342.5479736</v>
      </c>
      <c r="I173">
        <v>1314.6793213000001</v>
      </c>
      <c r="J173">
        <v>1305.4377440999999</v>
      </c>
      <c r="K173">
        <v>550</v>
      </c>
      <c r="L173">
        <v>0</v>
      </c>
      <c r="M173">
        <v>0</v>
      </c>
      <c r="N173">
        <v>550</v>
      </c>
    </row>
    <row r="174" spans="1:14" x14ac:dyDescent="0.25">
      <c r="A174">
        <v>50.219225000000002</v>
      </c>
      <c r="B174" s="1">
        <f>DATE(2010,6,20) + TIME(5,15,41)</f>
        <v>40349.219224537039</v>
      </c>
      <c r="C174">
        <v>80</v>
      </c>
      <c r="D174">
        <v>79.703826903999996</v>
      </c>
      <c r="E174">
        <v>40</v>
      </c>
      <c r="F174">
        <v>14.999764442</v>
      </c>
      <c r="G174">
        <v>1347.0240478999999</v>
      </c>
      <c r="H174">
        <v>1342.5241699000001</v>
      </c>
      <c r="I174">
        <v>1314.6871338000001</v>
      </c>
      <c r="J174">
        <v>1305.4436035000001</v>
      </c>
      <c r="K174">
        <v>550</v>
      </c>
      <c r="L174">
        <v>0</v>
      </c>
      <c r="M174">
        <v>0</v>
      </c>
      <c r="N174">
        <v>550</v>
      </c>
    </row>
    <row r="175" spans="1:14" x14ac:dyDescent="0.25">
      <c r="A175">
        <v>51.082644999999999</v>
      </c>
      <c r="B175" s="1">
        <f>DATE(2010,6,21) + TIME(1,59,0)</f>
        <v>40350.082638888889</v>
      </c>
      <c r="C175">
        <v>80</v>
      </c>
      <c r="D175">
        <v>79.704216002999999</v>
      </c>
      <c r="E175">
        <v>40</v>
      </c>
      <c r="F175">
        <v>14.999820709</v>
      </c>
      <c r="G175">
        <v>1346.9979248</v>
      </c>
      <c r="H175">
        <v>1342.5004882999999</v>
      </c>
      <c r="I175">
        <v>1314.6951904</v>
      </c>
      <c r="J175">
        <v>1305.4494629000001</v>
      </c>
      <c r="K175">
        <v>550</v>
      </c>
      <c r="L175">
        <v>0</v>
      </c>
      <c r="M175">
        <v>0</v>
      </c>
      <c r="N175">
        <v>550</v>
      </c>
    </row>
    <row r="176" spans="1:14" x14ac:dyDescent="0.25">
      <c r="A176">
        <v>51.959381</v>
      </c>
      <c r="B176" s="1">
        <f>DATE(2010,6,21) + TIME(23,1,30)</f>
        <v>40350.959374999999</v>
      </c>
      <c r="C176">
        <v>80</v>
      </c>
      <c r="D176">
        <v>79.704605103000006</v>
      </c>
      <c r="E176">
        <v>40</v>
      </c>
      <c r="F176">
        <v>14.999887466000001</v>
      </c>
      <c r="G176">
        <v>1346.9718018000001</v>
      </c>
      <c r="H176">
        <v>1342.4769286999999</v>
      </c>
      <c r="I176">
        <v>1314.7032471</v>
      </c>
      <c r="J176">
        <v>1305.4554443</v>
      </c>
      <c r="K176">
        <v>550</v>
      </c>
      <c r="L176">
        <v>0</v>
      </c>
      <c r="M176">
        <v>0</v>
      </c>
      <c r="N176">
        <v>550</v>
      </c>
    </row>
    <row r="177" spans="1:14" x14ac:dyDescent="0.25">
      <c r="A177">
        <v>52.851357</v>
      </c>
      <c r="B177" s="1">
        <f>DATE(2010,6,22) + TIME(20,25,57)</f>
        <v>40351.851354166669</v>
      </c>
      <c r="C177">
        <v>80</v>
      </c>
      <c r="D177">
        <v>79.704978943</v>
      </c>
      <c r="E177">
        <v>40</v>
      </c>
      <c r="F177">
        <v>14.999966621</v>
      </c>
      <c r="G177">
        <v>1346.9456786999999</v>
      </c>
      <c r="H177">
        <v>1342.4532471</v>
      </c>
      <c r="I177">
        <v>1314.7116699000001</v>
      </c>
      <c r="J177">
        <v>1305.4615478999999</v>
      </c>
      <c r="K177">
        <v>550</v>
      </c>
      <c r="L177">
        <v>0</v>
      </c>
      <c r="M177">
        <v>0</v>
      </c>
      <c r="N177">
        <v>550</v>
      </c>
    </row>
    <row r="178" spans="1:14" x14ac:dyDescent="0.25">
      <c r="A178">
        <v>53.759442</v>
      </c>
      <c r="B178" s="1">
        <f>DATE(2010,6,23) + TIME(18,13,35)</f>
        <v>40352.759432870371</v>
      </c>
      <c r="C178">
        <v>80</v>
      </c>
      <c r="D178">
        <v>79.705352782999995</v>
      </c>
      <c r="E178">
        <v>40</v>
      </c>
      <c r="F178">
        <v>15.000059128</v>
      </c>
      <c r="G178">
        <v>1346.9194336</v>
      </c>
      <c r="H178">
        <v>1342.4296875</v>
      </c>
      <c r="I178">
        <v>1314.7202147999999</v>
      </c>
      <c r="J178">
        <v>1305.4678954999999</v>
      </c>
      <c r="K178">
        <v>550</v>
      </c>
      <c r="L178">
        <v>0</v>
      </c>
      <c r="M178">
        <v>0</v>
      </c>
      <c r="N178">
        <v>550</v>
      </c>
    </row>
    <row r="179" spans="1:14" x14ac:dyDescent="0.25">
      <c r="A179">
        <v>54.685394000000002</v>
      </c>
      <c r="B179" s="1">
        <f>DATE(2010,6,24) + TIME(16,26,58)</f>
        <v>40353.685393518521</v>
      </c>
      <c r="C179">
        <v>80</v>
      </c>
      <c r="D179">
        <v>79.705726623999993</v>
      </c>
      <c r="E179">
        <v>40</v>
      </c>
      <c r="F179">
        <v>15.000170708000001</v>
      </c>
      <c r="G179">
        <v>1346.8931885</v>
      </c>
      <c r="H179">
        <v>1342.4061279</v>
      </c>
      <c r="I179">
        <v>1314.7290039</v>
      </c>
      <c r="J179">
        <v>1305.4743652</v>
      </c>
      <c r="K179">
        <v>550</v>
      </c>
      <c r="L179">
        <v>0</v>
      </c>
      <c r="M179">
        <v>0</v>
      </c>
      <c r="N179">
        <v>550</v>
      </c>
    </row>
    <row r="180" spans="1:14" x14ac:dyDescent="0.25">
      <c r="A180">
        <v>55.631086000000003</v>
      </c>
      <c r="B180" s="1">
        <f>DATE(2010,6,25) + TIME(15,8,45)</f>
        <v>40354.631076388891</v>
      </c>
      <c r="C180">
        <v>80</v>
      </c>
      <c r="D180">
        <v>79.706092834000003</v>
      </c>
      <c r="E180">
        <v>40</v>
      </c>
      <c r="F180">
        <v>15.000303268</v>
      </c>
      <c r="G180">
        <v>1346.8666992000001</v>
      </c>
      <c r="H180">
        <v>1342.3824463000001</v>
      </c>
      <c r="I180">
        <v>1314.7380370999999</v>
      </c>
      <c r="J180">
        <v>1305.4810791</v>
      </c>
      <c r="K180">
        <v>550</v>
      </c>
      <c r="L180">
        <v>0</v>
      </c>
      <c r="M180">
        <v>0</v>
      </c>
      <c r="N180">
        <v>550</v>
      </c>
    </row>
    <row r="181" spans="1:14" x14ac:dyDescent="0.25">
      <c r="A181">
        <v>56.598655999999998</v>
      </c>
      <c r="B181" s="1">
        <f>DATE(2010,6,26) + TIME(14,22,3)</f>
        <v>40355.598645833335</v>
      </c>
      <c r="C181">
        <v>80</v>
      </c>
      <c r="D181">
        <v>79.706466675000001</v>
      </c>
      <c r="E181">
        <v>40</v>
      </c>
      <c r="F181">
        <v>15.000461577999999</v>
      </c>
      <c r="G181">
        <v>1346.8402100000001</v>
      </c>
      <c r="H181">
        <v>1342.3586425999999</v>
      </c>
      <c r="I181">
        <v>1314.7474365</v>
      </c>
      <c r="J181">
        <v>1305.4879149999999</v>
      </c>
      <c r="K181">
        <v>550</v>
      </c>
      <c r="L181">
        <v>0</v>
      </c>
      <c r="M181">
        <v>0</v>
      </c>
      <c r="N181">
        <v>550</v>
      </c>
    </row>
    <row r="182" spans="1:14" x14ac:dyDescent="0.25">
      <c r="A182">
        <v>57.579948999999999</v>
      </c>
      <c r="B182" s="1">
        <f>DATE(2010,6,27) + TIME(13,55,7)</f>
        <v>40356.579942129632</v>
      </c>
      <c r="C182">
        <v>80</v>
      </c>
      <c r="D182">
        <v>79.706832886000001</v>
      </c>
      <c r="E182">
        <v>40</v>
      </c>
      <c r="F182">
        <v>15.000649451999999</v>
      </c>
      <c r="G182">
        <v>1346.8133545000001</v>
      </c>
      <c r="H182">
        <v>1342.3345947</v>
      </c>
      <c r="I182">
        <v>1314.7570800999999</v>
      </c>
      <c r="J182">
        <v>1305.4949951000001</v>
      </c>
      <c r="K182">
        <v>550</v>
      </c>
      <c r="L182">
        <v>0</v>
      </c>
      <c r="M182">
        <v>0</v>
      </c>
      <c r="N182">
        <v>550</v>
      </c>
    </row>
    <row r="183" spans="1:14" x14ac:dyDescent="0.25">
      <c r="A183">
        <v>58.567841000000001</v>
      </c>
      <c r="B183" s="1">
        <f>DATE(2010,6,28) + TIME(13,37,41)</f>
        <v>40357.567835648151</v>
      </c>
      <c r="C183">
        <v>80</v>
      </c>
      <c r="D183">
        <v>79.707191467000001</v>
      </c>
      <c r="E183">
        <v>40</v>
      </c>
      <c r="F183">
        <v>15.000872612</v>
      </c>
      <c r="G183">
        <v>1346.7866211</v>
      </c>
      <c r="H183">
        <v>1342.3107910000001</v>
      </c>
      <c r="I183">
        <v>1314.7669678</v>
      </c>
      <c r="J183">
        <v>1305.5021973</v>
      </c>
      <c r="K183">
        <v>550</v>
      </c>
      <c r="L183">
        <v>0</v>
      </c>
      <c r="M183">
        <v>0</v>
      </c>
      <c r="N183">
        <v>550</v>
      </c>
    </row>
    <row r="184" spans="1:14" x14ac:dyDescent="0.25">
      <c r="A184">
        <v>59.564349</v>
      </c>
      <c r="B184" s="1">
        <f>DATE(2010,6,29) + TIME(13,32,39)</f>
        <v>40358.564340277779</v>
      </c>
      <c r="C184">
        <v>80</v>
      </c>
      <c r="D184">
        <v>79.707550049000005</v>
      </c>
      <c r="E184">
        <v>40</v>
      </c>
      <c r="F184">
        <v>15.001135826000001</v>
      </c>
      <c r="G184">
        <v>1346.7600098</v>
      </c>
      <c r="H184">
        <v>1342.2871094</v>
      </c>
      <c r="I184">
        <v>1314.7769774999999</v>
      </c>
      <c r="J184">
        <v>1305.5096435999999</v>
      </c>
      <c r="K184">
        <v>550</v>
      </c>
      <c r="L184">
        <v>0</v>
      </c>
      <c r="M184">
        <v>0</v>
      </c>
      <c r="N184">
        <v>550</v>
      </c>
    </row>
    <row r="185" spans="1:14" x14ac:dyDescent="0.25">
      <c r="A185">
        <v>60.571418999999999</v>
      </c>
      <c r="B185" s="1">
        <f>DATE(2010,6,30) + TIME(13,42,50)</f>
        <v>40359.571412037039</v>
      </c>
      <c r="C185">
        <v>80</v>
      </c>
      <c r="D185">
        <v>79.707901000999996</v>
      </c>
      <c r="E185">
        <v>40</v>
      </c>
      <c r="F185">
        <v>15.001446723999999</v>
      </c>
      <c r="G185">
        <v>1346.7336425999999</v>
      </c>
      <c r="H185">
        <v>1342.2636719</v>
      </c>
      <c r="I185">
        <v>1314.7872314000001</v>
      </c>
      <c r="J185">
        <v>1305.5170897999999</v>
      </c>
      <c r="K185">
        <v>550</v>
      </c>
      <c r="L185">
        <v>0</v>
      </c>
      <c r="M185">
        <v>0</v>
      </c>
      <c r="N185">
        <v>550</v>
      </c>
    </row>
    <row r="186" spans="1:14" x14ac:dyDescent="0.25">
      <c r="A186">
        <v>61</v>
      </c>
      <c r="B186" s="1">
        <f>DATE(2010,7,1) + TIME(0,0,0)</f>
        <v>40360</v>
      </c>
      <c r="C186">
        <v>80</v>
      </c>
      <c r="D186">
        <v>79.708030700999998</v>
      </c>
      <c r="E186">
        <v>40</v>
      </c>
      <c r="F186">
        <v>15.001623154000001</v>
      </c>
      <c r="G186">
        <v>1346.7071533000001</v>
      </c>
      <c r="H186">
        <v>1342.2399902</v>
      </c>
      <c r="I186">
        <v>1314.7974853999999</v>
      </c>
      <c r="J186">
        <v>1305.5245361</v>
      </c>
      <c r="K186">
        <v>550</v>
      </c>
      <c r="L186">
        <v>0</v>
      </c>
      <c r="M186">
        <v>0</v>
      </c>
      <c r="N186">
        <v>550</v>
      </c>
    </row>
    <row r="187" spans="1:14" x14ac:dyDescent="0.25">
      <c r="A187">
        <v>62.011400999999999</v>
      </c>
      <c r="B187" s="1">
        <f>DATE(2010,7,2) + TIME(0,16,25)</f>
        <v>40361.011400462965</v>
      </c>
      <c r="C187">
        <v>80</v>
      </c>
      <c r="D187">
        <v>79.708381653000004</v>
      </c>
      <c r="E187">
        <v>40</v>
      </c>
      <c r="F187">
        <v>15.002008438000001</v>
      </c>
      <c r="G187">
        <v>1346.6962891000001</v>
      </c>
      <c r="H187">
        <v>1342.2303466999999</v>
      </c>
      <c r="I187">
        <v>1314.8022461</v>
      </c>
      <c r="J187">
        <v>1305.5281981999999</v>
      </c>
      <c r="K187">
        <v>550</v>
      </c>
      <c r="L187">
        <v>0</v>
      </c>
      <c r="M187">
        <v>0</v>
      </c>
      <c r="N187">
        <v>550</v>
      </c>
    </row>
    <row r="188" spans="1:14" x14ac:dyDescent="0.25">
      <c r="A188">
        <v>63.026291000000001</v>
      </c>
      <c r="B188" s="1">
        <f>DATE(2010,7,3) + TIME(0,37,51)</f>
        <v>40362.026284722226</v>
      </c>
      <c r="C188">
        <v>80</v>
      </c>
      <c r="D188">
        <v>79.708732604999994</v>
      </c>
      <c r="E188">
        <v>40</v>
      </c>
      <c r="F188">
        <v>15.002461433000001</v>
      </c>
      <c r="G188">
        <v>1346.6704102000001</v>
      </c>
      <c r="H188">
        <v>1342.2075195</v>
      </c>
      <c r="I188">
        <v>1314.8129882999999</v>
      </c>
      <c r="J188">
        <v>1305.5360106999999</v>
      </c>
      <c r="K188">
        <v>550</v>
      </c>
      <c r="L188">
        <v>0</v>
      </c>
      <c r="M188">
        <v>0</v>
      </c>
      <c r="N188">
        <v>550</v>
      </c>
    </row>
    <row r="189" spans="1:14" x14ac:dyDescent="0.25">
      <c r="A189">
        <v>64.045496999999997</v>
      </c>
      <c r="B189" s="1">
        <f>DATE(2010,7,4) + TIME(1,5,30)</f>
        <v>40363.045486111114</v>
      </c>
      <c r="C189">
        <v>80</v>
      </c>
      <c r="D189">
        <v>79.709075928000004</v>
      </c>
      <c r="E189">
        <v>40</v>
      </c>
      <c r="F189">
        <v>15.002991676000001</v>
      </c>
      <c r="G189">
        <v>1346.6447754000001</v>
      </c>
      <c r="H189">
        <v>1342.1848144999999</v>
      </c>
      <c r="I189">
        <v>1314.8239745999999</v>
      </c>
      <c r="J189">
        <v>1305.5439452999999</v>
      </c>
      <c r="K189">
        <v>550</v>
      </c>
      <c r="L189">
        <v>0</v>
      </c>
      <c r="M189">
        <v>0</v>
      </c>
      <c r="N189">
        <v>550</v>
      </c>
    </row>
    <row r="190" spans="1:14" x14ac:dyDescent="0.25">
      <c r="A190">
        <v>65.070644999999999</v>
      </c>
      <c r="B190" s="1">
        <f>DATE(2010,7,5) + TIME(1,41,43)</f>
        <v>40364.070636574077</v>
      </c>
      <c r="C190">
        <v>80</v>
      </c>
      <c r="D190">
        <v>79.709411621000001</v>
      </c>
      <c r="E190">
        <v>40</v>
      </c>
      <c r="F190">
        <v>15.003610610999999</v>
      </c>
      <c r="G190">
        <v>1346.6195068</v>
      </c>
      <c r="H190">
        <v>1342.1624756000001</v>
      </c>
      <c r="I190">
        <v>1314.8349608999999</v>
      </c>
      <c r="J190">
        <v>1305.5520019999999</v>
      </c>
      <c r="K190">
        <v>550</v>
      </c>
      <c r="L190">
        <v>0</v>
      </c>
      <c r="M190">
        <v>0</v>
      </c>
      <c r="N190">
        <v>550</v>
      </c>
    </row>
    <row r="191" spans="1:14" x14ac:dyDescent="0.25">
      <c r="A191">
        <v>66.103348999999994</v>
      </c>
      <c r="B191" s="1">
        <f>DATE(2010,7,6) + TIME(2,28,49)</f>
        <v>40365.103344907409</v>
      </c>
      <c r="C191">
        <v>80</v>
      </c>
      <c r="D191">
        <v>79.709747313999998</v>
      </c>
      <c r="E191">
        <v>40</v>
      </c>
      <c r="F191">
        <v>15.004331589</v>
      </c>
      <c r="G191">
        <v>1346.5942382999999</v>
      </c>
      <c r="H191">
        <v>1342.1402588000001</v>
      </c>
      <c r="I191">
        <v>1314.8463135</v>
      </c>
      <c r="J191">
        <v>1305.5603027</v>
      </c>
      <c r="K191">
        <v>550</v>
      </c>
      <c r="L191">
        <v>0</v>
      </c>
      <c r="M191">
        <v>0</v>
      </c>
      <c r="N191">
        <v>550</v>
      </c>
    </row>
    <row r="192" spans="1:14" x14ac:dyDescent="0.25">
      <c r="A192">
        <v>67.145236999999995</v>
      </c>
      <c r="B192" s="1">
        <f>DATE(2010,7,7) + TIME(3,29,8)</f>
        <v>40366.145231481481</v>
      </c>
      <c r="C192">
        <v>80</v>
      </c>
      <c r="D192">
        <v>79.710090636999993</v>
      </c>
      <c r="E192">
        <v>40</v>
      </c>
      <c r="F192">
        <v>15.005172729</v>
      </c>
      <c r="G192">
        <v>1346.5693358999999</v>
      </c>
      <c r="H192">
        <v>1342.1182861</v>
      </c>
      <c r="I192">
        <v>1314.8577881000001</v>
      </c>
      <c r="J192">
        <v>1305.5686035000001</v>
      </c>
      <c r="K192">
        <v>550</v>
      </c>
      <c r="L192">
        <v>0</v>
      </c>
      <c r="M192">
        <v>0</v>
      </c>
      <c r="N192">
        <v>550</v>
      </c>
    </row>
    <row r="193" spans="1:14" x14ac:dyDescent="0.25">
      <c r="A193">
        <v>68.197958</v>
      </c>
      <c r="B193" s="1">
        <f>DATE(2010,7,8) + TIME(4,45,3)</f>
        <v>40367.197951388887</v>
      </c>
      <c r="C193">
        <v>80</v>
      </c>
      <c r="D193">
        <v>79.710426330999994</v>
      </c>
      <c r="E193">
        <v>40</v>
      </c>
      <c r="F193">
        <v>15.006151199</v>
      </c>
      <c r="G193">
        <v>1346.5444336</v>
      </c>
      <c r="H193">
        <v>1342.0963135</v>
      </c>
      <c r="I193">
        <v>1314.8696289</v>
      </c>
      <c r="J193">
        <v>1305.5772704999999</v>
      </c>
      <c r="K193">
        <v>550</v>
      </c>
      <c r="L193">
        <v>0</v>
      </c>
      <c r="M193">
        <v>0</v>
      </c>
      <c r="N193">
        <v>550</v>
      </c>
    </row>
    <row r="194" spans="1:14" x14ac:dyDescent="0.25">
      <c r="A194">
        <v>69.263208000000006</v>
      </c>
      <c r="B194" s="1">
        <f>DATE(2010,7,9) + TIME(6,19,1)</f>
        <v>40368.263206018521</v>
      </c>
      <c r="C194">
        <v>80</v>
      </c>
      <c r="D194">
        <v>79.710762024000005</v>
      </c>
      <c r="E194">
        <v>40</v>
      </c>
      <c r="F194">
        <v>15.00729084</v>
      </c>
      <c r="G194">
        <v>1346.5195312000001</v>
      </c>
      <c r="H194">
        <v>1342.0745850000001</v>
      </c>
      <c r="I194">
        <v>1314.8817139</v>
      </c>
      <c r="J194">
        <v>1305.5860596</v>
      </c>
      <c r="K194">
        <v>550</v>
      </c>
      <c r="L194">
        <v>0</v>
      </c>
      <c r="M194">
        <v>0</v>
      </c>
      <c r="N194">
        <v>550</v>
      </c>
    </row>
    <row r="195" spans="1:14" x14ac:dyDescent="0.25">
      <c r="A195">
        <v>70.342753999999999</v>
      </c>
      <c r="B195" s="1">
        <f>DATE(2010,7,10) + TIME(8,13,33)</f>
        <v>40369.342743055553</v>
      </c>
      <c r="C195">
        <v>80</v>
      </c>
      <c r="D195">
        <v>79.711105347</v>
      </c>
      <c r="E195">
        <v>40</v>
      </c>
      <c r="F195">
        <v>15.008618354999999</v>
      </c>
      <c r="G195">
        <v>1346.494751</v>
      </c>
      <c r="H195">
        <v>1342.0528564000001</v>
      </c>
      <c r="I195">
        <v>1314.8941649999999</v>
      </c>
      <c r="J195">
        <v>1305.5950928</v>
      </c>
      <c r="K195">
        <v>550</v>
      </c>
      <c r="L195">
        <v>0</v>
      </c>
      <c r="M195">
        <v>0</v>
      </c>
      <c r="N195">
        <v>550</v>
      </c>
    </row>
    <row r="196" spans="1:14" x14ac:dyDescent="0.25">
      <c r="A196">
        <v>71.438475999999994</v>
      </c>
      <c r="B196" s="1">
        <f>DATE(2010,7,11) + TIME(10,31,24)</f>
        <v>40370.438472222224</v>
      </c>
      <c r="C196">
        <v>80</v>
      </c>
      <c r="D196">
        <v>79.711448669000006</v>
      </c>
      <c r="E196">
        <v>40</v>
      </c>
      <c r="F196">
        <v>15.010164261</v>
      </c>
      <c r="G196">
        <v>1346.4699707</v>
      </c>
      <c r="H196">
        <v>1342.0311279</v>
      </c>
      <c r="I196">
        <v>1314.9068603999999</v>
      </c>
      <c r="J196">
        <v>1305.6043701000001</v>
      </c>
      <c r="K196">
        <v>550</v>
      </c>
      <c r="L196">
        <v>0</v>
      </c>
      <c r="M196">
        <v>0</v>
      </c>
      <c r="N196">
        <v>550</v>
      </c>
    </row>
    <row r="197" spans="1:14" x14ac:dyDescent="0.25">
      <c r="A197">
        <v>72.549552000000006</v>
      </c>
      <c r="B197" s="1">
        <f>DATE(2010,7,12) + TIME(13,11,21)</f>
        <v>40371.54954861111</v>
      </c>
      <c r="C197">
        <v>80</v>
      </c>
      <c r="D197">
        <v>79.711799622000001</v>
      </c>
      <c r="E197">
        <v>40</v>
      </c>
      <c r="F197">
        <v>15.011961937000001</v>
      </c>
      <c r="G197">
        <v>1346.4450684000001</v>
      </c>
      <c r="H197">
        <v>1342.0092772999999</v>
      </c>
      <c r="I197">
        <v>1314.9200439000001</v>
      </c>
      <c r="J197">
        <v>1305.6140137</v>
      </c>
      <c r="K197">
        <v>550</v>
      </c>
      <c r="L197">
        <v>0</v>
      </c>
      <c r="M197">
        <v>0</v>
      </c>
      <c r="N197">
        <v>550</v>
      </c>
    </row>
    <row r="198" spans="1:14" x14ac:dyDescent="0.25">
      <c r="A198">
        <v>73.676265000000001</v>
      </c>
      <c r="B198" s="1">
        <f>DATE(2010,7,13) + TIME(16,13,49)</f>
        <v>40372.676261574074</v>
      </c>
      <c r="C198">
        <v>80</v>
      </c>
      <c r="D198">
        <v>79.712142943999993</v>
      </c>
      <c r="E198">
        <v>40</v>
      </c>
      <c r="F198">
        <v>15.014051436999999</v>
      </c>
      <c r="G198">
        <v>1346.4201660000001</v>
      </c>
      <c r="H198">
        <v>1341.9875488</v>
      </c>
      <c r="I198">
        <v>1314.9335937999999</v>
      </c>
      <c r="J198">
        <v>1305.6239014</v>
      </c>
      <c r="K198">
        <v>550</v>
      </c>
      <c r="L198">
        <v>0</v>
      </c>
      <c r="M198">
        <v>0</v>
      </c>
      <c r="N198">
        <v>550</v>
      </c>
    </row>
    <row r="199" spans="1:14" x14ac:dyDescent="0.25">
      <c r="A199">
        <v>74.820599000000001</v>
      </c>
      <c r="B199" s="1">
        <f>DATE(2010,7,14) + TIME(19,41,39)</f>
        <v>40373.820590277777</v>
      </c>
      <c r="C199">
        <v>80</v>
      </c>
      <c r="D199">
        <v>79.712501525999997</v>
      </c>
      <c r="E199">
        <v>40</v>
      </c>
      <c r="F199">
        <v>15.0164814</v>
      </c>
      <c r="G199">
        <v>1346.3952637</v>
      </c>
      <c r="H199">
        <v>1341.9658202999999</v>
      </c>
      <c r="I199">
        <v>1314.9475098</v>
      </c>
      <c r="J199">
        <v>1305.6340332</v>
      </c>
      <c r="K199">
        <v>550</v>
      </c>
      <c r="L199">
        <v>0</v>
      </c>
      <c r="M199">
        <v>0</v>
      </c>
      <c r="N199">
        <v>550</v>
      </c>
    </row>
    <row r="200" spans="1:14" x14ac:dyDescent="0.25">
      <c r="A200">
        <v>75.985131999999993</v>
      </c>
      <c r="B200" s="1">
        <f>DATE(2010,7,15) + TIME(23,38,35)</f>
        <v>40374.985127314816</v>
      </c>
      <c r="C200">
        <v>80</v>
      </c>
      <c r="D200">
        <v>79.712860106999997</v>
      </c>
      <c r="E200">
        <v>40</v>
      </c>
      <c r="F200">
        <v>15.019309044</v>
      </c>
      <c r="G200">
        <v>1346.3702393000001</v>
      </c>
      <c r="H200">
        <v>1341.9440918</v>
      </c>
      <c r="I200">
        <v>1314.9620361</v>
      </c>
      <c r="J200">
        <v>1305.6445312000001</v>
      </c>
      <c r="K200">
        <v>550</v>
      </c>
      <c r="L200">
        <v>0</v>
      </c>
      <c r="M200">
        <v>0</v>
      </c>
      <c r="N200">
        <v>550</v>
      </c>
    </row>
    <row r="201" spans="1:14" x14ac:dyDescent="0.25">
      <c r="A201">
        <v>77.171598000000003</v>
      </c>
      <c r="B201" s="1">
        <f>DATE(2010,7,17) + TIME(4,7,6)</f>
        <v>40376.171597222223</v>
      </c>
      <c r="C201">
        <v>80</v>
      </c>
      <c r="D201">
        <v>79.713218689000001</v>
      </c>
      <c r="E201">
        <v>40</v>
      </c>
      <c r="F201">
        <v>15.022601128</v>
      </c>
      <c r="G201">
        <v>1346.3452147999999</v>
      </c>
      <c r="H201">
        <v>1341.9222411999999</v>
      </c>
      <c r="I201">
        <v>1314.9769286999999</v>
      </c>
      <c r="J201">
        <v>1305.6555175999999</v>
      </c>
      <c r="K201">
        <v>550</v>
      </c>
      <c r="L201">
        <v>0</v>
      </c>
      <c r="M201">
        <v>0</v>
      </c>
      <c r="N201">
        <v>550</v>
      </c>
    </row>
    <row r="202" spans="1:14" x14ac:dyDescent="0.25">
      <c r="A202">
        <v>77.776435000000006</v>
      </c>
      <c r="B202" s="1">
        <f>DATE(2010,7,17) + TIME(18,38,3)</f>
        <v>40376.776423611111</v>
      </c>
      <c r="C202">
        <v>80</v>
      </c>
      <c r="D202">
        <v>79.713378906000003</v>
      </c>
      <c r="E202">
        <v>40</v>
      </c>
      <c r="F202">
        <v>15.024787903</v>
      </c>
      <c r="G202">
        <v>1346.3195800999999</v>
      </c>
      <c r="H202">
        <v>1341.8999022999999</v>
      </c>
      <c r="I202">
        <v>1314.9924315999999</v>
      </c>
      <c r="J202">
        <v>1305.666626</v>
      </c>
      <c r="K202">
        <v>550</v>
      </c>
      <c r="L202">
        <v>0</v>
      </c>
      <c r="M202">
        <v>0</v>
      </c>
      <c r="N202">
        <v>550</v>
      </c>
    </row>
    <row r="203" spans="1:14" x14ac:dyDescent="0.25">
      <c r="A203">
        <v>78.381271999999996</v>
      </c>
      <c r="B203" s="1">
        <f>DATE(2010,7,18) + TIME(9,9,1)</f>
        <v>40377.381261574075</v>
      </c>
      <c r="C203">
        <v>80</v>
      </c>
      <c r="D203">
        <v>79.713546753000003</v>
      </c>
      <c r="E203">
        <v>40</v>
      </c>
      <c r="F203">
        <v>15.027096748</v>
      </c>
      <c r="G203">
        <v>1346.3067627</v>
      </c>
      <c r="H203">
        <v>1341.8886719</v>
      </c>
      <c r="I203">
        <v>1315.0004882999999</v>
      </c>
      <c r="J203">
        <v>1305.6724853999999</v>
      </c>
      <c r="K203">
        <v>550</v>
      </c>
      <c r="L203">
        <v>0</v>
      </c>
      <c r="M203">
        <v>0</v>
      </c>
      <c r="N203">
        <v>550</v>
      </c>
    </row>
    <row r="204" spans="1:14" x14ac:dyDescent="0.25">
      <c r="A204">
        <v>78.986108999999999</v>
      </c>
      <c r="B204" s="1">
        <f>DATE(2010,7,18) + TIME(23,39,59)</f>
        <v>40377.98609953704</v>
      </c>
      <c r="C204">
        <v>80</v>
      </c>
      <c r="D204">
        <v>79.713722228999998</v>
      </c>
      <c r="E204">
        <v>40</v>
      </c>
      <c r="F204">
        <v>15.029541969</v>
      </c>
      <c r="G204">
        <v>1346.2940673999999</v>
      </c>
      <c r="H204">
        <v>1341.8775635</v>
      </c>
      <c r="I204">
        <v>1315.0085449000001</v>
      </c>
      <c r="J204">
        <v>1305.6784668</v>
      </c>
      <c r="K204">
        <v>550</v>
      </c>
      <c r="L204">
        <v>0</v>
      </c>
      <c r="M204">
        <v>0</v>
      </c>
      <c r="N204">
        <v>550</v>
      </c>
    </row>
    <row r="205" spans="1:14" x14ac:dyDescent="0.25">
      <c r="A205">
        <v>79.590136000000001</v>
      </c>
      <c r="B205" s="1">
        <f>DATE(2010,7,19) + TIME(14,9,47)</f>
        <v>40378.590127314812</v>
      </c>
      <c r="C205">
        <v>80</v>
      </c>
      <c r="D205">
        <v>79.713890075999998</v>
      </c>
      <c r="E205">
        <v>40</v>
      </c>
      <c r="F205">
        <v>15.032132149000001</v>
      </c>
      <c r="G205">
        <v>1346.2813721</v>
      </c>
      <c r="H205">
        <v>1341.8665771000001</v>
      </c>
      <c r="I205">
        <v>1315.0167236</v>
      </c>
      <c r="J205">
        <v>1305.6845702999999</v>
      </c>
      <c r="K205">
        <v>550</v>
      </c>
      <c r="L205">
        <v>0</v>
      </c>
      <c r="M205">
        <v>0</v>
      </c>
      <c r="N205">
        <v>550</v>
      </c>
    </row>
    <row r="206" spans="1:14" x14ac:dyDescent="0.25">
      <c r="A206">
        <v>80.193572000000003</v>
      </c>
      <c r="B206" s="1">
        <f>DATE(2010,7,20) + TIME(4,38,44)</f>
        <v>40379.193564814814</v>
      </c>
      <c r="C206">
        <v>80</v>
      </c>
      <c r="D206">
        <v>79.714065551999994</v>
      </c>
      <c r="E206">
        <v>40</v>
      </c>
      <c r="F206">
        <v>15.034878730999999</v>
      </c>
      <c r="G206">
        <v>1346.2689209</v>
      </c>
      <c r="H206">
        <v>1341.8557129000001</v>
      </c>
      <c r="I206">
        <v>1315.0250243999999</v>
      </c>
      <c r="J206">
        <v>1305.6906738</v>
      </c>
      <c r="K206">
        <v>550</v>
      </c>
      <c r="L206">
        <v>0</v>
      </c>
      <c r="M206">
        <v>0</v>
      </c>
      <c r="N206">
        <v>550</v>
      </c>
    </row>
    <row r="207" spans="1:14" x14ac:dyDescent="0.25">
      <c r="A207">
        <v>80.796698000000006</v>
      </c>
      <c r="B207" s="1">
        <f>DATE(2010,7,20) + TIME(19,7,14)</f>
        <v>40379.796689814815</v>
      </c>
      <c r="C207">
        <v>80</v>
      </c>
      <c r="D207">
        <v>79.714241028000004</v>
      </c>
      <c r="E207">
        <v>40</v>
      </c>
      <c r="F207">
        <v>15.037794113</v>
      </c>
      <c r="G207">
        <v>1346.2564697</v>
      </c>
      <c r="H207">
        <v>1341.8448486</v>
      </c>
      <c r="I207">
        <v>1315.0334473</v>
      </c>
      <c r="J207">
        <v>1305.6968993999999</v>
      </c>
      <c r="K207">
        <v>550</v>
      </c>
      <c r="L207">
        <v>0</v>
      </c>
      <c r="M207">
        <v>0</v>
      </c>
      <c r="N207">
        <v>550</v>
      </c>
    </row>
    <row r="208" spans="1:14" x14ac:dyDescent="0.25">
      <c r="A208">
        <v>81.399437000000006</v>
      </c>
      <c r="B208" s="1">
        <f>DATE(2010,7,21) + TIME(9,35,11)</f>
        <v>40380.39943287037</v>
      </c>
      <c r="C208">
        <v>80</v>
      </c>
      <c r="D208">
        <v>79.714416503999999</v>
      </c>
      <c r="E208">
        <v>40</v>
      </c>
      <c r="F208">
        <v>15.040890694</v>
      </c>
      <c r="G208">
        <v>1346.2441406</v>
      </c>
      <c r="H208">
        <v>1341.8341064000001</v>
      </c>
      <c r="I208">
        <v>1315.0418701000001</v>
      </c>
      <c r="J208">
        <v>1305.703125</v>
      </c>
      <c r="K208">
        <v>550</v>
      </c>
      <c r="L208">
        <v>0</v>
      </c>
      <c r="M208">
        <v>0</v>
      </c>
      <c r="N208">
        <v>550</v>
      </c>
    </row>
    <row r="209" spans="1:14" x14ac:dyDescent="0.25">
      <c r="A209">
        <v>82.002176000000006</v>
      </c>
      <c r="B209" s="1">
        <f>DATE(2010,7,22) + TIME(0,3,8)</f>
        <v>40381.002175925925</v>
      </c>
      <c r="C209">
        <v>80</v>
      </c>
      <c r="D209">
        <v>79.714599609000004</v>
      </c>
      <c r="E209">
        <v>40</v>
      </c>
      <c r="F209">
        <v>15.04418087</v>
      </c>
      <c r="G209">
        <v>1346.2318115</v>
      </c>
      <c r="H209">
        <v>1341.8234863</v>
      </c>
      <c r="I209">
        <v>1315.050293</v>
      </c>
      <c r="J209">
        <v>1305.7094727000001</v>
      </c>
      <c r="K209">
        <v>550</v>
      </c>
      <c r="L209">
        <v>0</v>
      </c>
      <c r="M209">
        <v>0</v>
      </c>
      <c r="N209">
        <v>550</v>
      </c>
    </row>
    <row r="210" spans="1:14" x14ac:dyDescent="0.25">
      <c r="A210">
        <v>82.604916000000003</v>
      </c>
      <c r="B210" s="1">
        <f>DATE(2010,7,22) + TIME(14,31,4)</f>
        <v>40381.604907407411</v>
      </c>
      <c r="C210">
        <v>80</v>
      </c>
      <c r="D210">
        <v>79.714775084999999</v>
      </c>
      <c r="E210">
        <v>40</v>
      </c>
      <c r="F210">
        <v>15.047677994000001</v>
      </c>
      <c r="G210">
        <v>1346.2196045000001</v>
      </c>
      <c r="H210">
        <v>1341.8128661999999</v>
      </c>
      <c r="I210">
        <v>1315.0589600000001</v>
      </c>
      <c r="J210">
        <v>1305.7158202999999</v>
      </c>
      <c r="K210">
        <v>550</v>
      </c>
      <c r="L210">
        <v>0</v>
      </c>
      <c r="M210">
        <v>0</v>
      </c>
      <c r="N210">
        <v>550</v>
      </c>
    </row>
    <row r="211" spans="1:14" x14ac:dyDescent="0.25">
      <c r="A211">
        <v>83.207655000000003</v>
      </c>
      <c r="B211" s="1">
        <f>DATE(2010,7,23) + TIME(4,59,1)</f>
        <v>40382.207650462966</v>
      </c>
      <c r="C211">
        <v>80</v>
      </c>
      <c r="D211">
        <v>79.714950561999999</v>
      </c>
      <c r="E211">
        <v>40</v>
      </c>
      <c r="F211">
        <v>15.051393509</v>
      </c>
      <c r="G211">
        <v>1346.2075195</v>
      </c>
      <c r="H211">
        <v>1341.8023682</v>
      </c>
      <c r="I211">
        <v>1315.0676269999999</v>
      </c>
      <c r="J211">
        <v>1305.7222899999999</v>
      </c>
      <c r="K211">
        <v>550</v>
      </c>
      <c r="L211">
        <v>0</v>
      </c>
      <c r="M211">
        <v>0</v>
      </c>
      <c r="N211">
        <v>550</v>
      </c>
    </row>
    <row r="212" spans="1:14" x14ac:dyDescent="0.25">
      <c r="A212">
        <v>84.413133000000002</v>
      </c>
      <c r="B212" s="1">
        <f>DATE(2010,7,24) + TIME(9,54,54)</f>
        <v>40383.413124999999</v>
      </c>
      <c r="C212">
        <v>80</v>
      </c>
      <c r="D212">
        <v>79.715354919000006</v>
      </c>
      <c r="E212">
        <v>40</v>
      </c>
      <c r="F212">
        <v>15.058320998999999</v>
      </c>
      <c r="G212">
        <v>1346.1956786999999</v>
      </c>
      <c r="H212">
        <v>1341.7922363</v>
      </c>
      <c r="I212">
        <v>1315.0760498</v>
      </c>
      <c r="J212">
        <v>1305.729126</v>
      </c>
      <c r="K212">
        <v>550</v>
      </c>
      <c r="L212">
        <v>0</v>
      </c>
      <c r="M212">
        <v>0</v>
      </c>
      <c r="N212">
        <v>550</v>
      </c>
    </row>
    <row r="213" spans="1:14" x14ac:dyDescent="0.25">
      <c r="A213">
        <v>85.619877000000002</v>
      </c>
      <c r="B213" s="1">
        <f>DATE(2010,7,25) + TIME(14,52,37)</f>
        <v>40384.619872685187</v>
      </c>
      <c r="C213">
        <v>80</v>
      </c>
      <c r="D213">
        <v>79.715736389</v>
      </c>
      <c r="E213">
        <v>40</v>
      </c>
      <c r="F213">
        <v>15.066356659</v>
      </c>
      <c r="G213">
        <v>1346.171875</v>
      </c>
      <c r="H213">
        <v>1341.7714844</v>
      </c>
      <c r="I213">
        <v>1315.0936279</v>
      </c>
      <c r="J213">
        <v>1305.7423096</v>
      </c>
      <c r="K213">
        <v>550</v>
      </c>
      <c r="L213">
        <v>0</v>
      </c>
      <c r="M213">
        <v>0</v>
      </c>
      <c r="N213">
        <v>550</v>
      </c>
    </row>
    <row r="214" spans="1:14" x14ac:dyDescent="0.25">
      <c r="A214">
        <v>86.833151999999998</v>
      </c>
      <c r="B214" s="1">
        <f>DATE(2010,7,26) + TIME(19,59,44)</f>
        <v>40385.833148148151</v>
      </c>
      <c r="C214">
        <v>80</v>
      </c>
      <c r="D214">
        <v>79.716110228999995</v>
      </c>
      <c r="E214">
        <v>40</v>
      </c>
      <c r="F214">
        <v>15.075601578000001</v>
      </c>
      <c r="G214">
        <v>1346.1480713000001</v>
      </c>
      <c r="H214">
        <v>1341.7509766000001</v>
      </c>
      <c r="I214">
        <v>1315.1116943</v>
      </c>
      <c r="J214">
        <v>1305.7558594</v>
      </c>
      <c r="K214">
        <v>550</v>
      </c>
      <c r="L214">
        <v>0</v>
      </c>
      <c r="M214">
        <v>0</v>
      </c>
      <c r="N214">
        <v>550</v>
      </c>
    </row>
    <row r="215" spans="1:14" x14ac:dyDescent="0.25">
      <c r="A215">
        <v>88.054875999999993</v>
      </c>
      <c r="B215" s="1">
        <f>DATE(2010,7,28) + TIME(1,19,1)</f>
        <v>40387.054872685185</v>
      </c>
      <c r="C215">
        <v>80</v>
      </c>
      <c r="D215">
        <v>79.716484070000007</v>
      </c>
      <c r="E215">
        <v>40</v>
      </c>
      <c r="F215">
        <v>15.086174011000001</v>
      </c>
      <c r="G215">
        <v>1346.1245117000001</v>
      </c>
      <c r="H215">
        <v>1341.7305908000001</v>
      </c>
      <c r="I215">
        <v>1315.1301269999999</v>
      </c>
      <c r="J215">
        <v>1305.7697754000001</v>
      </c>
      <c r="K215">
        <v>550</v>
      </c>
      <c r="L215">
        <v>0</v>
      </c>
      <c r="M215">
        <v>0</v>
      </c>
      <c r="N215">
        <v>550</v>
      </c>
    </row>
    <row r="216" spans="1:14" x14ac:dyDescent="0.25">
      <c r="A216">
        <v>89.286972000000006</v>
      </c>
      <c r="B216" s="1">
        <f>DATE(2010,7,29) + TIME(6,53,14)</f>
        <v>40388.28696759259</v>
      </c>
      <c r="C216">
        <v>80</v>
      </c>
      <c r="D216">
        <v>79.716857910000002</v>
      </c>
      <c r="E216">
        <v>40</v>
      </c>
      <c r="F216">
        <v>15.098216057</v>
      </c>
      <c r="G216">
        <v>1346.1010742000001</v>
      </c>
      <c r="H216">
        <v>1341.7103271000001</v>
      </c>
      <c r="I216">
        <v>1315.1491699000001</v>
      </c>
      <c r="J216">
        <v>1305.7843018000001</v>
      </c>
      <c r="K216">
        <v>550</v>
      </c>
      <c r="L216">
        <v>0</v>
      </c>
      <c r="M216">
        <v>0</v>
      </c>
      <c r="N216">
        <v>550</v>
      </c>
    </row>
    <row r="217" spans="1:14" x14ac:dyDescent="0.25">
      <c r="A217">
        <v>90.531298000000007</v>
      </c>
      <c r="B217" s="1">
        <f>DATE(2010,7,30) + TIME(12,45,4)</f>
        <v>40389.5312962963</v>
      </c>
      <c r="C217">
        <v>80</v>
      </c>
      <c r="D217">
        <v>79.717231749999996</v>
      </c>
      <c r="E217">
        <v>40</v>
      </c>
      <c r="F217">
        <v>15.111900329999999</v>
      </c>
      <c r="G217">
        <v>1346.0776367000001</v>
      </c>
      <c r="H217">
        <v>1341.6900635</v>
      </c>
      <c r="I217">
        <v>1315.1685791</v>
      </c>
      <c r="J217">
        <v>1305.7993164</v>
      </c>
      <c r="K217">
        <v>550</v>
      </c>
      <c r="L217">
        <v>0</v>
      </c>
      <c r="M217">
        <v>0</v>
      </c>
      <c r="N217">
        <v>550</v>
      </c>
    </row>
    <row r="218" spans="1:14" x14ac:dyDescent="0.25">
      <c r="A218">
        <v>91.789484000000002</v>
      </c>
      <c r="B218" s="1">
        <f>DATE(2010,7,31) + TIME(18,56,51)</f>
        <v>40390.789479166669</v>
      </c>
      <c r="C218">
        <v>80</v>
      </c>
      <c r="D218">
        <v>79.717605590999995</v>
      </c>
      <c r="E218">
        <v>40</v>
      </c>
      <c r="F218">
        <v>15.12742424</v>
      </c>
      <c r="G218">
        <v>1346.0541992000001</v>
      </c>
      <c r="H218">
        <v>1341.6697998</v>
      </c>
      <c r="I218">
        <v>1315.1887207</v>
      </c>
      <c r="J218">
        <v>1305.8149414</v>
      </c>
      <c r="K218">
        <v>550</v>
      </c>
      <c r="L218">
        <v>0</v>
      </c>
      <c r="M218">
        <v>0</v>
      </c>
      <c r="N218">
        <v>550</v>
      </c>
    </row>
    <row r="219" spans="1:14" x14ac:dyDescent="0.25">
      <c r="A219">
        <v>92</v>
      </c>
      <c r="B219" s="1">
        <f>DATE(2010,8,1) + TIME(0,0,0)</f>
        <v>40391</v>
      </c>
      <c r="C219">
        <v>80</v>
      </c>
      <c r="D219">
        <v>79.717651367000002</v>
      </c>
      <c r="E219">
        <v>40</v>
      </c>
      <c r="F219">
        <v>15.131129265</v>
      </c>
      <c r="G219">
        <v>1346.0306396000001</v>
      </c>
      <c r="H219">
        <v>1341.6495361</v>
      </c>
      <c r="I219">
        <v>1315.2104492000001</v>
      </c>
      <c r="J219">
        <v>1305.8298339999999</v>
      </c>
      <c r="K219">
        <v>550</v>
      </c>
      <c r="L219">
        <v>0</v>
      </c>
      <c r="M219">
        <v>0</v>
      </c>
      <c r="N219">
        <v>550</v>
      </c>
    </row>
    <row r="220" spans="1:14" x14ac:dyDescent="0.25">
      <c r="A220">
        <v>93.274145000000004</v>
      </c>
      <c r="B220" s="1">
        <f>DATE(2010,8,2) + TIME(6,34,46)</f>
        <v>40392.274143518516</v>
      </c>
      <c r="C220">
        <v>80</v>
      </c>
      <c r="D220">
        <v>79.718040466000005</v>
      </c>
      <c r="E220">
        <v>40</v>
      </c>
      <c r="F220">
        <v>15.148874283</v>
      </c>
      <c r="G220">
        <v>1346.0267334</v>
      </c>
      <c r="H220">
        <v>1341.6461182</v>
      </c>
      <c r="I220">
        <v>1315.2130127</v>
      </c>
      <c r="J220">
        <v>1305.8341064000001</v>
      </c>
      <c r="K220">
        <v>550</v>
      </c>
      <c r="L220">
        <v>0</v>
      </c>
      <c r="M220">
        <v>0</v>
      </c>
      <c r="N220">
        <v>550</v>
      </c>
    </row>
    <row r="221" spans="1:14" x14ac:dyDescent="0.25">
      <c r="A221">
        <v>94.569762999999995</v>
      </c>
      <c r="B221" s="1">
        <f>DATE(2010,8,3) + TIME(13,40,27)</f>
        <v>40393.569756944446</v>
      </c>
      <c r="C221">
        <v>80</v>
      </c>
      <c r="D221">
        <v>79.718429564999994</v>
      </c>
      <c r="E221">
        <v>40</v>
      </c>
      <c r="F221">
        <v>15.169094085999999</v>
      </c>
      <c r="G221">
        <v>1346.0032959</v>
      </c>
      <c r="H221">
        <v>1341.6259766000001</v>
      </c>
      <c r="I221">
        <v>1315.2344971</v>
      </c>
      <c r="J221">
        <v>1305.8511963000001</v>
      </c>
      <c r="K221">
        <v>550</v>
      </c>
      <c r="L221">
        <v>0</v>
      </c>
      <c r="M221">
        <v>0</v>
      </c>
      <c r="N221">
        <v>550</v>
      </c>
    </row>
    <row r="222" spans="1:14" x14ac:dyDescent="0.25">
      <c r="A222">
        <v>95.886585999999994</v>
      </c>
      <c r="B222" s="1">
        <f>DATE(2010,8,4) + TIME(21,16,40)</f>
        <v>40394.886574074073</v>
      </c>
      <c r="C222">
        <v>80</v>
      </c>
      <c r="D222">
        <v>79.718826293999996</v>
      </c>
      <c r="E222">
        <v>40</v>
      </c>
      <c r="F222">
        <v>15.192084312</v>
      </c>
      <c r="G222">
        <v>1345.9796143000001</v>
      </c>
      <c r="H222">
        <v>1341.6055908000001</v>
      </c>
      <c r="I222">
        <v>1315.2569579999999</v>
      </c>
      <c r="J222">
        <v>1305.8691406</v>
      </c>
      <c r="K222">
        <v>550</v>
      </c>
      <c r="L222">
        <v>0</v>
      </c>
      <c r="M222">
        <v>0</v>
      </c>
      <c r="N222">
        <v>550</v>
      </c>
    </row>
    <row r="223" spans="1:14" x14ac:dyDescent="0.25">
      <c r="A223">
        <v>96.555661999999998</v>
      </c>
      <c r="B223" s="1">
        <f>DATE(2010,8,5) + TIME(13,20,9)</f>
        <v>40395.555659722224</v>
      </c>
      <c r="C223">
        <v>80</v>
      </c>
      <c r="D223">
        <v>79.719001770000006</v>
      </c>
      <c r="E223">
        <v>40</v>
      </c>
      <c r="F223">
        <v>15.207149506</v>
      </c>
      <c r="G223">
        <v>1345.9555664</v>
      </c>
      <c r="H223">
        <v>1341.5847168</v>
      </c>
      <c r="I223">
        <v>1315.28125</v>
      </c>
      <c r="J223">
        <v>1305.887207</v>
      </c>
      <c r="K223">
        <v>550</v>
      </c>
      <c r="L223">
        <v>0</v>
      </c>
      <c r="M223">
        <v>0</v>
      </c>
      <c r="N223">
        <v>550</v>
      </c>
    </row>
    <row r="224" spans="1:14" x14ac:dyDescent="0.25">
      <c r="A224">
        <v>97.224739</v>
      </c>
      <c r="B224" s="1">
        <f>DATE(2010,8,6) + TIME(5,23,37)</f>
        <v>40396.224733796298</v>
      </c>
      <c r="C224">
        <v>80</v>
      </c>
      <c r="D224">
        <v>79.719177246000001</v>
      </c>
      <c r="E224">
        <v>40</v>
      </c>
      <c r="F224">
        <v>15.222808838000001</v>
      </c>
      <c r="G224">
        <v>1345.9434814000001</v>
      </c>
      <c r="H224">
        <v>1341.5742187999999</v>
      </c>
      <c r="I224">
        <v>1315.2933350000001</v>
      </c>
      <c r="J224">
        <v>1305.8973389</v>
      </c>
      <c r="K224">
        <v>550</v>
      </c>
      <c r="L224">
        <v>0</v>
      </c>
      <c r="M224">
        <v>0</v>
      </c>
      <c r="N224">
        <v>550</v>
      </c>
    </row>
    <row r="225" spans="1:14" x14ac:dyDescent="0.25">
      <c r="A225">
        <v>97.893816000000001</v>
      </c>
      <c r="B225" s="1">
        <f>DATE(2010,8,6) + TIME(21,27,5)</f>
        <v>40396.893807870372</v>
      </c>
      <c r="C225">
        <v>80</v>
      </c>
      <c r="D225">
        <v>79.719367981000005</v>
      </c>
      <c r="E225">
        <v>40</v>
      </c>
      <c r="F225">
        <v>15.239131927000001</v>
      </c>
      <c r="G225">
        <v>1345.9315185999999</v>
      </c>
      <c r="H225">
        <v>1341.5638428</v>
      </c>
      <c r="I225">
        <v>1315.3054199000001</v>
      </c>
      <c r="J225">
        <v>1305.9074707</v>
      </c>
      <c r="K225">
        <v>550</v>
      </c>
      <c r="L225">
        <v>0</v>
      </c>
      <c r="M225">
        <v>0</v>
      </c>
      <c r="N225">
        <v>550</v>
      </c>
    </row>
    <row r="226" spans="1:14" x14ac:dyDescent="0.25">
      <c r="A226">
        <v>98.562893000000003</v>
      </c>
      <c r="B226" s="1">
        <f>DATE(2010,8,7) + TIME(13,30,33)</f>
        <v>40397.562881944446</v>
      </c>
      <c r="C226">
        <v>80</v>
      </c>
      <c r="D226">
        <v>79.719551085999996</v>
      </c>
      <c r="E226">
        <v>40</v>
      </c>
      <c r="F226">
        <v>15.256178856</v>
      </c>
      <c r="G226">
        <v>1345.9195557</v>
      </c>
      <c r="H226">
        <v>1341.5535889</v>
      </c>
      <c r="I226">
        <v>1315.317749</v>
      </c>
      <c r="J226">
        <v>1305.9178466999999</v>
      </c>
      <c r="K226">
        <v>550</v>
      </c>
      <c r="L226">
        <v>0</v>
      </c>
      <c r="M226">
        <v>0</v>
      </c>
      <c r="N226">
        <v>550</v>
      </c>
    </row>
    <row r="227" spans="1:14" x14ac:dyDescent="0.25">
      <c r="A227">
        <v>99.231969000000007</v>
      </c>
      <c r="B227" s="1">
        <f>DATE(2010,8,8) + TIME(5,34,2)</f>
        <v>40398.23196759259</v>
      </c>
      <c r="C227">
        <v>80</v>
      </c>
      <c r="D227">
        <v>79.719741821</v>
      </c>
      <c r="E227">
        <v>40</v>
      </c>
      <c r="F227">
        <v>15.274011612000001</v>
      </c>
      <c r="G227">
        <v>1345.9077147999999</v>
      </c>
      <c r="H227">
        <v>1341.5433350000001</v>
      </c>
      <c r="I227">
        <v>1315.3302002</v>
      </c>
      <c r="J227">
        <v>1305.9284668</v>
      </c>
      <c r="K227">
        <v>550</v>
      </c>
      <c r="L227">
        <v>0</v>
      </c>
      <c r="M227">
        <v>0</v>
      </c>
      <c r="N227">
        <v>550</v>
      </c>
    </row>
    <row r="228" spans="1:14" x14ac:dyDescent="0.25">
      <c r="A228">
        <v>99.901045999999994</v>
      </c>
      <c r="B228" s="1">
        <f>DATE(2010,8,8) + TIME(21,37,30)</f>
        <v>40398.901041666664</v>
      </c>
      <c r="C228">
        <v>80</v>
      </c>
      <c r="D228">
        <v>79.719932556000003</v>
      </c>
      <c r="E228">
        <v>40</v>
      </c>
      <c r="F228">
        <v>15.292686462000001</v>
      </c>
      <c r="G228">
        <v>1345.895874</v>
      </c>
      <c r="H228">
        <v>1341.5330810999999</v>
      </c>
      <c r="I228">
        <v>1315.3427733999999</v>
      </c>
      <c r="J228">
        <v>1305.9392089999999</v>
      </c>
      <c r="K228">
        <v>550</v>
      </c>
      <c r="L228">
        <v>0</v>
      </c>
      <c r="M228">
        <v>0</v>
      </c>
      <c r="N228">
        <v>550</v>
      </c>
    </row>
    <row r="229" spans="1:14" x14ac:dyDescent="0.25">
      <c r="A229">
        <v>100.570123</v>
      </c>
      <c r="B229" s="1">
        <f>DATE(2010,8,9) + TIME(13,40,58)</f>
        <v>40399.570115740738</v>
      </c>
      <c r="C229">
        <v>80</v>
      </c>
      <c r="D229">
        <v>79.720130920000003</v>
      </c>
      <c r="E229">
        <v>40</v>
      </c>
      <c r="F229">
        <v>15.312257767</v>
      </c>
      <c r="G229">
        <v>1345.8841553</v>
      </c>
      <c r="H229">
        <v>1341.5229492000001</v>
      </c>
      <c r="I229">
        <v>1315.3554687999999</v>
      </c>
      <c r="J229">
        <v>1305.9501952999999</v>
      </c>
      <c r="K229">
        <v>550</v>
      </c>
      <c r="L229">
        <v>0</v>
      </c>
      <c r="M229">
        <v>0</v>
      </c>
      <c r="N229">
        <v>550</v>
      </c>
    </row>
    <row r="230" spans="1:14" x14ac:dyDescent="0.25">
      <c r="A230">
        <v>101.2392</v>
      </c>
      <c r="B230" s="1">
        <f>DATE(2010,8,10) + TIME(5,44,26)</f>
        <v>40400.239189814813</v>
      </c>
      <c r="C230">
        <v>80</v>
      </c>
      <c r="D230">
        <v>79.720321655000006</v>
      </c>
      <c r="E230">
        <v>40</v>
      </c>
      <c r="F230">
        <v>15.332781792</v>
      </c>
      <c r="G230">
        <v>1345.8724365</v>
      </c>
      <c r="H230">
        <v>1341.5128173999999</v>
      </c>
      <c r="I230">
        <v>1315.3682861</v>
      </c>
      <c r="J230">
        <v>1305.9614257999999</v>
      </c>
      <c r="K230">
        <v>550</v>
      </c>
      <c r="L230">
        <v>0</v>
      </c>
      <c r="M230">
        <v>0</v>
      </c>
      <c r="N230">
        <v>550</v>
      </c>
    </row>
    <row r="231" spans="1:14" x14ac:dyDescent="0.25">
      <c r="A231">
        <v>101.908276</v>
      </c>
      <c r="B231" s="1">
        <f>DATE(2010,8,10) + TIME(21,47,55)</f>
        <v>40400.908275462964</v>
      </c>
      <c r="C231">
        <v>80</v>
      </c>
      <c r="D231">
        <v>79.720520019999995</v>
      </c>
      <c r="E231">
        <v>40</v>
      </c>
      <c r="F231">
        <v>15.354309082</v>
      </c>
      <c r="G231">
        <v>1345.8608397999999</v>
      </c>
      <c r="H231">
        <v>1341.5028076000001</v>
      </c>
      <c r="I231">
        <v>1315.3813477000001</v>
      </c>
      <c r="J231">
        <v>1305.9727783000001</v>
      </c>
      <c r="K231">
        <v>550</v>
      </c>
      <c r="L231">
        <v>0</v>
      </c>
      <c r="M231">
        <v>0</v>
      </c>
      <c r="N231">
        <v>550</v>
      </c>
    </row>
    <row r="232" spans="1:14" x14ac:dyDescent="0.25">
      <c r="A232">
        <v>102.577353</v>
      </c>
      <c r="B232" s="1">
        <f>DATE(2010,8,11) + TIME(13,51,23)</f>
        <v>40401.577349537038</v>
      </c>
      <c r="C232">
        <v>80</v>
      </c>
      <c r="D232">
        <v>79.720718383999994</v>
      </c>
      <c r="E232">
        <v>40</v>
      </c>
      <c r="F232">
        <v>15.376893043999999</v>
      </c>
      <c r="G232">
        <v>1345.8492432</v>
      </c>
      <c r="H232">
        <v>1341.4927978999999</v>
      </c>
      <c r="I232">
        <v>1315.3944091999999</v>
      </c>
      <c r="J232">
        <v>1305.984375</v>
      </c>
      <c r="K232">
        <v>550</v>
      </c>
      <c r="L232">
        <v>0</v>
      </c>
      <c r="M232">
        <v>0</v>
      </c>
      <c r="N232">
        <v>550</v>
      </c>
    </row>
    <row r="233" spans="1:14" x14ac:dyDescent="0.25">
      <c r="A233">
        <v>103.24643</v>
      </c>
      <c r="B233" s="1">
        <f>DATE(2010,8,12) + TIME(5,54,51)</f>
        <v>40402.246423611112</v>
      </c>
      <c r="C233">
        <v>80</v>
      </c>
      <c r="D233">
        <v>79.720916747999993</v>
      </c>
      <c r="E233">
        <v>40</v>
      </c>
      <c r="F233">
        <v>15.400585175</v>
      </c>
      <c r="G233">
        <v>1345.8376464999999</v>
      </c>
      <c r="H233">
        <v>1341.4827881000001</v>
      </c>
      <c r="I233">
        <v>1315.4077147999999</v>
      </c>
      <c r="J233">
        <v>1305.9962158000001</v>
      </c>
      <c r="K233">
        <v>550</v>
      </c>
      <c r="L233">
        <v>0</v>
      </c>
      <c r="M233">
        <v>0</v>
      </c>
      <c r="N233">
        <v>550</v>
      </c>
    </row>
    <row r="234" spans="1:14" x14ac:dyDescent="0.25">
      <c r="A234">
        <v>103.91550700000001</v>
      </c>
      <c r="B234" s="1">
        <f>DATE(2010,8,12) + TIME(21,58,19)</f>
        <v>40402.915497685186</v>
      </c>
      <c r="C234">
        <v>80</v>
      </c>
      <c r="D234">
        <v>79.721107482999997</v>
      </c>
      <c r="E234">
        <v>40</v>
      </c>
      <c r="F234">
        <v>15.425436974</v>
      </c>
      <c r="G234">
        <v>1345.8261719</v>
      </c>
      <c r="H234">
        <v>1341.4727783000001</v>
      </c>
      <c r="I234">
        <v>1315.4211425999999</v>
      </c>
      <c r="J234">
        <v>1306.0083007999999</v>
      </c>
      <c r="K234">
        <v>550</v>
      </c>
      <c r="L234">
        <v>0</v>
      </c>
      <c r="M234">
        <v>0</v>
      </c>
      <c r="N234">
        <v>550</v>
      </c>
    </row>
    <row r="235" spans="1:14" x14ac:dyDescent="0.25">
      <c r="A235">
        <v>104.58458400000001</v>
      </c>
      <c r="B235" s="1">
        <f>DATE(2010,8,13) + TIME(14,1,48)</f>
        <v>40403.584583333337</v>
      </c>
      <c r="C235">
        <v>80</v>
      </c>
      <c r="D235">
        <v>79.721305846999996</v>
      </c>
      <c r="E235">
        <v>40</v>
      </c>
      <c r="F235">
        <v>15.451498985000001</v>
      </c>
      <c r="G235">
        <v>1345.8146973</v>
      </c>
      <c r="H235">
        <v>1341.4628906</v>
      </c>
      <c r="I235">
        <v>1315.4346923999999</v>
      </c>
      <c r="J235">
        <v>1306.0206298999999</v>
      </c>
      <c r="K235">
        <v>550</v>
      </c>
      <c r="L235">
        <v>0</v>
      </c>
      <c r="M235">
        <v>0</v>
      </c>
      <c r="N235">
        <v>550</v>
      </c>
    </row>
    <row r="236" spans="1:14" x14ac:dyDescent="0.25">
      <c r="A236">
        <v>105.25366</v>
      </c>
      <c r="B236" s="1">
        <f>DATE(2010,8,14) + TIME(6,5,16)</f>
        <v>40404.253657407404</v>
      </c>
      <c r="C236">
        <v>80</v>
      </c>
      <c r="D236">
        <v>79.721504210999996</v>
      </c>
      <c r="E236">
        <v>40</v>
      </c>
      <c r="F236">
        <v>15.478822707999999</v>
      </c>
      <c r="G236">
        <v>1345.8033447</v>
      </c>
      <c r="H236">
        <v>1341.4530029</v>
      </c>
      <c r="I236">
        <v>1315.4483643000001</v>
      </c>
      <c r="J236">
        <v>1306.0330810999999</v>
      </c>
      <c r="K236">
        <v>550</v>
      </c>
      <c r="L236">
        <v>0</v>
      </c>
      <c r="M236">
        <v>0</v>
      </c>
      <c r="N236">
        <v>550</v>
      </c>
    </row>
    <row r="237" spans="1:14" x14ac:dyDescent="0.25">
      <c r="A237">
        <v>105.922737</v>
      </c>
      <c r="B237" s="1">
        <f>DATE(2010,8,14) + TIME(22,8,44)</f>
        <v>40404.922731481478</v>
      </c>
      <c r="C237">
        <v>80</v>
      </c>
      <c r="D237">
        <v>79.721702575999998</v>
      </c>
      <c r="E237">
        <v>40</v>
      </c>
      <c r="F237">
        <v>15.507458687</v>
      </c>
      <c r="G237">
        <v>1345.7919922000001</v>
      </c>
      <c r="H237">
        <v>1341.4431152</v>
      </c>
      <c r="I237">
        <v>1315.4621582</v>
      </c>
      <c r="J237">
        <v>1306.0458983999999</v>
      </c>
      <c r="K237">
        <v>550</v>
      </c>
      <c r="L237">
        <v>0</v>
      </c>
      <c r="M237">
        <v>0</v>
      </c>
      <c r="N237">
        <v>550</v>
      </c>
    </row>
    <row r="238" spans="1:14" x14ac:dyDescent="0.25">
      <c r="A238">
        <v>106.591814</v>
      </c>
      <c r="B238" s="1">
        <f>DATE(2010,8,15) + TIME(14,12,12)</f>
        <v>40405.591805555552</v>
      </c>
      <c r="C238">
        <v>80</v>
      </c>
      <c r="D238">
        <v>79.721900939999998</v>
      </c>
      <c r="E238">
        <v>40</v>
      </c>
      <c r="F238">
        <v>15.537459373000001</v>
      </c>
      <c r="G238">
        <v>1345.7806396000001</v>
      </c>
      <c r="H238">
        <v>1341.4333495999999</v>
      </c>
      <c r="I238">
        <v>1315.4760742000001</v>
      </c>
      <c r="J238">
        <v>1306.0589600000001</v>
      </c>
      <c r="K238">
        <v>550</v>
      </c>
      <c r="L238">
        <v>0</v>
      </c>
      <c r="M238">
        <v>0</v>
      </c>
      <c r="N238">
        <v>550</v>
      </c>
    </row>
    <row r="239" spans="1:14" x14ac:dyDescent="0.25">
      <c r="A239">
        <v>107.929967</v>
      </c>
      <c r="B239" s="1">
        <f>DATE(2010,8,16) + TIME(22,19,9)</f>
        <v>40406.929965277777</v>
      </c>
      <c r="C239">
        <v>80</v>
      </c>
      <c r="D239">
        <v>79.722335814999994</v>
      </c>
      <c r="E239">
        <v>40</v>
      </c>
      <c r="F239">
        <v>15.591814995</v>
      </c>
      <c r="G239">
        <v>1345.7696533000001</v>
      </c>
      <c r="H239">
        <v>1341.4238281</v>
      </c>
      <c r="I239">
        <v>1315.4879149999999</v>
      </c>
      <c r="J239">
        <v>1306.0739745999999</v>
      </c>
      <c r="K239">
        <v>550</v>
      </c>
      <c r="L239">
        <v>0</v>
      </c>
      <c r="M239">
        <v>0</v>
      </c>
      <c r="N239">
        <v>550</v>
      </c>
    </row>
    <row r="240" spans="1:14" x14ac:dyDescent="0.25">
      <c r="A240">
        <v>109.269068</v>
      </c>
      <c r="B240" s="1">
        <f>DATE(2010,8,18) + TIME(6,27,27)</f>
        <v>40408.269062500003</v>
      </c>
      <c r="C240">
        <v>80</v>
      </c>
      <c r="D240">
        <v>79.722755432</v>
      </c>
      <c r="E240">
        <v>40</v>
      </c>
      <c r="F240">
        <v>15.653593063000001</v>
      </c>
      <c r="G240">
        <v>1345.7471923999999</v>
      </c>
      <c r="H240">
        <v>1341.4045410000001</v>
      </c>
      <c r="I240">
        <v>1315.5166016000001</v>
      </c>
      <c r="J240">
        <v>1306.1008300999999</v>
      </c>
      <c r="K240">
        <v>550</v>
      </c>
      <c r="L240">
        <v>0</v>
      </c>
      <c r="M240">
        <v>0</v>
      </c>
      <c r="N240">
        <v>550</v>
      </c>
    </row>
    <row r="241" spans="1:14" x14ac:dyDescent="0.25">
      <c r="A241">
        <v>110.62520499999999</v>
      </c>
      <c r="B241" s="1">
        <f>DATE(2010,8,19) + TIME(15,0,17)</f>
        <v>40409.625196759262</v>
      </c>
      <c r="C241">
        <v>80</v>
      </c>
      <c r="D241">
        <v>79.723175049000005</v>
      </c>
      <c r="E241">
        <v>40</v>
      </c>
      <c r="F241">
        <v>15.723376274</v>
      </c>
      <c r="G241">
        <v>1345.7249756000001</v>
      </c>
      <c r="H241">
        <v>1341.3852539</v>
      </c>
      <c r="I241">
        <v>1315.5457764</v>
      </c>
      <c r="J241">
        <v>1306.1289062000001</v>
      </c>
      <c r="K241">
        <v>550</v>
      </c>
      <c r="L241">
        <v>0</v>
      </c>
      <c r="M241">
        <v>0</v>
      </c>
      <c r="N241">
        <v>550</v>
      </c>
    </row>
    <row r="242" spans="1:14" x14ac:dyDescent="0.25">
      <c r="A242">
        <v>112.000659</v>
      </c>
      <c r="B242" s="1">
        <f>DATE(2010,8,21) + TIME(0,0,56)</f>
        <v>40411.000648148147</v>
      </c>
      <c r="C242">
        <v>80</v>
      </c>
      <c r="D242">
        <v>79.723594665999997</v>
      </c>
      <c r="E242">
        <v>40</v>
      </c>
      <c r="F242">
        <v>15.801645279000001</v>
      </c>
      <c r="G242">
        <v>1345.7026367000001</v>
      </c>
      <c r="H242">
        <v>1341.3658447</v>
      </c>
      <c r="I242">
        <v>1315.5756836</v>
      </c>
      <c r="J242">
        <v>1306.1586914</v>
      </c>
      <c r="K242">
        <v>550</v>
      </c>
      <c r="L242">
        <v>0</v>
      </c>
      <c r="M242">
        <v>0</v>
      </c>
      <c r="N242">
        <v>550</v>
      </c>
    </row>
    <row r="243" spans="1:14" x14ac:dyDescent="0.25">
      <c r="A243">
        <v>113.39796800000001</v>
      </c>
      <c r="B243" s="1">
        <f>DATE(2010,8,22) + TIME(9,33,4)</f>
        <v>40412.397962962961</v>
      </c>
      <c r="C243">
        <v>80</v>
      </c>
      <c r="D243">
        <v>79.724014281999999</v>
      </c>
      <c r="E243">
        <v>40</v>
      </c>
      <c r="F243">
        <v>15.889050484</v>
      </c>
      <c r="G243">
        <v>1345.6800536999999</v>
      </c>
      <c r="H243">
        <v>1341.3463135</v>
      </c>
      <c r="I243">
        <v>1315.6064452999999</v>
      </c>
      <c r="J243">
        <v>1306.1901855000001</v>
      </c>
      <c r="K243">
        <v>550</v>
      </c>
      <c r="L243">
        <v>0</v>
      </c>
      <c r="M243">
        <v>0</v>
      </c>
      <c r="N243">
        <v>550</v>
      </c>
    </row>
    <row r="244" spans="1:14" x14ac:dyDescent="0.25">
      <c r="A244">
        <v>114.819873</v>
      </c>
      <c r="B244" s="1">
        <f>DATE(2010,8,23) + TIME(19,40,37)</f>
        <v>40413.819872685184</v>
      </c>
      <c r="C244">
        <v>80</v>
      </c>
      <c r="D244">
        <v>79.724441528</v>
      </c>
      <c r="E244">
        <v>40</v>
      </c>
      <c r="F244">
        <v>15.986410141</v>
      </c>
      <c r="G244">
        <v>1345.6573486</v>
      </c>
      <c r="H244">
        <v>1341.3265381000001</v>
      </c>
      <c r="I244">
        <v>1315.6381836</v>
      </c>
      <c r="J244">
        <v>1306.2236327999999</v>
      </c>
      <c r="K244">
        <v>550</v>
      </c>
      <c r="L244">
        <v>0</v>
      </c>
      <c r="M244">
        <v>0</v>
      </c>
      <c r="N244">
        <v>550</v>
      </c>
    </row>
    <row r="245" spans="1:14" x14ac:dyDescent="0.25">
      <c r="A245">
        <v>115.54350100000001</v>
      </c>
      <c r="B245" s="1">
        <f>DATE(2010,8,24) + TIME(13,2,38)</f>
        <v>40414.543495370373</v>
      </c>
      <c r="C245">
        <v>80</v>
      </c>
      <c r="D245">
        <v>79.724632263000004</v>
      </c>
      <c r="E245">
        <v>40</v>
      </c>
      <c r="F245">
        <v>16.049621582</v>
      </c>
      <c r="G245">
        <v>1345.6340332</v>
      </c>
      <c r="H245">
        <v>1341.3063964999999</v>
      </c>
      <c r="I245">
        <v>1315.675293</v>
      </c>
      <c r="J245">
        <v>1306.2561035000001</v>
      </c>
      <c r="K245">
        <v>550</v>
      </c>
      <c r="L245">
        <v>0</v>
      </c>
      <c r="M245">
        <v>0</v>
      </c>
      <c r="N245">
        <v>550</v>
      </c>
    </row>
    <row r="246" spans="1:14" x14ac:dyDescent="0.25">
      <c r="A246">
        <v>116.267129</v>
      </c>
      <c r="B246" s="1">
        <f>DATE(2010,8,25) + TIME(6,24,39)</f>
        <v>40415.267118055555</v>
      </c>
      <c r="C246">
        <v>80</v>
      </c>
      <c r="D246">
        <v>79.724830627000003</v>
      </c>
      <c r="E246">
        <v>40</v>
      </c>
      <c r="F246">
        <v>16.114276885999999</v>
      </c>
      <c r="G246">
        <v>1345.6223144999999</v>
      </c>
      <c r="H246">
        <v>1341.2961425999999</v>
      </c>
      <c r="I246">
        <v>1315.6918945</v>
      </c>
      <c r="J246">
        <v>1306.2755127</v>
      </c>
      <c r="K246">
        <v>550</v>
      </c>
      <c r="L246">
        <v>0</v>
      </c>
      <c r="M246">
        <v>0</v>
      </c>
      <c r="N246">
        <v>550</v>
      </c>
    </row>
    <row r="247" spans="1:14" x14ac:dyDescent="0.25">
      <c r="A247">
        <v>116.990757</v>
      </c>
      <c r="B247" s="1">
        <f>DATE(2010,8,25) + TIME(23,46,41)</f>
        <v>40415.990752314814</v>
      </c>
      <c r="C247">
        <v>80</v>
      </c>
      <c r="D247">
        <v>79.725036621000001</v>
      </c>
      <c r="E247">
        <v>40</v>
      </c>
      <c r="F247">
        <v>16.180618286000001</v>
      </c>
      <c r="G247">
        <v>1345.6107178</v>
      </c>
      <c r="H247">
        <v>1341.2860106999999</v>
      </c>
      <c r="I247">
        <v>1315.7086182</v>
      </c>
      <c r="J247">
        <v>1306.2952881000001</v>
      </c>
      <c r="K247">
        <v>550</v>
      </c>
      <c r="L247">
        <v>0</v>
      </c>
      <c r="M247">
        <v>0</v>
      </c>
      <c r="N247">
        <v>550</v>
      </c>
    </row>
    <row r="248" spans="1:14" x14ac:dyDescent="0.25">
      <c r="A248">
        <v>117.714386</v>
      </c>
      <c r="B248" s="1">
        <f>DATE(2010,8,26) + TIME(17,8,42)</f>
        <v>40416.714375000003</v>
      </c>
      <c r="C248">
        <v>80</v>
      </c>
      <c r="D248">
        <v>79.725242614999999</v>
      </c>
      <c r="E248">
        <v>40</v>
      </c>
      <c r="F248">
        <v>16.248849869000001</v>
      </c>
      <c r="G248">
        <v>1345.5992432</v>
      </c>
      <c r="H248">
        <v>1341.2758789</v>
      </c>
      <c r="I248">
        <v>1315.7254639</v>
      </c>
      <c r="J248">
        <v>1306.3154297000001</v>
      </c>
      <c r="K248">
        <v>550</v>
      </c>
      <c r="L248">
        <v>0</v>
      </c>
      <c r="M248">
        <v>0</v>
      </c>
      <c r="N248">
        <v>550</v>
      </c>
    </row>
    <row r="249" spans="1:14" x14ac:dyDescent="0.25">
      <c r="A249">
        <v>118.438014</v>
      </c>
      <c r="B249" s="1">
        <f>DATE(2010,8,27) + TIME(10,30,44)</f>
        <v>40417.438009259262</v>
      </c>
      <c r="C249">
        <v>80</v>
      </c>
      <c r="D249">
        <v>79.725448607999994</v>
      </c>
      <c r="E249">
        <v>40</v>
      </c>
      <c r="F249">
        <v>16.319158554000001</v>
      </c>
      <c r="G249">
        <v>1345.5876464999999</v>
      </c>
      <c r="H249">
        <v>1341.2658690999999</v>
      </c>
      <c r="I249">
        <v>1315.7425536999999</v>
      </c>
      <c r="J249">
        <v>1306.3359375</v>
      </c>
      <c r="K249">
        <v>550</v>
      </c>
      <c r="L249">
        <v>0</v>
      </c>
      <c r="M249">
        <v>0</v>
      </c>
      <c r="N249">
        <v>550</v>
      </c>
    </row>
    <row r="250" spans="1:14" x14ac:dyDescent="0.25">
      <c r="A250">
        <v>119.161642</v>
      </c>
      <c r="B250" s="1">
        <f>DATE(2010,8,28) + TIME(3,52,45)</f>
        <v>40418.161631944444</v>
      </c>
      <c r="C250">
        <v>80</v>
      </c>
      <c r="D250">
        <v>79.725662231000001</v>
      </c>
      <c r="E250">
        <v>40</v>
      </c>
      <c r="F250">
        <v>16.391700745000001</v>
      </c>
      <c r="G250">
        <v>1345.5761719</v>
      </c>
      <c r="H250">
        <v>1341.2557373</v>
      </c>
      <c r="I250">
        <v>1315.7597656</v>
      </c>
      <c r="J250">
        <v>1306.3568115</v>
      </c>
      <c r="K250">
        <v>550</v>
      </c>
      <c r="L250">
        <v>0</v>
      </c>
      <c r="M250">
        <v>0</v>
      </c>
      <c r="N250">
        <v>550</v>
      </c>
    </row>
    <row r="251" spans="1:14" x14ac:dyDescent="0.25">
      <c r="A251">
        <v>119.88527000000001</v>
      </c>
      <c r="B251" s="1">
        <f>DATE(2010,8,28) + TIME(21,14,47)</f>
        <v>40418.885266203702</v>
      </c>
      <c r="C251">
        <v>80</v>
      </c>
      <c r="D251">
        <v>79.725875853999995</v>
      </c>
      <c r="E251">
        <v>40</v>
      </c>
      <c r="F251">
        <v>16.466619492</v>
      </c>
      <c r="G251">
        <v>1345.5646973</v>
      </c>
      <c r="H251">
        <v>1341.2457274999999</v>
      </c>
      <c r="I251">
        <v>1315.7770995999999</v>
      </c>
      <c r="J251">
        <v>1306.3781738</v>
      </c>
      <c r="K251">
        <v>550</v>
      </c>
      <c r="L251">
        <v>0</v>
      </c>
      <c r="M251">
        <v>0</v>
      </c>
      <c r="N251">
        <v>550</v>
      </c>
    </row>
    <row r="252" spans="1:14" x14ac:dyDescent="0.25">
      <c r="A252">
        <v>120.608898</v>
      </c>
      <c r="B252" s="1">
        <f>DATE(2010,8,29) + TIME(14,36,48)</f>
        <v>40419.608888888892</v>
      </c>
      <c r="C252">
        <v>80</v>
      </c>
      <c r="D252">
        <v>79.726089478000006</v>
      </c>
      <c r="E252">
        <v>40</v>
      </c>
      <c r="F252">
        <v>16.544042587</v>
      </c>
      <c r="G252">
        <v>1345.5533447</v>
      </c>
      <c r="H252">
        <v>1341.2358397999999</v>
      </c>
      <c r="I252">
        <v>1315.7946777</v>
      </c>
      <c r="J252">
        <v>1306.4000243999999</v>
      </c>
      <c r="K252">
        <v>550</v>
      </c>
      <c r="L252">
        <v>0</v>
      </c>
      <c r="M252">
        <v>0</v>
      </c>
      <c r="N252">
        <v>550</v>
      </c>
    </row>
    <row r="253" spans="1:14" x14ac:dyDescent="0.25">
      <c r="A253">
        <v>121.332526</v>
      </c>
      <c r="B253" s="1">
        <f>DATE(2010,8,30) + TIME(7,58,50)</f>
        <v>40420.33252314815</v>
      </c>
      <c r="C253">
        <v>80</v>
      </c>
      <c r="D253">
        <v>79.726303100999999</v>
      </c>
      <c r="E253">
        <v>40</v>
      </c>
      <c r="F253">
        <v>16.624080658</v>
      </c>
      <c r="G253">
        <v>1345.5418701000001</v>
      </c>
      <c r="H253">
        <v>1341.2258300999999</v>
      </c>
      <c r="I253">
        <v>1315.8122559000001</v>
      </c>
      <c r="J253">
        <v>1306.4222411999999</v>
      </c>
      <c r="K253">
        <v>550</v>
      </c>
      <c r="L253">
        <v>0</v>
      </c>
      <c r="M253">
        <v>0</v>
      </c>
      <c r="N253">
        <v>550</v>
      </c>
    </row>
    <row r="254" spans="1:14" x14ac:dyDescent="0.25">
      <c r="A254">
        <v>122.05615400000001</v>
      </c>
      <c r="B254" s="1">
        <f>DATE(2010,8,31) + TIME(1,20,51)</f>
        <v>40421.056145833332</v>
      </c>
      <c r="C254">
        <v>80</v>
      </c>
      <c r="D254">
        <v>79.726516724000007</v>
      </c>
      <c r="E254">
        <v>40</v>
      </c>
      <c r="F254">
        <v>16.706830977999999</v>
      </c>
      <c r="G254">
        <v>1345.5306396000001</v>
      </c>
      <c r="H254">
        <v>1341.2159423999999</v>
      </c>
      <c r="I254">
        <v>1315.8299560999999</v>
      </c>
      <c r="J254">
        <v>1306.4450684000001</v>
      </c>
      <c r="K254">
        <v>550</v>
      </c>
      <c r="L254">
        <v>0</v>
      </c>
      <c r="M254">
        <v>0</v>
      </c>
      <c r="N254">
        <v>550</v>
      </c>
    </row>
    <row r="255" spans="1:14" x14ac:dyDescent="0.25">
      <c r="A255">
        <v>123</v>
      </c>
      <c r="B255" s="1">
        <f>DATE(2010,9,1) + TIME(0,0,0)</f>
        <v>40422</v>
      </c>
      <c r="C255">
        <v>80</v>
      </c>
      <c r="D255">
        <v>79.726806640999996</v>
      </c>
      <c r="E255">
        <v>40</v>
      </c>
      <c r="F255">
        <v>16.812870025999999</v>
      </c>
      <c r="G255">
        <v>1345.5194091999999</v>
      </c>
      <c r="H255">
        <v>1341.2060547000001</v>
      </c>
      <c r="I255">
        <v>1315.8455810999999</v>
      </c>
      <c r="J255">
        <v>1306.4694824000001</v>
      </c>
      <c r="K255">
        <v>550</v>
      </c>
      <c r="L255">
        <v>0</v>
      </c>
      <c r="M255">
        <v>0</v>
      </c>
      <c r="N255">
        <v>550</v>
      </c>
    </row>
    <row r="256" spans="1:14" x14ac:dyDescent="0.25">
      <c r="A256">
        <v>123.72362800000001</v>
      </c>
      <c r="B256" s="1">
        <f>DATE(2010,9,1) + TIME(17,22,1)</f>
        <v>40422.723622685182</v>
      </c>
      <c r="C256">
        <v>80</v>
      </c>
      <c r="D256">
        <v>79.727020264000004</v>
      </c>
      <c r="E256">
        <v>40</v>
      </c>
      <c r="F256">
        <v>16.903118134</v>
      </c>
      <c r="G256">
        <v>1345.5046387</v>
      </c>
      <c r="H256">
        <v>1341.1931152</v>
      </c>
      <c r="I256">
        <v>1315.8714600000001</v>
      </c>
      <c r="J256">
        <v>1306.4986572</v>
      </c>
      <c r="K256">
        <v>550</v>
      </c>
      <c r="L256">
        <v>0</v>
      </c>
      <c r="M256">
        <v>0</v>
      </c>
      <c r="N256">
        <v>550</v>
      </c>
    </row>
    <row r="257" spans="1:14" x14ac:dyDescent="0.25">
      <c r="A257">
        <v>125.170884</v>
      </c>
      <c r="B257" s="1">
        <f>DATE(2010,9,3) + TIME(4,6,4)</f>
        <v>40424.17087962963</v>
      </c>
      <c r="C257">
        <v>80</v>
      </c>
      <c r="D257">
        <v>79.727485657000003</v>
      </c>
      <c r="E257">
        <v>40</v>
      </c>
      <c r="F257">
        <v>17.061964034999999</v>
      </c>
      <c r="G257">
        <v>1345.4935303</v>
      </c>
      <c r="H257">
        <v>1341.1834716999999</v>
      </c>
      <c r="I257">
        <v>1315.8833007999999</v>
      </c>
      <c r="J257">
        <v>1306.527832</v>
      </c>
      <c r="K257">
        <v>550</v>
      </c>
      <c r="L257">
        <v>0</v>
      </c>
      <c r="M257">
        <v>0</v>
      </c>
      <c r="N257">
        <v>550</v>
      </c>
    </row>
    <row r="258" spans="1:14" x14ac:dyDescent="0.25">
      <c r="A258">
        <v>126.619989</v>
      </c>
      <c r="B258" s="1">
        <f>DATE(2010,9,4) + TIME(14,52,47)</f>
        <v>40425.619988425926</v>
      </c>
      <c r="C258">
        <v>80</v>
      </c>
      <c r="D258">
        <v>79.727943420000003</v>
      </c>
      <c r="E258">
        <v>40</v>
      </c>
      <c r="F258">
        <v>17.238920212</v>
      </c>
      <c r="G258">
        <v>1345.4713135</v>
      </c>
      <c r="H258">
        <v>1341.1639404</v>
      </c>
      <c r="I258">
        <v>1315.9205322</v>
      </c>
      <c r="J258">
        <v>1306.5761719</v>
      </c>
      <c r="K258">
        <v>550</v>
      </c>
      <c r="L258">
        <v>0</v>
      </c>
      <c r="M258">
        <v>0</v>
      </c>
      <c r="N258">
        <v>550</v>
      </c>
    </row>
    <row r="259" spans="1:14" x14ac:dyDescent="0.25">
      <c r="A259">
        <v>128.08687800000001</v>
      </c>
      <c r="B259" s="1">
        <f>DATE(2010,9,6) + TIME(2,5,6)</f>
        <v>40427.086875000001</v>
      </c>
      <c r="C259">
        <v>80</v>
      </c>
      <c r="D259">
        <v>79.728393554999997</v>
      </c>
      <c r="E259">
        <v>40</v>
      </c>
      <c r="F259">
        <v>17.434253692999999</v>
      </c>
      <c r="G259">
        <v>1345.4490966999999</v>
      </c>
      <c r="H259">
        <v>1341.1444091999999</v>
      </c>
      <c r="I259">
        <v>1315.9576416</v>
      </c>
      <c r="J259">
        <v>1306.6269531</v>
      </c>
      <c r="K259">
        <v>550</v>
      </c>
      <c r="L259">
        <v>0</v>
      </c>
      <c r="M259">
        <v>0</v>
      </c>
      <c r="N259">
        <v>550</v>
      </c>
    </row>
    <row r="260" spans="1:14" x14ac:dyDescent="0.25">
      <c r="A260">
        <v>129.57423399999999</v>
      </c>
      <c r="B260" s="1">
        <f>DATE(2010,9,7) + TIME(13,46,53)</f>
        <v>40428.574224537035</v>
      </c>
      <c r="C260">
        <v>80</v>
      </c>
      <c r="D260">
        <v>79.728843689000001</v>
      </c>
      <c r="E260">
        <v>40</v>
      </c>
      <c r="F260">
        <v>17.648004532000002</v>
      </c>
      <c r="G260">
        <v>1345.4267577999999</v>
      </c>
      <c r="H260">
        <v>1341.1247559000001</v>
      </c>
      <c r="I260">
        <v>1315.9952393000001</v>
      </c>
      <c r="J260">
        <v>1306.6807861</v>
      </c>
      <c r="K260">
        <v>550</v>
      </c>
      <c r="L260">
        <v>0</v>
      </c>
      <c r="M260">
        <v>0</v>
      </c>
      <c r="N260">
        <v>550</v>
      </c>
    </row>
    <row r="261" spans="1:14" x14ac:dyDescent="0.25">
      <c r="A261">
        <v>131.085002</v>
      </c>
      <c r="B261" s="1">
        <f>DATE(2010,9,9) + TIME(2,2,24)</f>
        <v>40430.084999999999</v>
      </c>
      <c r="C261">
        <v>80</v>
      </c>
      <c r="D261">
        <v>79.729301453000005</v>
      </c>
      <c r="E261">
        <v>40</v>
      </c>
      <c r="F261">
        <v>17.880554198999999</v>
      </c>
      <c r="G261">
        <v>1345.4041748</v>
      </c>
      <c r="H261">
        <v>1341.1049805</v>
      </c>
      <c r="I261">
        <v>1316.0334473</v>
      </c>
      <c r="J261">
        <v>1306.737793</v>
      </c>
      <c r="K261">
        <v>550</v>
      </c>
      <c r="L261">
        <v>0</v>
      </c>
      <c r="M261">
        <v>0</v>
      </c>
      <c r="N261">
        <v>550</v>
      </c>
    </row>
    <row r="262" spans="1:14" x14ac:dyDescent="0.25">
      <c r="A262">
        <v>132.62454600000001</v>
      </c>
      <c r="B262" s="1">
        <f>DATE(2010,9,10) + TIME(14,59,20)</f>
        <v>40431.624537037038</v>
      </c>
      <c r="C262">
        <v>80</v>
      </c>
      <c r="D262">
        <v>79.729774474999999</v>
      </c>
      <c r="E262">
        <v>40</v>
      </c>
      <c r="F262">
        <v>18.132808685000001</v>
      </c>
      <c r="G262">
        <v>1345.3814697</v>
      </c>
      <c r="H262">
        <v>1341.0849608999999</v>
      </c>
      <c r="I262">
        <v>1316.0722656</v>
      </c>
      <c r="J262">
        <v>1306.7980957</v>
      </c>
      <c r="K262">
        <v>550</v>
      </c>
      <c r="L262">
        <v>0</v>
      </c>
      <c r="M262">
        <v>0</v>
      </c>
      <c r="N262">
        <v>550</v>
      </c>
    </row>
    <row r="263" spans="1:14" x14ac:dyDescent="0.25">
      <c r="A263">
        <v>133.39710099999999</v>
      </c>
      <c r="B263" s="1">
        <f>DATE(2010,9,11) + TIME(9,31,49)</f>
        <v>40432.397094907406</v>
      </c>
      <c r="C263">
        <v>80</v>
      </c>
      <c r="D263">
        <v>79.729980468999997</v>
      </c>
      <c r="E263">
        <v>40</v>
      </c>
      <c r="F263">
        <v>18.292612076000001</v>
      </c>
      <c r="G263">
        <v>1345.3583983999999</v>
      </c>
      <c r="H263">
        <v>1341.0645752</v>
      </c>
      <c r="I263">
        <v>1316.1220702999999</v>
      </c>
      <c r="J263">
        <v>1306.8536377</v>
      </c>
      <c r="K263">
        <v>550</v>
      </c>
      <c r="L263">
        <v>0</v>
      </c>
      <c r="M263">
        <v>0</v>
      </c>
      <c r="N263">
        <v>550</v>
      </c>
    </row>
    <row r="264" spans="1:14" x14ac:dyDescent="0.25">
      <c r="A264">
        <v>134.169656</v>
      </c>
      <c r="B264" s="1">
        <f>DATE(2010,9,12) + TIME(4,4,18)</f>
        <v>40433.169652777775</v>
      </c>
      <c r="C264">
        <v>80</v>
      </c>
      <c r="D264">
        <v>79.730194092000005</v>
      </c>
      <c r="E264">
        <v>40</v>
      </c>
      <c r="F264">
        <v>18.452596664000001</v>
      </c>
      <c r="G264">
        <v>1345.3468018000001</v>
      </c>
      <c r="H264">
        <v>1341.0543213000001</v>
      </c>
      <c r="I264">
        <v>1316.1408690999999</v>
      </c>
      <c r="J264">
        <v>1306.8885498</v>
      </c>
      <c r="K264">
        <v>550</v>
      </c>
      <c r="L264">
        <v>0</v>
      </c>
      <c r="M264">
        <v>0</v>
      </c>
      <c r="N264">
        <v>550</v>
      </c>
    </row>
    <row r="265" spans="1:14" x14ac:dyDescent="0.25">
      <c r="A265">
        <v>134.94221099999999</v>
      </c>
      <c r="B265" s="1">
        <f>DATE(2010,9,12) + TIME(22,36,47)</f>
        <v>40433.942210648151</v>
      </c>
      <c r="C265">
        <v>80</v>
      </c>
      <c r="D265">
        <v>79.730415343999994</v>
      </c>
      <c r="E265">
        <v>40</v>
      </c>
      <c r="F265">
        <v>18.613380432</v>
      </c>
      <c r="G265">
        <v>1345.3353271000001</v>
      </c>
      <c r="H265">
        <v>1341.0441894999999</v>
      </c>
      <c r="I265">
        <v>1316.1599120999999</v>
      </c>
      <c r="J265">
        <v>1306.9238281</v>
      </c>
      <c r="K265">
        <v>550</v>
      </c>
      <c r="L265">
        <v>0</v>
      </c>
      <c r="M265">
        <v>0</v>
      </c>
      <c r="N265">
        <v>550</v>
      </c>
    </row>
    <row r="266" spans="1:14" x14ac:dyDescent="0.25">
      <c r="A266">
        <v>135.714766</v>
      </c>
      <c r="B266" s="1">
        <f>DATE(2010,9,13) + TIME(17,9,15)</f>
        <v>40434.714756944442</v>
      </c>
      <c r="C266">
        <v>80</v>
      </c>
      <c r="D266">
        <v>79.730644225999995</v>
      </c>
      <c r="E266">
        <v>40</v>
      </c>
      <c r="F266">
        <v>18.775445938000001</v>
      </c>
      <c r="G266">
        <v>1345.3238524999999</v>
      </c>
      <c r="H266">
        <v>1341.0340576000001</v>
      </c>
      <c r="I266">
        <v>1316.1791992000001</v>
      </c>
      <c r="J266">
        <v>1306.9594727000001</v>
      </c>
      <c r="K266">
        <v>550</v>
      </c>
      <c r="L266">
        <v>0</v>
      </c>
      <c r="M266">
        <v>0</v>
      </c>
      <c r="N266">
        <v>550</v>
      </c>
    </row>
    <row r="267" spans="1:14" x14ac:dyDescent="0.25">
      <c r="A267">
        <v>136.48732100000001</v>
      </c>
      <c r="B267" s="1">
        <f>DATE(2010,9,14) + TIME(11,41,44)</f>
        <v>40435.487314814818</v>
      </c>
      <c r="C267">
        <v>80</v>
      </c>
      <c r="D267">
        <v>79.730865479000002</v>
      </c>
      <c r="E267">
        <v>40</v>
      </c>
      <c r="F267">
        <v>18.939161300999999</v>
      </c>
      <c r="G267">
        <v>1345.3125</v>
      </c>
      <c r="H267">
        <v>1341.0239257999999</v>
      </c>
      <c r="I267">
        <v>1316.1987305</v>
      </c>
      <c r="J267">
        <v>1306.9954834</v>
      </c>
      <c r="K267">
        <v>550</v>
      </c>
      <c r="L267">
        <v>0</v>
      </c>
      <c r="M267">
        <v>0</v>
      </c>
      <c r="N267">
        <v>550</v>
      </c>
    </row>
    <row r="268" spans="1:14" x14ac:dyDescent="0.25">
      <c r="A268">
        <v>137.25987599999999</v>
      </c>
      <c r="B268" s="1">
        <f>DATE(2010,9,15) + TIME(6,14,13)</f>
        <v>40436.259872685187</v>
      </c>
      <c r="C268">
        <v>80</v>
      </c>
      <c r="D268">
        <v>79.73109436</v>
      </c>
      <c r="E268">
        <v>40</v>
      </c>
      <c r="F268">
        <v>19.104829788</v>
      </c>
      <c r="G268">
        <v>1345.3012695</v>
      </c>
      <c r="H268">
        <v>1341.0139160000001</v>
      </c>
      <c r="I268">
        <v>1316.2183838000001</v>
      </c>
      <c r="J268">
        <v>1307.0321045000001</v>
      </c>
      <c r="K268">
        <v>550</v>
      </c>
      <c r="L268">
        <v>0</v>
      </c>
      <c r="M268">
        <v>0</v>
      </c>
      <c r="N268">
        <v>550</v>
      </c>
    </row>
    <row r="269" spans="1:14" x14ac:dyDescent="0.25">
      <c r="A269">
        <v>138.03243000000001</v>
      </c>
      <c r="B269" s="1">
        <f>DATE(2010,9,16) + TIME(0,46,41)</f>
        <v>40437.032418981478</v>
      </c>
      <c r="C269">
        <v>80</v>
      </c>
      <c r="D269">
        <v>79.731323242000002</v>
      </c>
      <c r="E269">
        <v>40</v>
      </c>
      <c r="F269">
        <v>19.272678375000002</v>
      </c>
      <c r="G269">
        <v>1345.2899170000001</v>
      </c>
      <c r="H269">
        <v>1341.0039062000001</v>
      </c>
      <c r="I269">
        <v>1316.2381591999999</v>
      </c>
      <c r="J269">
        <v>1307.0692139</v>
      </c>
      <c r="K269">
        <v>550</v>
      </c>
      <c r="L269">
        <v>0</v>
      </c>
      <c r="M269">
        <v>0</v>
      </c>
      <c r="N269">
        <v>550</v>
      </c>
    </row>
    <row r="270" spans="1:14" x14ac:dyDescent="0.25">
      <c r="A270">
        <v>138.80498499999999</v>
      </c>
      <c r="B270" s="1">
        <f>DATE(2010,9,16) + TIME(19,19,10)</f>
        <v>40437.804976851854</v>
      </c>
      <c r="C270">
        <v>80</v>
      </c>
      <c r="D270">
        <v>79.731559752999999</v>
      </c>
      <c r="E270">
        <v>40</v>
      </c>
      <c r="F270">
        <v>19.442880630000001</v>
      </c>
      <c r="G270">
        <v>1345.2786865</v>
      </c>
      <c r="H270">
        <v>1340.9938964999999</v>
      </c>
      <c r="I270">
        <v>1316.2581786999999</v>
      </c>
      <c r="J270">
        <v>1307.1066894999999</v>
      </c>
      <c r="K270">
        <v>550</v>
      </c>
      <c r="L270">
        <v>0</v>
      </c>
      <c r="M270">
        <v>0</v>
      </c>
      <c r="N270">
        <v>550</v>
      </c>
    </row>
    <row r="271" spans="1:14" x14ac:dyDescent="0.25">
      <c r="A271">
        <v>139.57754</v>
      </c>
      <c r="B271" s="1">
        <f>DATE(2010,9,17) + TIME(13,51,39)</f>
        <v>40438.577534722222</v>
      </c>
      <c r="C271">
        <v>80</v>
      </c>
      <c r="D271">
        <v>79.731788635000001</v>
      </c>
      <c r="E271">
        <v>40</v>
      </c>
      <c r="F271">
        <v>19.615556717</v>
      </c>
      <c r="G271">
        <v>1345.2674560999999</v>
      </c>
      <c r="H271">
        <v>1340.9840088000001</v>
      </c>
      <c r="I271">
        <v>1316.2781981999999</v>
      </c>
      <c r="J271">
        <v>1307.1447754000001</v>
      </c>
      <c r="K271">
        <v>550</v>
      </c>
      <c r="L271">
        <v>0</v>
      </c>
      <c r="M271">
        <v>0</v>
      </c>
      <c r="N271">
        <v>550</v>
      </c>
    </row>
    <row r="272" spans="1:14" x14ac:dyDescent="0.25">
      <c r="A272">
        <v>140.35009500000001</v>
      </c>
      <c r="B272" s="1">
        <f>DATE(2010,9,18) + TIME(8,24,8)</f>
        <v>40439.350092592591</v>
      </c>
      <c r="C272">
        <v>80</v>
      </c>
      <c r="D272">
        <v>79.732017517000003</v>
      </c>
      <c r="E272">
        <v>40</v>
      </c>
      <c r="F272">
        <v>19.790782927999999</v>
      </c>
      <c r="G272">
        <v>1345.2563477000001</v>
      </c>
      <c r="H272">
        <v>1340.9741211</v>
      </c>
      <c r="I272">
        <v>1316.2982178</v>
      </c>
      <c r="J272">
        <v>1307.1834716999999</v>
      </c>
      <c r="K272">
        <v>550</v>
      </c>
      <c r="L272">
        <v>0</v>
      </c>
      <c r="M272">
        <v>0</v>
      </c>
      <c r="N272">
        <v>550</v>
      </c>
    </row>
    <row r="273" spans="1:14" x14ac:dyDescent="0.25">
      <c r="A273">
        <v>141.895205</v>
      </c>
      <c r="B273" s="1">
        <f>DATE(2010,9,19) + TIME(21,29,5)</f>
        <v>40440.895196759258</v>
      </c>
      <c r="C273">
        <v>80</v>
      </c>
      <c r="D273">
        <v>79.732521057</v>
      </c>
      <c r="E273">
        <v>40</v>
      </c>
      <c r="F273">
        <v>20.090013504000002</v>
      </c>
      <c r="G273">
        <v>1345.2454834</v>
      </c>
      <c r="H273">
        <v>1340.9643555</v>
      </c>
      <c r="I273">
        <v>1316.3082274999999</v>
      </c>
      <c r="J273">
        <v>1307.2320557</v>
      </c>
      <c r="K273">
        <v>550</v>
      </c>
      <c r="L273">
        <v>0</v>
      </c>
      <c r="M273">
        <v>0</v>
      </c>
      <c r="N273">
        <v>550</v>
      </c>
    </row>
    <row r="274" spans="1:14" x14ac:dyDescent="0.25">
      <c r="A274">
        <v>143.44398699999999</v>
      </c>
      <c r="B274" s="1">
        <f>DATE(2010,9,21) + TIME(10,39,20)</f>
        <v>40442.443981481483</v>
      </c>
      <c r="C274">
        <v>80</v>
      </c>
      <c r="D274">
        <v>79.733001709000007</v>
      </c>
      <c r="E274">
        <v>40</v>
      </c>
      <c r="F274">
        <v>20.416913986000001</v>
      </c>
      <c r="G274">
        <v>1345.2233887</v>
      </c>
      <c r="H274">
        <v>1340.9448242000001</v>
      </c>
      <c r="I274">
        <v>1316.3510742000001</v>
      </c>
      <c r="J274">
        <v>1307.3076172000001</v>
      </c>
      <c r="K274">
        <v>550</v>
      </c>
      <c r="L274">
        <v>0</v>
      </c>
      <c r="M274">
        <v>0</v>
      </c>
      <c r="N274">
        <v>550</v>
      </c>
    </row>
    <row r="275" spans="1:14" x14ac:dyDescent="0.25">
      <c r="A275">
        <v>145.019454</v>
      </c>
      <c r="B275" s="1">
        <f>DATE(2010,9,23) + TIME(0,28,0)</f>
        <v>40444.019444444442</v>
      </c>
      <c r="C275">
        <v>80</v>
      </c>
      <c r="D275">
        <v>79.733489989999995</v>
      </c>
      <c r="E275">
        <v>40</v>
      </c>
      <c r="F275">
        <v>20.769714355000001</v>
      </c>
      <c r="G275">
        <v>1345.2015381000001</v>
      </c>
      <c r="H275">
        <v>1340.9254149999999</v>
      </c>
      <c r="I275">
        <v>1316.3931885</v>
      </c>
      <c r="J275">
        <v>1307.3867187999999</v>
      </c>
      <c r="K275">
        <v>550</v>
      </c>
      <c r="L275">
        <v>0</v>
      </c>
      <c r="M275">
        <v>0</v>
      </c>
      <c r="N275">
        <v>550</v>
      </c>
    </row>
    <row r="276" spans="1:14" x14ac:dyDescent="0.25">
      <c r="A276">
        <v>146.62551199999999</v>
      </c>
      <c r="B276" s="1">
        <f>DATE(2010,9,24) + TIME(15,0,44)</f>
        <v>40445.625509259262</v>
      </c>
      <c r="C276">
        <v>80</v>
      </c>
      <c r="D276">
        <v>79.733978270999998</v>
      </c>
      <c r="E276">
        <v>40</v>
      </c>
      <c r="F276">
        <v>21.14632988</v>
      </c>
      <c r="G276">
        <v>1345.1794434000001</v>
      </c>
      <c r="H276">
        <v>1340.9057617000001</v>
      </c>
      <c r="I276">
        <v>1316.4357910000001</v>
      </c>
      <c r="J276">
        <v>1307.4699707</v>
      </c>
      <c r="K276">
        <v>550</v>
      </c>
      <c r="L276">
        <v>0</v>
      </c>
      <c r="M276">
        <v>0</v>
      </c>
      <c r="N276">
        <v>550</v>
      </c>
    </row>
    <row r="277" spans="1:14" x14ac:dyDescent="0.25">
      <c r="A277">
        <v>148.265615</v>
      </c>
      <c r="B277" s="1">
        <f>DATE(2010,9,26) + TIME(6,22,29)</f>
        <v>40447.265613425923</v>
      </c>
      <c r="C277">
        <v>80</v>
      </c>
      <c r="D277">
        <v>79.734474182</v>
      </c>
      <c r="E277">
        <v>40</v>
      </c>
      <c r="F277">
        <v>21.545331955000002</v>
      </c>
      <c r="G277">
        <v>1345.1571045000001</v>
      </c>
      <c r="H277">
        <v>1340.8859863</v>
      </c>
      <c r="I277">
        <v>1316.479126</v>
      </c>
      <c r="J277">
        <v>1307.557251</v>
      </c>
      <c r="K277">
        <v>550</v>
      </c>
      <c r="L277">
        <v>0</v>
      </c>
      <c r="M277">
        <v>0</v>
      </c>
      <c r="N277">
        <v>550</v>
      </c>
    </row>
    <row r="278" spans="1:14" x14ac:dyDescent="0.25">
      <c r="A278">
        <v>149.94345300000001</v>
      </c>
      <c r="B278" s="1">
        <f>DATE(2010,9,27) + TIME(22,38,34)</f>
        <v>40448.943449074075</v>
      </c>
      <c r="C278">
        <v>80</v>
      </c>
      <c r="D278">
        <v>79.734977721999996</v>
      </c>
      <c r="E278">
        <v>40</v>
      </c>
      <c r="F278">
        <v>21.965797424000002</v>
      </c>
      <c r="G278">
        <v>1345.1345214999999</v>
      </c>
      <c r="H278">
        <v>1340.8659668</v>
      </c>
      <c r="I278">
        <v>1316.5234375</v>
      </c>
      <c r="J278">
        <v>1307.6488036999999</v>
      </c>
      <c r="K278">
        <v>550</v>
      </c>
      <c r="L278">
        <v>0</v>
      </c>
      <c r="M278">
        <v>0</v>
      </c>
      <c r="N278">
        <v>550</v>
      </c>
    </row>
    <row r="279" spans="1:14" x14ac:dyDescent="0.25">
      <c r="A279">
        <v>151.65704400000001</v>
      </c>
      <c r="B279" s="1">
        <f>DATE(2010,9,29) + TIME(15,46,8)</f>
        <v>40450.657037037039</v>
      </c>
      <c r="C279">
        <v>80</v>
      </c>
      <c r="D279">
        <v>79.735488892000006</v>
      </c>
      <c r="E279">
        <v>40</v>
      </c>
      <c r="F279">
        <v>22.406181334999999</v>
      </c>
      <c r="G279">
        <v>1345.1116943</v>
      </c>
      <c r="H279">
        <v>1340.8457031</v>
      </c>
      <c r="I279">
        <v>1316.5689697</v>
      </c>
      <c r="J279">
        <v>1307.7445068</v>
      </c>
      <c r="K279">
        <v>550</v>
      </c>
      <c r="L279">
        <v>0</v>
      </c>
      <c r="M279">
        <v>0</v>
      </c>
      <c r="N279">
        <v>550</v>
      </c>
    </row>
    <row r="280" spans="1:14" x14ac:dyDescent="0.25">
      <c r="A280">
        <v>153</v>
      </c>
      <c r="B280" s="1">
        <f>DATE(2010,10,1) + TIME(0,0,0)</f>
        <v>40452</v>
      </c>
      <c r="C280">
        <v>80</v>
      </c>
      <c r="D280">
        <v>79.735870360999996</v>
      </c>
      <c r="E280">
        <v>40</v>
      </c>
      <c r="F280">
        <v>22.790060043</v>
      </c>
      <c r="G280">
        <v>1345.0886230000001</v>
      </c>
      <c r="H280">
        <v>1340.8251952999999</v>
      </c>
      <c r="I280">
        <v>1316.6209716999999</v>
      </c>
      <c r="J280">
        <v>1307.8378906</v>
      </c>
      <c r="K280">
        <v>550</v>
      </c>
      <c r="L280">
        <v>0</v>
      </c>
      <c r="M280">
        <v>0</v>
      </c>
      <c r="N280">
        <v>550</v>
      </c>
    </row>
    <row r="281" spans="1:14" x14ac:dyDescent="0.25">
      <c r="A281">
        <v>154.720168</v>
      </c>
      <c r="B281" s="1">
        <f>DATE(2010,10,2) + TIME(17,17,2)</f>
        <v>40453.72016203704</v>
      </c>
      <c r="C281">
        <v>80</v>
      </c>
      <c r="D281">
        <v>79.736389160000002</v>
      </c>
      <c r="E281">
        <v>40</v>
      </c>
      <c r="F281">
        <v>23.241424560999999</v>
      </c>
      <c r="G281">
        <v>1345.0706786999999</v>
      </c>
      <c r="H281">
        <v>1340.8092041</v>
      </c>
      <c r="I281">
        <v>1316.6524658000001</v>
      </c>
      <c r="J281">
        <v>1307.9256591999999</v>
      </c>
      <c r="K281">
        <v>550</v>
      </c>
      <c r="L281">
        <v>0</v>
      </c>
      <c r="M281">
        <v>0</v>
      </c>
      <c r="N281">
        <v>550</v>
      </c>
    </row>
    <row r="282" spans="1:14" x14ac:dyDescent="0.25">
      <c r="A282">
        <v>156.47212999999999</v>
      </c>
      <c r="B282" s="1">
        <f>DATE(2010,10,4) + TIME(11,19,52)</f>
        <v>40455.472129629627</v>
      </c>
      <c r="C282">
        <v>80</v>
      </c>
      <c r="D282">
        <v>79.736907959000007</v>
      </c>
      <c r="E282">
        <v>40</v>
      </c>
      <c r="F282">
        <v>23.70999527</v>
      </c>
      <c r="G282">
        <v>1345.0479736</v>
      </c>
      <c r="H282">
        <v>1340.7891846</v>
      </c>
      <c r="I282">
        <v>1316.7005615</v>
      </c>
      <c r="J282">
        <v>1308.0288086</v>
      </c>
      <c r="K282">
        <v>550</v>
      </c>
      <c r="L282">
        <v>0</v>
      </c>
      <c r="M282">
        <v>0</v>
      </c>
      <c r="N282">
        <v>550</v>
      </c>
    </row>
    <row r="283" spans="1:14" x14ac:dyDescent="0.25">
      <c r="A283">
        <v>158.249763</v>
      </c>
      <c r="B283" s="1">
        <f>DATE(2010,10,6) + TIME(5,59,39)</f>
        <v>40457.249756944446</v>
      </c>
      <c r="C283">
        <v>80</v>
      </c>
      <c r="D283">
        <v>79.737434386999993</v>
      </c>
      <c r="E283">
        <v>40</v>
      </c>
      <c r="F283">
        <v>24.192670822</v>
      </c>
      <c r="G283">
        <v>1345.0251464999999</v>
      </c>
      <c r="H283">
        <v>1340.7689209</v>
      </c>
      <c r="I283">
        <v>1316.75</v>
      </c>
      <c r="J283">
        <v>1308.1356201000001</v>
      </c>
      <c r="K283">
        <v>550</v>
      </c>
      <c r="L283">
        <v>0</v>
      </c>
      <c r="M283">
        <v>0</v>
      </c>
      <c r="N283">
        <v>550</v>
      </c>
    </row>
    <row r="284" spans="1:14" x14ac:dyDescent="0.25">
      <c r="A284">
        <v>160.058592</v>
      </c>
      <c r="B284" s="1">
        <f>DATE(2010,10,8) + TIME(1,24,22)</f>
        <v>40459.058587962965</v>
      </c>
      <c r="C284">
        <v>80</v>
      </c>
      <c r="D284">
        <v>79.737968445000007</v>
      </c>
      <c r="E284">
        <v>40</v>
      </c>
      <c r="F284">
        <v>24.688358307000001</v>
      </c>
      <c r="G284">
        <v>1345.0023193</v>
      </c>
      <c r="H284">
        <v>1340.7486572</v>
      </c>
      <c r="I284">
        <v>1316.8005370999999</v>
      </c>
      <c r="J284">
        <v>1308.2458495999999</v>
      </c>
      <c r="K284">
        <v>550</v>
      </c>
      <c r="L284">
        <v>0</v>
      </c>
      <c r="M284">
        <v>0</v>
      </c>
      <c r="N284">
        <v>550</v>
      </c>
    </row>
    <row r="285" spans="1:14" x14ac:dyDescent="0.25">
      <c r="A285">
        <v>161.90393399999999</v>
      </c>
      <c r="B285" s="1">
        <f>DATE(2010,10,9) + TIME(21,41,39)</f>
        <v>40460.903923611113</v>
      </c>
      <c r="C285">
        <v>80</v>
      </c>
      <c r="D285">
        <v>79.738502502000003</v>
      </c>
      <c r="E285">
        <v>40</v>
      </c>
      <c r="F285">
        <v>25.196601867999998</v>
      </c>
      <c r="G285">
        <v>1344.9792480000001</v>
      </c>
      <c r="H285">
        <v>1340.7283935999999</v>
      </c>
      <c r="I285">
        <v>1316.8525391000001</v>
      </c>
      <c r="J285">
        <v>1308.359375</v>
      </c>
      <c r="K285">
        <v>550</v>
      </c>
      <c r="L285">
        <v>0</v>
      </c>
      <c r="M285">
        <v>0</v>
      </c>
      <c r="N285">
        <v>550</v>
      </c>
    </row>
    <row r="286" spans="1:14" x14ac:dyDescent="0.25">
      <c r="A286">
        <v>163.791088</v>
      </c>
      <c r="B286" s="1">
        <f>DATE(2010,10,11) + TIME(18,59,10)</f>
        <v>40462.791087962964</v>
      </c>
      <c r="C286">
        <v>80</v>
      </c>
      <c r="D286">
        <v>79.739051818999997</v>
      </c>
      <c r="E286">
        <v>40</v>
      </c>
      <c r="F286">
        <v>25.717205048</v>
      </c>
      <c r="G286">
        <v>1344.9561768000001</v>
      </c>
      <c r="H286">
        <v>1340.7080077999999</v>
      </c>
      <c r="I286">
        <v>1316.9061279</v>
      </c>
      <c r="J286">
        <v>1308.4766846</v>
      </c>
      <c r="K286">
        <v>550</v>
      </c>
      <c r="L286">
        <v>0</v>
      </c>
      <c r="M286">
        <v>0</v>
      </c>
      <c r="N286">
        <v>550</v>
      </c>
    </row>
    <row r="287" spans="1:14" x14ac:dyDescent="0.25">
      <c r="A287">
        <v>165.72521399999999</v>
      </c>
      <c r="B287" s="1">
        <f>DATE(2010,10,13) + TIME(17,24,18)</f>
        <v>40464.725208333337</v>
      </c>
      <c r="C287">
        <v>80</v>
      </c>
      <c r="D287">
        <v>79.739608765</v>
      </c>
      <c r="E287">
        <v>40</v>
      </c>
      <c r="F287">
        <v>26.249725342000001</v>
      </c>
      <c r="G287">
        <v>1344.9329834</v>
      </c>
      <c r="H287">
        <v>1340.6875</v>
      </c>
      <c r="I287">
        <v>1316.9615478999999</v>
      </c>
      <c r="J287">
        <v>1308.5975341999999</v>
      </c>
      <c r="K287">
        <v>550</v>
      </c>
      <c r="L287">
        <v>0</v>
      </c>
      <c r="M287">
        <v>0</v>
      </c>
      <c r="N287">
        <v>550</v>
      </c>
    </row>
    <row r="288" spans="1:14" x14ac:dyDescent="0.25">
      <c r="A288">
        <v>167.68634399999999</v>
      </c>
      <c r="B288" s="1">
        <f>DATE(2010,10,15) + TIME(16,28,20)</f>
        <v>40466.686342592591</v>
      </c>
      <c r="C288">
        <v>80</v>
      </c>
      <c r="D288">
        <v>79.740173339999998</v>
      </c>
      <c r="E288">
        <v>40</v>
      </c>
      <c r="F288">
        <v>26.789812088000001</v>
      </c>
      <c r="G288">
        <v>1344.9094238</v>
      </c>
      <c r="H288">
        <v>1340.6668701000001</v>
      </c>
      <c r="I288">
        <v>1317.0191649999999</v>
      </c>
      <c r="J288">
        <v>1308.7219238</v>
      </c>
      <c r="K288">
        <v>550</v>
      </c>
      <c r="L288">
        <v>0</v>
      </c>
      <c r="M288">
        <v>0</v>
      </c>
      <c r="N288">
        <v>550</v>
      </c>
    </row>
    <row r="289" spans="1:14" x14ac:dyDescent="0.25">
      <c r="A289">
        <v>169.67981399999999</v>
      </c>
      <c r="B289" s="1">
        <f>DATE(2010,10,17) + TIME(16,18,55)</f>
        <v>40468.679803240739</v>
      </c>
      <c r="C289">
        <v>80</v>
      </c>
      <c r="D289">
        <v>79.740737914999997</v>
      </c>
      <c r="E289">
        <v>40</v>
      </c>
      <c r="F289">
        <v>27.336439132999999</v>
      </c>
      <c r="G289">
        <v>1344.8859863</v>
      </c>
      <c r="H289">
        <v>1340.6463623</v>
      </c>
      <c r="I289">
        <v>1317.0782471</v>
      </c>
      <c r="J289">
        <v>1308.848999</v>
      </c>
      <c r="K289">
        <v>550</v>
      </c>
      <c r="L289">
        <v>0</v>
      </c>
      <c r="M289">
        <v>0</v>
      </c>
      <c r="N289">
        <v>550</v>
      </c>
    </row>
    <row r="290" spans="1:14" x14ac:dyDescent="0.25">
      <c r="A290">
        <v>171.70477</v>
      </c>
      <c r="B290" s="1">
        <f>DATE(2010,10,19) + TIME(16,54,52)</f>
        <v>40470.704768518517</v>
      </c>
      <c r="C290">
        <v>80</v>
      </c>
      <c r="D290">
        <v>79.741310119999994</v>
      </c>
      <c r="E290">
        <v>40</v>
      </c>
      <c r="F290">
        <v>27.887990951999999</v>
      </c>
      <c r="G290">
        <v>1344.8626709</v>
      </c>
      <c r="H290">
        <v>1340.6258545000001</v>
      </c>
      <c r="I290">
        <v>1317.1389160000001</v>
      </c>
      <c r="J290">
        <v>1308.9785156</v>
      </c>
      <c r="K290">
        <v>550</v>
      </c>
      <c r="L290">
        <v>0</v>
      </c>
      <c r="M290">
        <v>0</v>
      </c>
      <c r="N290">
        <v>550</v>
      </c>
    </row>
    <row r="291" spans="1:14" x14ac:dyDescent="0.25">
      <c r="A291">
        <v>173.73642799999999</v>
      </c>
      <c r="B291" s="1">
        <f>DATE(2010,10,21) + TIME(17,40,27)</f>
        <v>40472.73642361111</v>
      </c>
      <c r="C291">
        <v>80</v>
      </c>
      <c r="D291">
        <v>79.741874695000007</v>
      </c>
      <c r="E291">
        <v>40</v>
      </c>
      <c r="F291">
        <v>28.439113617</v>
      </c>
      <c r="G291">
        <v>1344.8392334</v>
      </c>
      <c r="H291">
        <v>1340.6055908000001</v>
      </c>
      <c r="I291">
        <v>1317.2014160000001</v>
      </c>
      <c r="J291">
        <v>1309.1099853999999</v>
      </c>
      <c r="K291">
        <v>550</v>
      </c>
      <c r="L291">
        <v>0</v>
      </c>
      <c r="M291">
        <v>0</v>
      </c>
      <c r="N291">
        <v>550</v>
      </c>
    </row>
    <row r="292" spans="1:14" x14ac:dyDescent="0.25">
      <c r="A292">
        <v>175.78010900000001</v>
      </c>
      <c r="B292" s="1">
        <f>DATE(2010,10,23) + TIME(18,43,21)</f>
        <v>40474.780104166668</v>
      </c>
      <c r="C292">
        <v>80</v>
      </c>
      <c r="D292">
        <v>79.742439270000006</v>
      </c>
      <c r="E292">
        <v>40</v>
      </c>
      <c r="F292">
        <v>28.988492965999999</v>
      </c>
      <c r="G292">
        <v>1344.8162841999999</v>
      </c>
      <c r="H292">
        <v>1340.5855713000001</v>
      </c>
      <c r="I292">
        <v>1317.2645264</v>
      </c>
      <c r="J292">
        <v>1309.2421875</v>
      </c>
      <c r="K292">
        <v>550</v>
      </c>
      <c r="L292">
        <v>0</v>
      </c>
      <c r="M292">
        <v>0</v>
      </c>
      <c r="N292">
        <v>550</v>
      </c>
    </row>
    <row r="293" spans="1:14" x14ac:dyDescent="0.25">
      <c r="A293">
        <v>177.84169299999999</v>
      </c>
      <c r="B293" s="1">
        <f>DATE(2010,10,25) + TIME(20,12,2)</f>
        <v>40476.841689814813</v>
      </c>
      <c r="C293">
        <v>80</v>
      </c>
      <c r="D293">
        <v>79.743011475000003</v>
      </c>
      <c r="E293">
        <v>40</v>
      </c>
      <c r="F293">
        <v>29.535675049000002</v>
      </c>
      <c r="G293">
        <v>1344.7935791</v>
      </c>
      <c r="H293">
        <v>1340.565918</v>
      </c>
      <c r="I293">
        <v>1317.3284911999999</v>
      </c>
      <c r="J293">
        <v>1309.3752440999999</v>
      </c>
      <c r="K293">
        <v>550</v>
      </c>
      <c r="L293">
        <v>0</v>
      </c>
      <c r="M293">
        <v>0</v>
      </c>
      <c r="N293">
        <v>550</v>
      </c>
    </row>
    <row r="294" spans="1:14" x14ac:dyDescent="0.25">
      <c r="A294">
        <v>179.92672099999999</v>
      </c>
      <c r="B294" s="1">
        <f>DATE(2010,10,27) + TIME(22,14,28)</f>
        <v>40478.926712962966</v>
      </c>
      <c r="C294">
        <v>80</v>
      </c>
      <c r="D294">
        <v>79.743576050000001</v>
      </c>
      <c r="E294">
        <v>40</v>
      </c>
      <c r="F294">
        <v>30.080627441000001</v>
      </c>
      <c r="G294">
        <v>1344.7711182</v>
      </c>
      <c r="H294">
        <v>1340.5465088000001</v>
      </c>
      <c r="I294">
        <v>1317.3934326000001</v>
      </c>
      <c r="J294">
        <v>1309.5091553</v>
      </c>
      <c r="K294">
        <v>550</v>
      </c>
      <c r="L294">
        <v>0</v>
      </c>
      <c r="M294">
        <v>0</v>
      </c>
      <c r="N294">
        <v>550</v>
      </c>
    </row>
    <row r="295" spans="1:14" x14ac:dyDescent="0.25">
      <c r="A295">
        <v>182.040695</v>
      </c>
      <c r="B295" s="1">
        <f>DATE(2010,10,30) + TIME(0,58,36)</f>
        <v>40481.040694444448</v>
      </c>
      <c r="C295">
        <v>80</v>
      </c>
      <c r="D295">
        <v>79.744148253999995</v>
      </c>
      <c r="E295">
        <v>40</v>
      </c>
      <c r="F295">
        <v>30.623670577999999</v>
      </c>
      <c r="G295">
        <v>1344.7487793</v>
      </c>
      <c r="H295">
        <v>1340.5272216999999</v>
      </c>
      <c r="I295">
        <v>1317.4594727000001</v>
      </c>
      <c r="J295">
        <v>1309.644043</v>
      </c>
      <c r="K295">
        <v>550</v>
      </c>
      <c r="L295">
        <v>0</v>
      </c>
      <c r="M295">
        <v>0</v>
      </c>
      <c r="N295">
        <v>550</v>
      </c>
    </row>
    <row r="296" spans="1:14" x14ac:dyDescent="0.25">
      <c r="A296">
        <v>184</v>
      </c>
      <c r="B296" s="1">
        <f>DATE(2010,11,1) + TIME(0,0,0)</f>
        <v>40483</v>
      </c>
      <c r="C296">
        <v>80</v>
      </c>
      <c r="D296">
        <v>79.744667053000001</v>
      </c>
      <c r="E296">
        <v>40</v>
      </c>
      <c r="F296">
        <v>31.136291503999999</v>
      </c>
      <c r="G296">
        <v>1344.7266846</v>
      </c>
      <c r="H296">
        <v>1340.5083007999999</v>
      </c>
      <c r="I296">
        <v>1317.527832</v>
      </c>
      <c r="J296">
        <v>1309.7768555</v>
      </c>
      <c r="K296">
        <v>550</v>
      </c>
      <c r="L296">
        <v>0</v>
      </c>
      <c r="M296">
        <v>0</v>
      </c>
      <c r="N296">
        <v>550</v>
      </c>
    </row>
    <row r="297" spans="1:14" x14ac:dyDescent="0.25">
      <c r="A297">
        <v>184.000001</v>
      </c>
      <c r="B297" s="1">
        <f>DATE(2010,11,1) + TIME(0,0,0)</f>
        <v>40483</v>
      </c>
      <c r="C297">
        <v>80</v>
      </c>
      <c r="D297">
        <v>79.744636536000002</v>
      </c>
      <c r="E297">
        <v>40</v>
      </c>
      <c r="F297">
        <v>31.136322021000002</v>
      </c>
      <c r="G297">
        <v>1340.3087158000001</v>
      </c>
      <c r="H297">
        <v>1338.7177733999999</v>
      </c>
      <c r="I297">
        <v>1325.3469238</v>
      </c>
      <c r="J297">
        <v>1317.7772216999999</v>
      </c>
      <c r="K297">
        <v>0</v>
      </c>
      <c r="L297">
        <v>550</v>
      </c>
      <c r="M297">
        <v>550</v>
      </c>
      <c r="N297">
        <v>0</v>
      </c>
    </row>
    <row r="298" spans="1:14" x14ac:dyDescent="0.25">
      <c r="A298">
        <v>184.00000399999999</v>
      </c>
      <c r="B298" s="1">
        <f>DATE(2010,11,1) + TIME(0,0,0)</f>
        <v>40483</v>
      </c>
      <c r="C298">
        <v>80</v>
      </c>
      <c r="D298">
        <v>79.744567871000001</v>
      </c>
      <c r="E298">
        <v>40</v>
      </c>
      <c r="F298">
        <v>31.136411667000001</v>
      </c>
      <c r="G298">
        <v>1339.8041992000001</v>
      </c>
      <c r="H298">
        <v>1338.2127685999999</v>
      </c>
      <c r="I298">
        <v>1325.9208983999999</v>
      </c>
      <c r="J298">
        <v>1318.4628906</v>
      </c>
      <c r="K298">
        <v>0</v>
      </c>
      <c r="L298">
        <v>550</v>
      </c>
      <c r="M298">
        <v>550</v>
      </c>
      <c r="N298">
        <v>0</v>
      </c>
    </row>
    <row r="299" spans="1:14" x14ac:dyDescent="0.25">
      <c r="A299">
        <v>184.000013</v>
      </c>
      <c r="B299" s="1">
        <f>DATE(2010,11,1) + TIME(0,0,1)</f>
        <v>40483.000011574077</v>
      </c>
      <c r="C299">
        <v>80</v>
      </c>
      <c r="D299">
        <v>79.744422912999994</v>
      </c>
      <c r="E299">
        <v>40</v>
      </c>
      <c r="F299">
        <v>31.136627196999999</v>
      </c>
      <c r="G299">
        <v>1338.7845459</v>
      </c>
      <c r="H299">
        <v>1337.1912841999999</v>
      </c>
      <c r="I299">
        <v>1327.3509521000001</v>
      </c>
      <c r="J299">
        <v>1320.1081543</v>
      </c>
      <c r="K299">
        <v>0</v>
      </c>
      <c r="L299">
        <v>550</v>
      </c>
      <c r="M299">
        <v>550</v>
      </c>
      <c r="N299">
        <v>0</v>
      </c>
    </row>
    <row r="300" spans="1:14" x14ac:dyDescent="0.25">
      <c r="A300">
        <v>184.00004000000001</v>
      </c>
      <c r="B300" s="1">
        <f>DATE(2010,11,1) + TIME(0,0,3)</f>
        <v>40483.000034722223</v>
      </c>
      <c r="C300">
        <v>80</v>
      </c>
      <c r="D300">
        <v>79.744209290000001</v>
      </c>
      <c r="E300">
        <v>40</v>
      </c>
      <c r="F300">
        <v>31.137050629000001</v>
      </c>
      <c r="G300">
        <v>1337.2889404</v>
      </c>
      <c r="H300">
        <v>1335.6879882999999</v>
      </c>
      <c r="I300">
        <v>1330.1607666</v>
      </c>
      <c r="J300">
        <v>1323.1301269999999</v>
      </c>
      <c r="K300">
        <v>0</v>
      </c>
      <c r="L300">
        <v>550</v>
      </c>
      <c r="M300">
        <v>550</v>
      </c>
      <c r="N300">
        <v>0</v>
      </c>
    </row>
    <row r="301" spans="1:14" x14ac:dyDescent="0.25">
      <c r="A301">
        <v>184.00012100000001</v>
      </c>
      <c r="B301" s="1">
        <f>DATE(2010,11,1) + TIME(0,0,10)</f>
        <v>40483.000115740739</v>
      </c>
      <c r="C301">
        <v>80</v>
      </c>
      <c r="D301">
        <v>79.743949889999996</v>
      </c>
      <c r="E301">
        <v>40</v>
      </c>
      <c r="F301">
        <v>31.137723922999999</v>
      </c>
      <c r="G301">
        <v>1335.6011963000001</v>
      </c>
      <c r="H301">
        <v>1333.9799805</v>
      </c>
      <c r="I301">
        <v>1334.1499022999999</v>
      </c>
      <c r="J301">
        <v>1327.1545410000001</v>
      </c>
      <c r="K301">
        <v>0</v>
      </c>
      <c r="L301">
        <v>550</v>
      </c>
      <c r="M301">
        <v>550</v>
      </c>
      <c r="N301">
        <v>0</v>
      </c>
    </row>
    <row r="302" spans="1:14" x14ac:dyDescent="0.25">
      <c r="A302">
        <v>184.00036399999999</v>
      </c>
      <c r="B302" s="1">
        <f>DATE(2010,11,1) + TIME(0,0,31)</f>
        <v>40483.000358796293</v>
      </c>
      <c r="C302">
        <v>80</v>
      </c>
      <c r="D302">
        <v>79.743652343999997</v>
      </c>
      <c r="E302">
        <v>40</v>
      </c>
      <c r="F302">
        <v>31.138866425</v>
      </c>
      <c r="G302">
        <v>1333.8298339999999</v>
      </c>
      <c r="H302">
        <v>1332.1451416</v>
      </c>
      <c r="I302">
        <v>1338.5562743999999</v>
      </c>
      <c r="J302">
        <v>1331.5411377</v>
      </c>
      <c r="K302">
        <v>0</v>
      </c>
      <c r="L302">
        <v>550</v>
      </c>
      <c r="M302">
        <v>550</v>
      </c>
      <c r="N302">
        <v>0</v>
      </c>
    </row>
    <row r="303" spans="1:14" x14ac:dyDescent="0.25">
      <c r="A303">
        <v>184.001093</v>
      </c>
      <c r="B303" s="1">
        <f>DATE(2010,11,1) + TIME(0,1,34)</f>
        <v>40483.001087962963</v>
      </c>
      <c r="C303">
        <v>80</v>
      </c>
      <c r="D303">
        <v>79.743209839000002</v>
      </c>
      <c r="E303">
        <v>40</v>
      </c>
      <c r="F303">
        <v>31.141281127999999</v>
      </c>
      <c r="G303">
        <v>1331.9187012</v>
      </c>
      <c r="H303">
        <v>1330.1038818</v>
      </c>
      <c r="I303">
        <v>1342.8520507999999</v>
      </c>
      <c r="J303">
        <v>1335.8221435999999</v>
      </c>
      <c r="K303">
        <v>0</v>
      </c>
      <c r="L303">
        <v>550</v>
      </c>
      <c r="M303">
        <v>550</v>
      </c>
      <c r="N303">
        <v>0</v>
      </c>
    </row>
    <row r="304" spans="1:14" x14ac:dyDescent="0.25">
      <c r="A304">
        <v>184.00327999999999</v>
      </c>
      <c r="B304" s="1">
        <f>DATE(2010,11,1) + TIME(0,4,43)</f>
        <v>40483.003275462965</v>
      </c>
      <c r="C304">
        <v>80</v>
      </c>
      <c r="D304">
        <v>79.742416382000002</v>
      </c>
      <c r="E304">
        <v>40</v>
      </c>
      <c r="F304">
        <v>31.147504807000001</v>
      </c>
      <c r="G304">
        <v>1329.9921875</v>
      </c>
      <c r="H304">
        <v>1328.0393065999999</v>
      </c>
      <c r="I304">
        <v>1346.4622803</v>
      </c>
      <c r="J304">
        <v>1339.3800048999999</v>
      </c>
      <c r="K304">
        <v>0</v>
      </c>
      <c r="L304">
        <v>550</v>
      </c>
      <c r="M304">
        <v>550</v>
      </c>
      <c r="N304">
        <v>0</v>
      </c>
    </row>
    <row r="305" spans="1:14" x14ac:dyDescent="0.25">
      <c r="A305">
        <v>184.00984099999999</v>
      </c>
      <c r="B305" s="1">
        <f>DATE(2010,11,1) + TIME(0,14,10)</f>
        <v>40483.009837962964</v>
      </c>
      <c r="C305">
        <v>80</v>
      </c>
      <c r="D305">
        <v>79.740592957000004</v>
      </c>
      <c r="E305">
        <v>40</v>
      </c>
      <c r="F305">
        <v>31.16534996</v>
      </c>
      <c r="G305">
        <v>1328.4315185999999</v>
      </c>
      <c r="H305">
        <v>1326.4121094</v>
      </c>
      <c r="I305">
        <v>1348.765625</v>
      </c>
      <c r="J305">
        <v>1341.6169434000001</v>
      </c>
      <c r="K305">
        <v>0</v>
      </c>
      <c r="L305">
        <v>550</v>
      </c>
      <c r="M305">
        <v>550</v>
      </c>
      <c r="N305">
        <v>0</v>
      </c>
    </row>
    <row r="306" spans="1:14" x14ac:dyDescent="0.25">
      <c r="A306">
        <v>184.02952400000001</v>
      </c>
      <c r="B306" s="1">
        <f>DATE(2010,11,1) + TIME(0,42,30)</f>
        <v>40483.029513888891</v>
      </c>
      <c r="C306">
        <v>80</v>
      </c>
      <c r="D306">
        <v>79.735649108999993</v>
      </c>
      <c r="E306">
        <v>40</v>
      </c>
      <c r="F306">
        <v>31.218235016000001</v>
      </c>
      <c r="G306">
        <v>1327.4790039</v>
      </c>
      <c r="H306">
        <v>1325.4436035000001</v>
      </c>
      <c r="I306">
        <v>1349.7990723</v>
      </c>
      <c r="J306">
        <v>1342.6143798999999</v>
      </c>
      <c r="K306">
        <v>0</v>
      </c>
      <c r="L306">
        <v>550</v>
      </c>
      <c r="M306">
        <v>550</v>
      </c>
      <c r="N306">
        <v>0</v>
      </c>
    </row>
    <row r="307" spans="1:14" x14ac:dyDescent="0.25">
      <c r="A307">
        <v>184.088573</v>
      </c>
      <c r="B307" s="1">
        <f>DATE(2010,11,1) + TIME(2,7,32)</f>
        <v>40483.088564814818</v>
      </c>
      <c r="C307">
        <v>80</v>
      </c>
      <c r="D307">
        <v>79.721290588000002</v>
      </c>
      <c r="E307">
        <v>40</v>
      </c>
      <c r="F307">
        <v>31.373819351000002</v>
      </c>
      <c r="G307">
        <v>1327.0429687999999</v>
      </c>
      <c r="H307">
        <v>1325.0051269999999</v>
      </c>
      <c r="I307">
        <v>1350.0390625</v>
      </c>
      <c r="J307">
        <v>1342.8728027</v>
      </c>
      <c r="K307">
        <v>0</v>
      </c>
      <c r="L307">
        <v>550</v>
      </c>
      <c r="M307">
        <v>550</v>
      </c>
      <c r="N307">
        <v>0</v>
      </c>
    </row>
    <row r="308" spans="1:14" x14ac:dyDescent="0.25">
      <c r="A308">
        <v>184.26571999999999</v>
      </c>
      <c r="B308" s="1">
        <f>DATE(2010,11,1) + TIME(6,22,38)</f>
        <v>40483.265717592592</v>
      </c>
      <c r="C308">
        <v>80</v>
      </c>
      <c r="D308">
        <v>79.679573059000006</v>
      </c>
      <c r="E308">
        <v>40</v>
      </c>
      <c r="F308">
        <v>31.813844680999999</v>
      </c>
      <c r="G308">
        <v>1326.9104004000001</v>
      </c>
      <c r="H308">
        <v>1324.8721923999999</v>
      </c>
      <c r="I308">
        <v>1349.8636475000001</v>
      </c>
      <c r="J308">
        <v>1342.7984618999999</v>
      </c>
      <c r="K308">
        <v>0</v>
      </c>
      <c r="L308">
        <v>550</v>
      </c>
      <c r="M308">
        <v>550</v>
      </c>
      <c r="N308">
        <v>0</v>
      </c>
    </row>
    <row r="309" spans="1:14" x14ac:dyDescent="0.25">
      <c r="A309">
        <v>184.450143</v>
      </c>
      <c r="B309" s="1">
        <f>DATE(2010,11,1) + TIME(10,48,12)</f>
        <v>40483.450138888889</v>
      </c>
      <c r="C309">
        <v>80</v>
      </c>
      <c r="D309">
        <v>79.636695861999996</v>
      </c>
      <c r="E309">
        <v>40</v>
      </c>
      <c r="F309">
        <v>32.245536803999997</v>
      </c>
      <c r="G309">
        <v>1326.8870850000001</v>
      </c>
      <c r="H309">
        <v>1324.8479004000001</v>
      </c>
      <c r="I309">
        <v>1349.6870117000001</v>
      </c>
      <c r="J309">
        <v>1342.7124022999999</v>
      </c>
      <c r="K309">
        <v>0</v>
      </c>
      <c r="L309">
        <v>550</v>
      </c>
      <c r="M309">
        <v>550</v>
      </c>
      <c r="N309">
        <v>0</v>
      </c>
    </row>
    <row r="310" spans="1:14" x14ac:dyDescent="0.25">
      <c r="A310">
        <v>184.64187200000001</v>
      </c>
      <c r="B310" s="1">
        <f>DATE(2010,11,1) + TIME(15,24,17)</f>
        <v>40483.641863425924</v>
      </c>
      <c r="C310">
        <v>80</v>
      </c>
      <c r="D310">
        <v>79.592674255000006</v>
      </c>
      <c r="E310">
        <v>40</v>
      </c>
      <c r="F310">
        <v>32.667690276999998</v>
      </c>
      <c r="G310">
        <v>1326.8786620999999</v>
      </c>
      <c r="H310">
        <v>1324.8382568</v>
      </c>
      <c r="I310">
        <v>1349.5212402</v>
      </c>
      <c r="J310">
        <v>1342.6330565999999</v>
      </c>
      <c r="K310">
        <v>0</v>
      </c>
      <c r="L310">
        <v>550</v>
      </c>
      <c r="M310">
        <v>550</v>
      </c>
      <c r="N310">
        <v>0</v>
      </c>
    </row>
    <row r="311" spans="1:14" x14ac:dyDescent="0.25">
      <c r="A311">
        <v>184.841611</v>
      </c>
      <c r="B311" s="1">
        <f>DATE(2010,11,1) + TIME(20,11,55)</f>
        <v>40483.841608796298</v>
      </c>
      <c r="C311">
        <v>80</v>
      </c>
      <c r="D311">
        <v>79.547409058</v>
      </c>
      <c r="E311">
        <v>40</v>
      </c>
      <c r="F311">
        <v>33.080558777</v>
      </c>
      <c r="G311">
        <v>1326.8721923999999</v>
      </c>
      <c r="H311">
        <v>1324.8306885</v>
      </c>
      <c r="I311">
        <v>1349.3640137</v>
      </c>
      <c r="J311">
        <v>1342.5584716999999</v>
      </c>
      <c r="K311">
        <v>0</v>
      </c>
      <c r="L311">
        <v>550</v>
      </c>
      <c r="M311">
        <v>550</v>
      </c>
      <c r="N311">
        <v>0</v>
      </c>
    </row>
    <row r="312" spans="1:14" x14ac:dyDescent="0.25">
      <c r="A312">
        <v>185.05016800000001</v>
      </c>
      <c r="B312" s="1">
        <f>DATE(2010,11,2) + TIME(1,12,14)</f>
        <v>40484.050162037034</v>
      </c>
      <c r="C312">
        <v>80</v>
      </c>
      <c r="D312">
        <v>79.500762938999998</v>
      </c>
      <c r="E312">
        <v>40</v>
      </c>
      <c r="F312">
        <v>33.484363555999998</v>
      </c>
      <c r="G312">
        <v>1326.8658447</v>
      </c>
      <c r="H312">
        <v>1324.8231201000001</v>
      </c>
      <c r="I312">
        <v>1349.2141113</v>
      </c>
      <c r="J312">
        <v>1342.4871826000001</v>
      </c>
      <c r="K312">
        <v>0</v>
      </c>
      <c r="L312">
        <v>550</v>
      </c>
      <c r="M312">
        <v>550</v>
      </c>
      <c r="N312">
        <v>0</v>
      </c>
    </row>
    <row r="313" spans="1:14" x14ac:dyDescent="0.25">
      <c r="A313">
        <v>185.26836900000001</v>
      </c>
      <c r="B313" s="1">
        <f>DATE(2010,11,2) + TIME(6,26,27)</f>
        <v>40484.268368055556</v>
      </c>
      <c r="C313">
        <v>80</v>
      </c>
      <c r="D313">
        <v>79.452621460000003</v>
      </c>
      <c r="E313">
        <v>40</v>
      </c>
      <c r="F313">
        <v>33.879135132000002</v>
      </c>
      <c r="G313">
        <v>1326.8592529</v>
      </c>
      <c r="H313">
        <v>1324.8150635</v>
      </c>
      <c r="I313">
        <v>1349.0708007999999</v>
      </c>
      <c r="J313">
        <v>1342.4189452999999</v>
      </c>
      <c r="K313">
        <v>0</v>
      </c>
      <c r="L313">
        <v>550</v>
      </c>
      <c r="M313">
        <v>550</v>
      </c>
      <c r="N313">
        <v>0</v>
      </c>
    </row>
    <row r="314" spans="1:14" x14ac:dyDescent="0.25">
      <c r="A314">
        <v>185.49725000000001</v>
      </c>
      <c r="B314" s="1">
        <f>DATE(2010,11,2) + TIME(11,56,2)</f>
        <v>40484.497245370374</v>
      </c>
      <c r="C314">
        <v>80</v>
      </c>
      <c r="D314">
        <v>79.402824401999993</v>
      </c>
      <c r="E314">
        <v>40</v>
      </c>
      <c r="F314">
        <v>34.265010834000002</v>
      </c>
      <c r="G314">
        <v>1326.8522949000001</v>
      </c>
      <c r="H314">
        <v>1324.8066406</v>
      </c>
      <c r="I314">
        <v>1348.9338379000001</v>
      </c>
      <c r="J314">
        <v>1342.3536377</v>
      </c>
      <c r="K314">
        <v>0</v>
      </c>
      <c r="L314">
        <v>550</v>
      </c>
      <c r="M314">
        <v>550</v>
      </c>
      <c r="N314">
        <v>0</v>
      </c>
    </row>
    <row r="315" spans="1:14" x14ac:dyDescent="0.25">
      <c r="A315">
        <v>185.73812799999999</v>
      </c>
      <c r="B315" s="1">
        <f>DATE(2010,11,2) + TIME(17,42,54)</f>
        <v>40484.738125000003</v>
      </c>
      <c r="C315">
        <v>80</v>
      </c>
      <c r="D315">
        <v>79.351165770999998</v>
      </c>
      <c r="E315">
        <v>40</v>
      </c>
      <c r="F315">
        <v>34.642269134999999</v>
      </c>
      <c r="G315">
        <v>1326.8450928</v>
      </c>
      <c r="H315">
        <v>1324.7977295000001</v>
      </c>
      <c r="I315">
        <v>1348.8027344</v>
      </c>
      <c r="J315">
        <v>1342.2908935999999</v>
      </c>
      <c r="K315">
        <v>0</v>
      </c>
      <c r="L315">
        <v>550</v>
      </c>
      <c r="M315">
        <v>550</v>
      </c>
      <c r="N315">
        <v>0</v>
      </c>
    </row>
    <row r="316" spans="1:14" x14ac:dyDescent="0.25">
      <c r="A316">
        <v>185.99242899999999</v>
      </c>
      <c r="B316" s="1">
        <f>DATE(2010,11,2) + TIME(23,49,5)</f>
        <v>40484.992418981485</v>
      </c>
      <c r="C316">
        <v>80</v>
      </c>
      <c r="D316">
        <v>79.297431946000003</v>
      </c>
      <c r="E316">
        <v>40</v>
      </c>
      <c r="F316">
        <v>35.010974883999999</v>
      </c>
      <c r="G316">
        <v>1326.8374022999999</v>
      </c>
      <c r="H316">
        <v>1324.7883300999999</v>
      </c>
      <c r="I316">
        <v>1348.677124</v>
      </c>
      <c r="J316">
        <v>1342.2304687999999</v>
      </c>
      <c r="K316">
        <v>0</v>
      </c>
      <c r="L316">
        <v>550</v>
      </c>
      <c r="M316">
        <v>550</v>
      </c>
      <c r="N316">
        <v>0</v>
      </c>
    </row>
    <row r="317" spans="1:14" x14ac:dyDescent="0.25">
      <c r="A317">
        <v>186.26182700000001</v>
      </c>
      <c r="B317" s="1">
        <f>DATE(2010,11,3) + TIME(6,17,1)</f>
        <v>40485.261817129627</v>
      </c>
      <c r="C317">
        <v>80</v>
      </c>
      <c r="D317">
        <v>79.241386414000004</v>
      </c>
      <c r="E317">
        <v>40</v>
      </c>
      <c r="F317">
        <v>35.371139526</v>
      </c>
      <c r="G317">
        <v>1326.8293457</v>
      </c>
      <c r="H317">
        <v>1324.7783202999999</v>
      </c>
      <c r="I317">
        <v>1348.5567627</v>
      </c>
      <c r="J317">
        <v>1342.1724853999999</v>
      </c>
      <c r="K317">
        <v>0</v>
      </c>
      <c r="L317">
        <v>550</v>
      </c>
      <c r="M317">
        <v>550</v>
      </c>
      <c r="N317">
        <v>0</v>
      </c>
    </row>
    <row r="318" spans="1:14" x14ac:dyDescent="0.25">
      <c r="A318">
        <v>186.54826600000001</v>
      </c>
      <c r="B318" s="1">
        <f>DATE(2010,11,3) + TIME(13,9,30)</f>
        <v>40485.548263888886</v>
      </c>
      <c r="C318">
        <v>80</v>
      </c>
      <c r="D318">
        <v>79.182746886999993</v>
      </c>
      <c r="E318">
        <v>40</v>
      </c>
      <c r="F318">
        <v>35.722679137999997</v>
      </c>
      <c r="G318">
        <v>1326.8208007999999</v>
      </c>
      <c r="H318">
        <v>1324.7675781</v>
      </c>
      <c r="I318">
        <v>1348.4414062000001</v>
      </c>
      <c r="J318">
        <v>1342.1165771000001</v>
      </c>
      <c r="K318">
        <v>0</v>
      </c>
      <c r="L318">
        <v>550</v>
      </c>
      <c r="M318">
        <v>550</v>
      </c>
      <c r="N318">
        <v>0</v>
      </c>
    </row>
    <row r="319" spans="1:14" x14ac:dyDescent="0.25">
      <c r="A319">
        <v>186.853982</v>
      </c>
      <c r="B319" s="1">
        <f>DATE(2010,11,3) + TIME(20,29,44)</f>
        <v>40485.853981481479</v>
      </c>
      <c r="C319">
        <v>80</v>
      </c>
      <c r="D319">
        <v>79.121200561999999</v>
      </c>
      <c r="E319">
        <v>40</v>
      </c>
      <c r="F319">
        <v>36.065372467000003</v>
      </c>
      <c r="G319">
        <v>1326.8116454999999</v>
      </c>
      <c r="H319">
        <v>1324.7561035000001</v>
      </c>
      <c r="I319">
        <v>1348.3306885</v>
      </c>
      <c r="J319">
        <v>1342.0626221</v>
      </c>
      <c r="K319">
        <v>0</v>
      </c>
      <c r="L319">
        <v>550</v>
      </c>
      <c r="M319">
        <v>550</v>
      </c>
      <c r="N319">
        <v>0</v>
      </c>
    </row>
    <row r="320" spans="1:14" x14ac:dyDescent="0.25">
      <c r="A320">
        <v>187.18188599999999</v>
      </c>
      <c r="B320" s="1">
        <f>DATE(2010,11,4) + TIME(4,21,54)</f>
        <v>40486.181875000002</v>
      </c>
      <c r="C320">
        <v>80</v>
      </c>
      <c r="D320">
        <v>79.056335449000002</v>
      </c>
      <c r="E320">
        <v>40</v>
      </c>
      <c r="F320">
        <v>36.399150847999998</v>
      </c>
      <c r="G320">
        <v>1326.8018798999999</v>
      </c>
      <c r="H320">
        <v>1324.7437743999999</v>
      </c>
      <c r="I320">
        <v>1348.2243652</v>
      </c>
      <c r="J320">
        <v>1342.010376</v>
      </c>
      <c r="K320">
        <v>0</v>
      </c>
      <c r="L320">
        <v>550</v>
      </c>
      <c r="M320">
        <v>550</v>
      </c>
      <c r="N320">
        <v>0</v>
      </c>
    </row>
    <row r="321" spans="1:14" x14ac:dyDescent="0.25">
      <c r="A321">
        <v>187.53543500000001</v>
      </c>
      <c r="B321" s="1">
        <f>DATE(2010,11,4) + TIME(12,51,1)</f>
        <v>40486.535428240742</v>
      </c>
      <c r="C321">
        <v>80</v>
      </c>
      <c r="D321">
        <v>78.987678528000004</v>
      </c>
      <c r="E321">
        <v>40</v>
      </c>
      <c r="F321">
        <v>36.723762512</v>
      </c>
      <c r="G321">
        <v>1326.7913818</v>
      </c>
      <c r="H321">
        <v>1324.7304687999999</v>
      </c>
      <c r="I321">
        <v>1348.1220702999999</v>
      </c>
      <c r="J321">
        <v>1341.9598389</v>
      </c>
      <c r="K321">
        <v>0</v>
      </c>
      <c r="L321">
        <v>550</v>
      </c>
      <c r="M321">
        <v>550</v>
      </c>
      <c r="N321">
        <v>0</v>
      </c>
    </row>
    <row r="322" spans="1:14" x14ac:dyDescent="0.25">
      <c r="A322">
        <v>187.918972</v>
      </c>
      <c r="B322" s="1">
        <f>DATE(2010,11,4) + TIME(22,3,19)</f>
        <v>40486.918969907405</v>
      </c>
      <c r="C322">
        <v>80</v>
      </c>
      <c r="D322">
        <v>78.914649963000002</v>
      </c>
      <c r="E322">
        <v>40</v>
      </c>
      <c r="F322">
        <v>37.038928986000002</v>
      </c>
      <c r="G322">
        <v>1326.7799072</v>
      </c>
      <c r="H322">
        <v>1324.7160644999999</v>
      </c>
      <c r="I322">
        <v>1348.0236815999999</v>
      </c>
      <c r="J322">
        <v>1341.9105225000001</v>
      </c>
      <c r="K322">
        <v>0</v>
      </c>
      <c r="L322">
        <v>550</v>
      </c>
      <c r="M322">
        <v>550</v>
      </c>
      <c r="N322">
        <v>0</v>
      </c>
    </row>
    <row r="323" spans="1:14" x14ac:dyDescent="0.25">
      <c r="A323">
        <v>188.337964</v>
      </c>
      <c r="B323" s="1">
        <f>DATE(2010,11,5) + TIME(8,6,40)</f>
        <v>40487.337962962964</v>
      </c>
      <c r="C323">
        <v>80</v>
      </c>
      <c r="D323">
        <v>78.836509704999997</v>
      </c>
      <c r="E323">
        <v>40</v>
      </c>
      <c r="F323">
        <v>37.344261168999999</v>
      </c>
      <c r="G323">
        <v>1326.7675781</v>
      </c>
      <c r="H323">
        <v>1324.7003173999999</v>
      </c>
      <c r="I323">
        <v>1347.9287108999999</v>
      </c>
      <c r="J323">
        <v>1341.8625488</v>
      </c>
      <c r="K323">
        <v>0</v>
      </c>
      <c r="L323">
        <v>550</v>
      </c>
      <c r="M323">
        <v>550</v>
      </c>
      <c r="N323">
        <v>0</v>
      </c>
    </row>
    <row r="324" spans="1:14" x14ac:dyDescent="0.25">
      <c r="A324">
        <v>188.799376</v>
      </c>
      <c r="B324" s="1">
        <f>DATE(2010,11,5) + TIME(19,11,6)</f>
        <v>40487.799375000002</v>
      </c>
      <c r="C324">
        <v>80</v>
      </c>
      <c r="D324">
        <v>78.752357482999997</v>
      </c>
      <c r="E324">
        <v>40</v>
      </c>
      <c r="F324">
        <v>37.639221190999997</v>
      </c>
      <c r="G324">
        <v>1326.7540283000001</v>
      </c>
      <c r="H324">
        <v>1324.6831055</v>
      </c>
      <c r="I324">
        <v>1347.8370361</v>
      </c>
      <c r="J324">
        <v>1341.8154297000001</v>
      </c>
      <c r="K324">
        <v>0</v>
      </c>
      <c r="L324">
        <v>550</v>
      </c>
      <c r="M324">
        <v>550</v>
      </c>
      <c r="N324">
        <v>0</v>
      </c>
    </row>
    <row r="325" spans="1:14" x14ac:dyDescent="0.25">
      <c r="A325">
        <v>189.312535</v>
      </c>
      <c r="B325" s="1">
        <f>DATE(2010,11,6) + TIME(7,30,3)</f>
        <v>40488.312534722223</v>
      </c>
      <c r="C325">
        <v>80</v>
      </c>
      <c r="D325">
        <v>78.661018372000001</v>
      </c>
      <c r="E325">
        <v>40</v>
      </c>
      <c r="F325">
        <v>37.923236846999998</v>
      </c>
      <c r="G325">
        <v>1326.7391356999999</v>
      </c>
      <c r="H325">
        <v>1324.6639404</v>
      </c>
      <c r="I325">
        <v>1347.7481689000001</v>
      </c>
      <c r="J325">
        <v>1341.7689209</v>
      </c>
      <c r="K325">
        <v>0</v>
      </c>
      <c r="L325">
        <v>550</v>
      </c>
      <c r="M325">
        <v>550</v>
      </c>
      <c r="N325">
        <v>0</v>
      </c>
    </row>
    <row r="326" spans="1:14" x14ac:dyDescent="0.25">
      <c r="A326">
        <v>189.87228300000001</v>
      </c>
      <c r="B326" s="1">
        <f>DATE(2010,11,6) + TIME(20,56,5)</f>
        <v>40488.87228009259</v>
      </c>
      <c r="C326">
        <v>80</v>
      </c>
      <c r="D326">
        <v>78.563682556000003</v>
      </c>
      <c r="E326">
        <v>40</v>
      </c>
      <c r="F326">
        <v>38.188407898000001</v>
      </c>
      <c r="G326">
        <v>1326.7225341999999</v>
      </c>
      <c r="H326">
        <v>1324.6427002</v>
      </c>
      <c r="I326">
        <v>1347.6645507999999</v>
      </c>
      <c r="J326">
        <v>1341.7242432</v>
      </c>
      <c r="K326">
        <v>0</v>
      </c>
      <c r="L326">
        <v>550</v>
      </c>
      <c r="M326">
        <v>550</v>
      </c>
      <c r="N326">
        <v>0</v>
      </c>
    </row>
    <row r="327" spans="1:14" x14ac:dyDescent="0.25">
      <c r="A327">
        <v>190.451168</v>
      </c>
      <c r="B327" s="1">
        <f>DATE(2010,11,7) + TIME(10,49,40)</f>
        <v>40489.451157407406</v>
      </c>
      <c r="C327">
        <v>80</v>
      </c>
      <c r="D327">
        <v>78.464836121000005</v>
      </c>
      <c r="E327">
        <v>40</v>
      </c>
      <c r="F327">
        <v>38.422153473000002</v>
      </c>
      <c r="G327">
        <v>1326.7043457</v>
      </c>
      <c r="H327">
        <v>1324.6196289</v>
      </c>
      <c r="I327">
        <v>1347.5902100000001</v>
      </c>
      <c r="J327">
        <v>1341.6832274999999</v>
      </c>
      <c r="K327">
        <v>0</v>
      </c>
      <c r="L327">
        <v>550</v>
      </c>
      <c r="M327">
        <v>550</v>
      </c>
      <c r="N327">
        <v>0</v>
      </c>
    </row>
    <row r="328" spans="1:14" x14ac:dyDescent="0.25">
      <c r="A328">
        <v>191.05118100000001</v>
      </c>
      <c r="B328" s="1">
        <f>DATE(2010,11,8) + TIME(1,13,41)</f>
        <v>40490.051168981481</v>
      </c>
      <c r="C328">
        <v>80</v>
      </c>
      <c r="D328">
        <v>78.364219665999997</v>
      </c>
      <c r="E328">
        <v>40</v>
      </c>
      <c r="F328">
        <v>38.627666472999998</v>
      </c>
      <c r="G328">
        <v>1326.6855469</v>
      </c>
      <c r="H328">
        <v>1324.5954589999999</v>
      </c>
      <c r="I328">
        <v>1347.5227050999999</v>
      </c>
      <c r="J328">
        <v>1341.6448975000001</v>
      </c>
      <c r="K328">
        <v>0</v>
      </c>
      <c r="L328">
        <v>550</v>
      </c>
      <c r="M328">
        <v>550</v>
      </c>
      <c r="N328">
        <v>0</v>
      </c>
    </row>
    <row r="329" spans="1:14" x14ac:dyDescent="0.25">
      <c r="A329">
        <v>191.67371700000001</v>
      </c>
      <c r="B329" s="1">
        <f>DATE(2010,11,8) + TIME(16,10,9)</f>
        <v>40490.673715277779</v>
      </c>
      <c r="C329">
        <v>80</v>
      </c>
      <c r="D329">
        <v>78.261680603000002</v>
      </c>
      <c r="E329">
        <v>40</v>
      </c>
      <c r="F329">
        <v>38.807624816999997</v>
      </c>
      <c r="G329">
        <v>1326.6658935999999</v>
      </c>
      <c r="H329">
        <v>1324.5703125</v>
      </c>
      <c r="I329">
        <v>1347.4610596</v>
      </c>
      <c r="J329">
        <v>1341.6088867000001</v>
      </c>
      <c r="K329">
        <v>0</v>
      </c>
      <c r="L329">
        <v>550</v>
      </c>
      <c r="M329">
        <v>550</v>
      </c>
      <c r="N329">
        <v>0</v>
      </c>
    </row>
    <row r="330" spans="1:14" x14ac:dyDescent="0.25">
      <c r="A330">
        <v>192.32011800000001</v>
      </c>
      <c r="B330" s="1">
        <f>DATE(2010,11,9) + TIME(7,40,58)</f>
        <v>40491.320115740738</v>
      </c>
      <c r="C330">
        <v>80</v>
      </c>
      <c r="D330">
        <v>78.157073975000003</v>
      </c>
      <c r="E330">
        <v>40</v>
      </c>
      <c r="F330">
        <v>38.964485168000003</v>
      </c>
      <c r="G330">
        <v>1326.6452637</v>
      </c>
      <c r="H330">
        <v>1324.5439452999999</v>
      </c>
      <c r="I330">
        <v>1347.4044189000001</v>
      </c>
      <c r="J330">
        <v>1341.574707</v>
      </c>
      <c r="K330">
        <v>0</v>
      </c>
      <c r="L330">
        <v>550</v>
      </c>
      <c r="M330">
        <v>550</v>
      </c>
      <c r="N330">
        <v>0</v>
      </c>
    </row>
    <row r="331" spans="1:14" x14ac:dyDescent="0.25">
      <c r="A331">
        <v>192.991827</v>
      </c>
      <c r="B331" s="1">
        <f>DATE(2010,11,9) + TIME(23,48,13)</f>
        <v>40491.99181712963</v>
      </c>
      <c r="C331">
        <v>80</v>
      </c>
      <c r="D331">
        <v>78.050270080999994</v>
      </c>
      <c r="E331">
        <v>40</v>
      </c>
      <c r="F331">
        <v>39.100570679</v>
      </c>
      <c r="G331">
        <v>1326.6237793</v>
      </c>
      <c r="H331">
        <v>1324.5164795000001</v>
      </c>
      <c r="I331">
        <v>1347.3520507999999</v>
      </c>
      <c r="J331">
        <v>1341.5421143000001</v>
      </c>
      <c r="K331">
        <v>0</v>
      </c>
      <c r="L331">
        <v>550</v>
      </c>
      <c r="M331">
        <v>550</v>
      </c>
      <c r="N331">
        <v>0</v>
      </c>
    </row>
    <row r="332" spans="1:14" x14ac:dyDescent="0.25">
      <c r="A332">
        <v>193.69040699999999</v>
      </c>
      <c r="B332" s="1">
        <f>DATE(2010,11,10) + TIME(16,34,11)</f>
        <v>40492.690405092595</v>
      </c>
      <c r="C332">
        <v>80</v>
      </c>
      <c r="D332">
        <v>77.941108704000001</v>
      </c>
      <c r="E332">
        <v>40</v>
      </c>
      <c r="F332">
        <v>39.218048095999997</v>
      </c>
      <c r="G332">
        <v>1326.6013184000001</v>
      </c>
      <c r="H332">
        <v>1324.4875488</v>
      </c>
      <c r="I332">
        <v>1347.3035889</v>
      </c>
      <c r="J332">
        <v>1341.5109863</v>
      </c>
      <c r="K332">
        <v>0</v>
      </c>
      <c r="L332">
        <v>550</v>
      </c>
      <c r="M332">
        <v>550</v>
      </c>
      <c r="N332">
        <v>0</v>
      </c>
    </row>
    <row r="333" spans="1:14" x14ac:dyDescent="0.25">
      <c r="A333">
        <v>194.41754599999999</v>
      </c>
      <c r="B333" s="1">
        <f>DATE(2010,11,11) + TIME(10,1,15)</f>
        <v>40493.417534722219</v>
      </c>
      <c r="C333">
        <v>80</v>
      </c>
      <c r="D333">
        <v>77.829421996999997</v>
      </c>
      <c r="E333">
        <v>40</v>
      </c>
      <c r="F333">
        <v>39.318943023999999</v>
      </c>
      <c r="G333">
        <v>1326.5777588000001</v>
      </c>
      <c r="H333">
        <v>1324.4573975000001</v>
      </c>
      <c r="I333">
        <v>1347.2584228999999</v>
      </c>
      <c r="J333">
        <v>1341.4810791</v>
      </c>
      <c r="K333">
        <v>0</v>
      </c>
      <c r="L333">
        <v>550</v>
      </c>
      <c r="M333">
        <v>550</v>
      </c>
      <c r="N333">
        <v>0</v>
      </c>
    </row>
    <row r="334" spans="1:14" x14ac:dyDescent="0.25">
      <c r="A334">
        <v>195.17507699999999</v>
      </c>
      <c r="B334" s="1">
        <f>DATE(2010,11,12) + TIME(4,12,6)</f>
        <v>40494.175069444442</v>
      </c>
      <c r="C334">
        <v>80</v>
      </c>
      <c r="D334">
        <v>77.715049743999998</v>
      </c>
      <c r="E334">
        <v>40</v>
      </c>
      <c r="F334">
        <v>39.405147552000003</v>
      </c>
      <c r="G334">
        <v>1326.5531006000001</v>
      </c>
      <c r="H334">
        <v>1324.4256591999999</v>
      </c>
      <c r="I334">
        <v>1347.2160644999999</v>
      </c>
      <c r="J334">
        <v>1341.4520264</v>
      </c>
      <c r="K334">
        <v>0</v>
      </c>
      <c r="L334">
        <v>550</v>
      </c>
      <c r="M334">
        <v>550</v>
      </c>
      <c r="N334">
        <v>0</v>
      </c>
    </row>
    <row r="335" spans="1:14" x14ac:dyDescent="0.25">
      <c r="A335">
        <v>195.96499800000001</v>
      </c>
      <c r="B335" s="1">
        <f>DATE(2010,11,12) + TIME(23,9,35)</f>
        <v>40494.964988425927</v>
      </c>
      <c r="C335">
        <v>80</v>
      </c>
      <c r="D335">
        <v>77.597808838000006</v>
      </c>
      <c r="E335">
        <v>40</v>
      </c>
      <c r="F335">
        <v>39.478401183999999</v>
      </c>
      <c r="G335">
        <v>1326.5272216999999</v>
      </c>
      <c r="H335">
        <v>1324.3923339999999</v>
      </c>
      <c r="I335">
        <v>1347.1762695</v>
      </c>
      <c r="J335">
        <v>1341.4239502</v>
      </c>
      <c r="K335">
        <v>0</v>
      </c>
      <c r="L335">
        <v>550</v>
      </c>
      <c r="M335">
        <v>550</v>
      </c>
      <c r="N335">
        <v>0</v>
      </c>
    </row>
    <row r="336" spans="1:14" x14ac:dyDescent="0.25">
      <c r="A336">
        <v>196.78948500000001</v>
      </c>
      <c r="B336" s="1">
        <f>DATE(2010,11,13) + TIME(18,56,51)</f>
        <v>40495.789479166669</v>
      </c>
      <c r="C336">
        <v>80</v>
      </c>
      <c r="D336">
        <v>77.477508545000006</v>
      </c>
      <c r="E336">
        <v>40</v>
      </c>
      <c r="F336">
        <v>39.540309905999997</v>
      </c>
      <c r="G336">
        <v>1326.5001221</v>
      </c>
      <c r="H336">
        <v>1324.3574219</v>
      </c>
      <c r="I336">
        <v>1347.1385498</v>
      </c>
      <c r="J336">
        <v>1341.3966064000001</v>
      </c>
      <c r="K336">
        <v>0</v>
      </c>
      <c r="L336">
        <v>550</v>
      </c>
      <c r="M336">
        <v>550</v>
      </c>
      <c r="N336">
        <v>0</v>
      </c>
    </row>
    <row r="337" spans="1:14" x14ac:dyDescent="0.25">
      <c r="A337">
        <v>197.65086299999999</v>
      </c>
      <c r="B337" s="1">
        <f>DATE(2010,11,14) + TIME(15,37,14)</f>
        <v>40496.650856481479</v>
      </c>
      <c r="C337">
        <v>80</v>
      </c>
      <c r="D337">
        <v>77.353942871000001</v>
      </c>
      <c r="E337">
        <v>40</v>
      </c>
      <c r="F337">
        <v>39.592342377000001</v>
      </c>
      <c r="G337">
        <v>1326.4715576000001</v>
      </c>
      <c r="H337">
        <v>1324.3206786999999</v>
      </c>
      <c r="I337">
        <v>1347.1026611</v>
      </c>
      <c r="J337">
        <v>1341.3698730000001</v>
      </c>
      <c r="K337">
        <v>0</v>
      </c>
      <c r="L337">
        <v>550</v>
      </c>
      <c r="M337">
        <v>550</v>
      </c>
      <c r="N337">
        <v>0</v>
      </c>
    </row>
    <row r="338" spans="1:14" x14ac:dyDescent="0.25">
      <c r="A338">
        <v>198.55138500000001</v>
      </c>
      <c r="B338" s="1">
        <f>DATE(2010,11,15) + TIME(13,13,59)</f>
        <v>40497.551377314812</v>
      </c>
      <c r="C338">
        <v>80</v>
      </c>
      <c r="D338">
        <v>77.226943969999994</v>
      </c>
      <c r="E338">
        <v>40</v>
      </c>
      <c r="F338">
        <v>39.635818481000001</v>
      </c>
      <c r="G338">
        <v>1326.4416504000001</v>
      </c>
      <c r="H338">
        <v>1324.2821045000001</v>
      </c>
      <c r="I338">
        <v>1347.0684814000001</v>
      </c>
      <c r="J338">
        <v>1341.34375</v>
      </c>
      <c r="K338">
        <v>0</v>
      </c>
      <c r="L338">
        <v>550</v>
      </c>
      <c r="M338">
        <v>550</v>
      </c>
      <c r="N338">
        <v>0</v>
      </c>
    </row>
    <row r="339" spans="1:14" x14ac:dyDescent="0.25">
      <c r="A339">
        <v>199.494225</v>
      </c>
      <c r="B339" s="1">
        <f>DATE(2010,11,16) + TIME(11,51,41)</f>
        <v>40498.49422453704</v>
      </c>
      <c r="C339">
        <v>80</v>
      </c>
      <c r="D339">
        <v>77.096244811999995</v>
      </c>
      <c r="E339">
        <v>40</v>
      </c>
      <c r="F339">
        <v>39.671966552999997</v>
      </c>
      <c r="G339">
        <v>1326.4100341999999</v>
      </c>
      <c r="H339">
        <v>1324.2413329999999</v>
      </c>
      <c r="I339">
        <v>1347.0357666</v>
      </c>
      <c r="J339">
        <v>1341.3179932</v>
      </c>
      <c r="K339">
        <v>0</v>
      </c>
      <c r="L339">
        <v>550</v>
      </c>
      <c r="M339">
        <v>550</v>
      </c>
      <c r="N339">
        <v>0</v>
      </c>
    </row>
    <row r="340" spans="1:14" x14ac:dyDescent="0.25">
      <c r="A340">
        <v>200.482497</v>
      </c>
      <c r="B340" s="1">
        <f>DATE(2010,11,17) + TIME(11,34,47)</f>
        <v>40499.482488425929</v>
      </c>
      <c r="C340">
        <v>80</v>
      </c>
      <c r="D340">
        <v>76.961578368999994</v>
      </c>
      <c r="E340">
        <v>40</v>
      </c>
      <c r="F340">
        <v>39.701869965</v>
      </c>
      <c r="G340">
        <v>1326.3768310999999</v>
      </c>
      <c r="H340">
        <v>1324.1984863</v>
      </c>
      <c r="I340">
        <v>1347.0041504000001</v>
      </c>
      <c r="J340">
        <v>1341.2927245999999</v>
      </c>
      <c r="K340">
        <v>0</v>
      </c>
      <c r="L340">
        <v>550</v>
      </c>
      <c r="M340">
        <v>550</v>
      </c>
      <c r="N340">
        <v>0</v>
      </c>
    </row>
    <row r="341" spans="1:14" x14ac:dyDescent="0.25">
      <c r="A341">
        <v>201.51964699999999</v>
      </c>
      <c r="B341" s="1">
        <f>DATE(2010,11,18) + TIME(12,28,17)</f>
        <v>40500.519641203704</v>
      </c>
      <c r="C341">
        <v>80</v>
      </c>
      <c r="D341">
        <v>76.822700499999996</v>
      </c>
      <c r="E341">
        <v>40</v>
      </c>
      <c r="F341">
        <v>39.726490020999996</v>
      </c>
      <c r="G341">
        <v>1326.3417969</v>
      </c>
      <c r="H341">
        <v>1324.1530762</v>
      </c>
      <c r="I341">
        <v>1346.9736327999999</v>
      </c>
      <c r="J341">
        <v>1341.2678223</v>
      </c>
      <c r="K341">
        <v>0</v>
      </c>
      <c r="L341">
        <v>550</v>
      </c>
      <c r="M341">
        <v>550</v>
      </c>
      <c r="N341">
        <v>0</v>
      </c>
    </row>
    <row r="342" spans="1:14" x14ac:dyDescent="0.25">
      <c r="A342">
        <v>202.60948400000001</v>
      </c>
      <c r="B342" s="1">
        <f>DATE(2010,11,19) + TIME(14,37,39)</f>
        <v>40501.609479166669</v>
      </c>
      <c r="C342">
        <v>80</v>
      </c>
      <c r="D342">
        <v>76.679313660000005</v>
      </c>
      <c r="E342">
        <v>40</v>
      </c>
      <c r="F342">
        <v>39.746677398999999</v>
      </c>
      <c r="G342">
        <v>1326.3048096</v>
      </c>
      <c r="H342">
        <v>1324.1051024999999</v>
      </c>
      <c r="I342">
        <v>1346.9439697</v>
      </c>
      <c r="J342">
        <v>1341.2431641000001</v>
      </c>
      <c r="K342">
        <v>0</v>
      </c>
      <c r="L342">
        <v>550</v>
      </c>
      <c r="M342">
        <v>550</v>
      </c>
      <c r="N342">
        <v>0</v>
      </c>
    </row>
    <row r="343" spans="1:14" x14ac:dyDescent="0.25">
      <c r="A343">
        <v>203.73496599999999</v>
      </c>
      <c r="B343" s="1">
        <f>DATE(2010,11,20) + TIME(17,38,21)</f>
        <v>40502.734965277778</v>
      </c>
      <c r="C343">
        <v>80</v>
      </c>
      <c r="D343">
        <v>76.533332825000002</v>
      </c>
      <c r="E343">
        <v>40</v>
      </c>
      <c r="F343">
        <v>39.762931823999999</v>
      </c>
      <c r="G343">
        <v>1326.2658690999999</v>
      </c>
      <c r="H343">
        <v>1324.0545654</v>
      </c>
      <c r="I343">
        <v>1346.9152832</v>
      </c>
      <c r="J343">
        <v>1341.21875</v>
      </c>
      <c r="K343">
        <v>0</v>
      </c>
      <c r="L343">
        <v>550</v>
      </c>
      <c r="M343">
        <v>550</v>
      </c>
      <c r="N343">
        <v>0</v>
      </c>
    </row>
    <row r="344" spans="1:14" x14ac:dyDescent="0.25">
      <c r="A344">
        <v>204.887282</v>
      </c>
      <c r="B344" s="1">
        <f>DATE(2010,11,21) + TIME(21,17,41)</f>
        <v>40503.887280092589</v>
      </c>
      <c r="C344">
        <v>80</v>
      </c>
      <c r="D344">
        <v>76.385780334000003</v>
      </c>
      <c r="E344">
        <v>40</v>
      </c>
      <c r="F344">
        <v>39.775939940999997</v>
      </c>
      <c r="G344">
        <v>1326.2252197</v>
      </c>
      <c r="H344">
        <v>1324.0018310999999</v>
      </c>
      <c r="I344">
        <v>1346.8876952999999</v>
      </c>
      <c r="J344">
        <v>1341.1950684000001</v>
      </c>
      <c r="K344">
        <v>0</v>
      </c>
      <c r="L344">
        <v>550</v>
      </c>
      <c r="M344">
        <v>550</v>
      </c>
      <c r="N344">
        <v>0</v>
      </c>
    </row>
    <row r="345" spans="1:14" x14ac:dyDescent="0.25">
      <c r="A345">
        <v>206.06894800000001</v>
      </c>
      <c r="B345" s="1">
        <f>DATE(2010,11,23) + TIME(1,39,17)</f>
        <v>40505.06894675926</v>
      </c>
      <c r="C345">
        <v>80</v>
      </c>
      <c r="D345">
        <v>76.236511230000005</v>
      </c>
      <c r="E345">
        <v>40</v>
      </c>
      <c r="F345">
        <v>39.786399840999998</v>
      </c>
      <c r="G345">
        <v>1326.1832274999999</v>
      </c>
      <c r="H345">
        <v>1323.9473877</v>
      </c>
      <c r="I345">
        <v>1346.8613281</v>
      </c>
      <c r="J345">
        <v>1341.1721190999999</v>
      </c>
      <c r="K345">
        <v>0</v>
      </c>
      <c r="L345">
        <v>550</v>
      </c>
      <c r="M345">
        <v>550</v>
      </c>
      <c r="N345">
        <v>0</v>
      </c>
    </row>
    <row r="346" spans="1:14" x14ac:dyDescent="0.25">
      <c r="A346">
        <v>207.28217799999999</v>
      </c>
      <c r="B346" s="1">
        <f>DATE(2010,11,24) + TIME(6,46,20)</f>
        <v>40506.282175925924</v>
      </c>
      <c r="C346">
        <v>80</v>
      </c>
      <c r="D346">
        <v>76.085403442</v>
      </c>
      <c r="E346">
        <v>40</v>
      </c>
      <c r="F346">
        <v>39.794853209999999</v>
      </c>
      <c r="G346">
        <v>1326.1398925999999</v>
      </c>
      <c r="H346">
        <v>1323.8908690999999</v>
      </c>
      <c r="I346">
        <v>1346.8360596</v>
      </c>
      <c r="J346">
        <v>1341.1499022999999</v>
      </c>
      <c r="K346">
        <v>0</v>
      </c>
      <c r="L346">
        <v>550</v>
      </c>
      <c r="M346">
        <v>550</v>
      </c>
      <c r="N346">
        <v>0</v>
      </c>
    </row>
    <row r="347" spans="1:14" x14ac:dyDescent="0.25">
      <c r="A347">
        <v>208.529338</v>
      </c>
      <c r="B347" s="1">
        <f>DATE(2010,11,25) + TIME(12,42,14)</f>
        <v>40507.529328703706</v>
      </c>
      <c r="C347">
        <v>80</v>
      </c>
      <c r="D347">
        <v>75.932319641000007</v>
      </c>
      <c r="E347">
        <v>40</v>
      </c>
      <c r="F347">
        <v>39.801738739000001</v>
      </c>
      <c r="G347">
        <v>1326.0950928</v>
      </c>
      <c r="H347">
        <v>1323.8323975000001</v>
      </c>
      <c r="I347">
        <v>1346.8117675999999</v>
      </c>
      <c r="J347">
        <v>1341.1281738</v>
      </c>
      <c r="K347">
        <v>0</v>
      </c>
      <c r="L347">
        <v>550</v>
      </c>
      <c r="M347">
        <v>550</v>
      </c>
      <c r="N347">
        <v>0</v>
      </c>
    </row>
    <row r="348" spans="1:14" x14ac:dyDescent="0.25">
      <c r="A348">
        <v>209.812894</v>
      </c>
      <c r="B348" s="1">
        <f>DATE(2010,11,26) + TIME(19,30,34)</f>
        <v>40508.812893518516</v>
      </c>
      <c r="C348">
        <v>80</v>
      </c>
      <c r="D348">
        <v>75.777114867999998</v>
      </c>
      <c r="E348">
        <v>40</v>
      </c>
      <c r="F348">
        <v>39.807384491000001</v>
      </c>
      <c r="G348">
        <v>1326.0487060999999</v>
      </c>
      <c r="H348">
        <v>1323.7717285000001</v>
      </c>
      <c r="I348">
        <v>1346.7883300999999</v>
      </c>
      <c r="J348">
        <v>1341.1071777</v>
      </c>
      <c r="K348">
        <v>0</v>
      </c>
      <c r="L348">
        <v>550</v>
      </c>
      <c r="M348">
        <v>550</v>
      </c>
      <c r="N348">
        <v>0</v>
      </c>
    </row>
    <row r="349" spans="1:14" x14ac:dyDescent="0.25">
      <c r="A349">
        <v>211.13547500000001</v>
      </c>
      <c r="B349" s="1">
        <f>DATE(2010,11,28) + TIME(3,15,4)</f>
        <v>40510.135462962964</v>
      </c>
      <c r="C349">
        <v>80</v>
      </c>
      <c r="D349">
        <v>75.619621276999993</v>
      </c>
      <c r="E349">
        <v>40</v>
      </c>
      <c r="F349">
        <v>39.812061309999997</v>
      </c>
      <c r="G349">
        <v>1326.0006103999999</v>
      </c>
      <c r="H349">
        <v>1323.7087402</v>
      </c>
      <c r="I349">
        <v>1346.765625</v>
      </c>
      <c r="J349">
        <v>1341.0865478999999</v>
      </c>
      <c r="K349">
        <v>0</v>
      </c>
      <c r="L349">
        <v>550</v>
      </c>
      <c r="M349">
        <v>550</v>
      </c>
      <c r="N349">
        <v>0</v>
      </c>
    </row>
    <row r="350" spans="1:14" x14ac:dyDescent="0.25">
      <c r="A350">
        <v>212.49987999999999</v>
      </c>
      <c r="B350" s="1">
        <f>DATE(2010,11,29) + TIME(11,59,49)</f>
        <v>40511.499872685185</v>
      </c>
      <c r="C350">
        <v>80</v>
      </c>
      <c r="D350">
        <v>75.459671021000005</v>
      </c>
      <c r="E350">
        <v>40</v>
      </c>
      <c r="F350">
        <v>39.815975189</v>
      </c>
      <c r="G350">
        <v>1325.9506836</v>
      </c>
      <c r="H350">
        <v>1323.6433105000001</v>
      </c>
      <c r="I350">
        <v>1346.7435303</v>
      </c>
      <c r="J350">
        <v>1341.0664062000001</v>
      </c>
      <c r="K350">
        <v>0</v>
      </c>
      <c r="L350">
        <v>550</v>
      </c>
      <c r="M350">
        <v>550</v>
      </c>
      <c r="N350">
        <v>0</v>
      </c>
    </row>
    <row r="351" spans="1:14" x14ac:dyDescent="0.25">
      <c r="A351">
        <v>213.90911199999999</v>
      </c>
      <c r="B351" s="1">
        <f>DATE(2010,11,30) + TIME(21,49,7)</f>
        <v>40512.909108796295</v>
      </c>
      <c r="C351">
        <v>80</v>
      </c>
      <c r="D351">
        <v>75.297065735000004</v>
      </c>
      <c r="E351">
        <v>40</v>
      </c>
      <c r="F351">
        <v>39.819286345999998</v>
      </c>
      <c r="G351">
        <v>1325.8989257999999</v>
      </c>
      <c r="H351">
        <v>1323.5753173999999</v>
      </c>
      <c r="I351">
        <v>1346.7220459</v>
      </c>
      <c r="J351">
        <v>1341.0467529</v>
      </c>
      <c r="K351">
        <v>0</v>
      </c>
      <c r="L351">
        <v>550</v>
      </c>
      <c r="M351">
        <v>550</v>
      </c>
      <c r="N351">
        <v>0</v>
      </c>
    </row>
    <row r="352" spans="1:14" x14ac:dyDescent="0.25">
      <c r="A352">
        <v>214</v>
      </c>
      <c r="B352" s="1">
        <f>DATE(2010,12,1) + TIME(0,0,0)</f>
        <v>40513</v>
      </c>
      <c r="C352">
        <v>80</v>
      </c>
      <c r="D352">
        <v>75.283760071000003</v>
      </c>
      <c r="E352">
        <v>40</v>
      </c>
      <c r="F352">
        <v>39.819492339999996</v>
      </c>
      <c r="G352">
        <v>1325.8524170000001</v>
      </c>
      <c r="H352">
        <v>1323.5191649999999</v>
      </c>
      <c r="I352">
        <v>1346.7011719</v>
      </c>
      <c r="J352">
        <v>1341.0273437999999</v>
      </c>
      <c r="K352">
        <v>0</v>
      </c>
      <c r="L352">
        <v>550</v>
      </c>
      <c r="M352">
        <v>550</v>
      </c>
      <c r="N352">
        <v>0</v>
      </c>
    </row>
    <row r="353" spans="1:14" x14ac:dyDescent="0.25">
      <c r="A353">
        <v>215.457289</v>
      </c>
      <c r="B353" s="1">
        <f>DATE(2010,12,2) + TIME(10,58,29)</f>
        <v>40514.457280092596</v>
      </c>
      <c r="C353">
        <v>80</v>
      </c>
      <c r="D353">
        <v>75.119079589999998</v>
      </c>
      <c r="E353">
        <v>40</v>
      </c>
      <c r="F353">
        <v>39.822292328000003</v>
      </c>
      <c r="G353">
        <v>1325.8410644999999</v>
      </c>
      <c r="H353">
        <v>1323.4990233999999</v>
      </c>
      <c r="I353">
        <v>1346.6999512</v>
      </c>
      <c r="J353">
        <v>1341.0261230000001</v>
      </c>
      <c r="K353">
        <v>0</v>
      </c>
      <c r="L353">
        <v>550</v>
      </c>
      <c r="M353">
        <v>550</v>
      </c>
      <c r="N353">
        <v>0</v>
      </c>
    </row>
    <row r="354" spans="1:14" x14ac:dyDescent="0.25">
      <c r="A354">
        <v>216.96926199999999</v>
      </c>
      <c r="B354" s="1">
        <f>DATE(2010,12,3) + TIME(23,15,44)</f>
        <v>40515.969259259262</v>
      </c>
      <c r="C354">
        <v>80</v>
      </c>
      <c r="D354">
        <v>74.950859070000007</v>
      </c>
      <c r="E354">
        <v>40</v>
      </c>
      <c r="F354">
        <v>39.824722289999997</v>
      </c>
      <c r="G354">
        <v>1325.7851562000001</v>
      </c>
      <c r="H354">
        <v>1323.4254149999999</v>
      </c>
      <c r="I354">
        <v>1346.6796875</v>
      </c>
      <c r="J354">
        <v>1341.0072021000001</v>
      </c>
      <c r="K354">
        <v>0</v>
      </c>
      <c r="L354">
        <v>550</v>
      </c>
      <c r="M354">
        <v>550</v>
      </c>
      <c r="N354">
        <v>0</v>
      </c>
    </row>
    <row r="355" spans="1:14" x14ac:dyDescent="0.25">
      <c r="A355">
        <v>218.53624199999999</v>
      </c>
      <c r="B355" s="1">
        <f>DATE(2010,12,5) + TIME(12,52,11)</f>
        <v>40517.536238425928</v>
      </c>
      <c r="C355">
        <v>80</v>
      </c>
      <c r="D355">
        <v>74.779060364000003</v>
      </c>
      <c r="E355">
        <v>40</v>
      </c>
      <c r="F355">
        <v>39.826854705999999</v>
      </c>
      <c r="G355">
        <v>1325.7266846</v>
      </c>
      <c r="H355">
        <v>1323.3482666</v>
      </c>
      <c r="I355">
        <v>1346.6597899999999</v>
      </c>
      <c r="J355">
        <v>1340.9885254000001</v>
      </c>
      <c r="K355">
        <v>0</v>
      </c>
      <c r="L355">
        <v>550</v>
      </c>
      <c r="M355">
        <v>550</v>
      </c>
      <c r="N355">
        <v>0</v>
      </c>
    </row>
    <row r="356" spans="1:14" x14ac:dyDescent="0.25">
      <c r="A356">
        <v>220.16272799999999</v>
      </c>
      <c r="B356" s="1">
        <f>DATE(2010,12,7) + TIME(3,54,19)</f>
        <v>40519.162719907406</v>
      </c>
      <c r="C356">
        <v>80</v>
      </c>
      <c r="D356">
        <v>74.603469849000007</v>
      </c>
      <c r="E356">
        <v>40</v>
      </c>
      <c r="F356">
        <v>39.82875061</v>
      </c>
      <c r="G356">
        <v>1325.6657714999999</v>
      </c>
      <c r="H356">
        <v>1323.2677002</v>
      </c>
      <c r="I356">
        <v>1346.6402588000001</v>
      </c>
      <c r="J356">
        <v>1340.9702147999999</v>
      </c>
      <c r="K356">
        <v>0</v>
      </c>
      <c r="L356">
        <v>550</v>
      </c>
      <c r="M356">
        <v>550</v>
      </c>
      <c r="N356">
        <v>0</v>
      </c>
    </row>
    <row r="357" spans="1:14" x14ac:dyDescent="0.25">
      <c r="A357">
        <v>221.853195</v>
      </c>
      <c r="B357" s="1">
        <f>DATE(2010,12,8) + TIME(20,28,36)</f>
        <v>40520.853194444448</v>
      </c>
      <c r="C357">
        <v>80</v>
      </c>
      <c r="D357">
        <v>74.423767089999998</v>
      </c>
      <c r="E357">
        <v>40</v>
      </c>
      <c r="F357">
        <v>39.830451965000002</v>
      </c>
      <c r="G357">
        <v>1325.6020507999999</v>
      </c>
      <c r="H357">
        <v>1323.1833495999999</v>
      </c>
      <c r="I357">
        <v>1346.6212158000001</v>
      </c>
      <c r="J357">
        <v>1340.9520264</v>
      </c>
      <c r="K357">
        <v>0</v>
      </c>
      <c r="L357">
        <v>550</v>
      </c>
      <c r="M357">
        <v>550</v>
      </c>
      <c r="N357">
        <v>0</v>
      </c>
    </row>
    <row r="358" spans="1:14" x14ac:dyDescent="0.25">
      <c r="A358">
        <v>223.58259899999999</v>
      </c>
      <c r="B358" s="1">
        <f>DATE(2010,12,10) + TIME(13,58,56)</f>
        <v>40522.582592592589</v>
      </c>
      <c r="C358">
        <v>80</v>
      </c>
      <c r="D358">
        <v>74.241859435999999</v>
      </c>
      <c r="E358">
        <v>40</v>
      </c>
      <c r="F358">
        <v>39.831977844000001</v>
      </c>
      <c r="G358">
        <v>1325.5355225000001</v>
      </c>
      <c r="H358">
        <v>1323.0952147999999</v>
      </c>
      <c r="I358">
        <v>1346.6024170000001</v>
      </c>
      <c r="J358">
        <v>1340.9342041</v>
      </c>
      <c r="K358">
        <v>0</v>
      </c>
      <c r="L358">
        <v>550</v>
      </c>
      <c r="M358">
        <v>550</v>
      </c>
      <c r="N358">
        <v>0</v>
      </c>
    </row>
    <row r="359" spans="1:14" x14ac:dyDescent="0.25">
      <c r="A359">
        <v>225.35242500000001</v>
      </c>
      <c r="B359" s="1">
        <f>DATE(2010,12,12) + TIME(8,27,29)</f>
        <v>40524.352418981478</v>
      </c>
      <c r="C359">
        <v>80</v>
      </c>
      <c r="D359">
        <v>74.057746886999993</v>
      </c>
      <c r="E359">
        <v>40</v>
      </c>
      <c r="F359">
        <v>39.833351135000001</v>
      </c>
      <c r="G359">
        <v>1325.4667969</v>
      </c>
      <c r="H359">
        <v>1323.0040283000001</v>
      </c>
      <c r="I359">
        <v>1346.5842285000001</v>
      </c>
      <c r="J359">
        <v>1340.9167480000001</v>
      </c>
      <c r="K359">
        <v>0</v>
      </c>
      <c r="L359">
        <v>550</v>
      </c>
      <c r="M359">
        <v>550</v>
      </c>
      <c r="N359">
        <v>0</v>
      </c>
    </row>
    <row r="360" spans="1:14" x14ac:dyDescent="0.25">
      <c r="A360">
        <v>227.166088</v>
      </c>
      <c r="B360" s="1">
        <f>DATE(2010,12,14) + TIME(3,59,10)</f>
        <v>40526.166087962964</v>
      </c>
      <c r="C360">
        <v>80</v>
      </c>
      <c r="D360">
        <v>73.871231078999998</v>
      </c>
      <c r="E360">
        <v>40</v>
      </c>
      <c r="F360">
        <v>39.834609985</v>
      </c>
      <c r="G360">
        <v>1325.3959961</v>
      </c>
      <c r="H360">
        <v>1322.9097899999999</v>
      </c>
      <c r="I360">
        <v>1346.5667725000001</v>
      </c>
      <c r="J360">
        <v>1340.8997803</v>
      </c>
      <c r="K360">
        <v>0</v>
      </c>
      <c r="L360">
        <v>550</v>
      </c>
      <c r="M360">
        <v>550</v>
      </c>
      <c r="N360">
        <v>0</v>
      </c>
    </row>
    <row r="361" spans="1:14" x14ac:dyDescent="0.25">
      <c r="A361">
        <v>229.02716699999999</v>
      </c>
      <c r="B361" s="1">
        <f>DATE(2010,12,16) + TIME(0,39,7)</f>
        <v>40528.02716435185</v>
      </c>
      <c r="C361">
        <v>80</v>
      </c>
      <c r="D361">
        <v>73.682037354000002</v>
      </c>
      <c r="E361">
        <v>40</v>
      </c>
      <c r="F361">
        <v>39.835765838999997</v>
      </c>
      <c r="G361">
        <v>1325.3229980000001</v>
      </c>
      <c r="H361">
        <v>1322.8123779</v>
      </c>
      <c r="I361">
        <v>1346.5496826000001</v>
      </c>
      <c r="J361">
        <v>1340.8833007999999</v>
      </c>
      <c r="K361">
        <v>0</v>
      </c>
      <c r="L361">
        <v>550</v>
      </c>
      <c r="M361">
        <v>550</v>
      </c>
      <c r="N361">
        <v>0</v>
      </c>
    </row>
    <row r="362" spans="1:14" x14ac:dyDescent="0.25">
      <c r="A362">
        <v>230.939402</v>
      </c>
      <c r="B362" s="1">
        <f>DATE(2010,12,17) + TIME(22,32,44)</f>
        <v>40529.939398148148</v>
      </c>
      <c r="C362">
        <v>80</v>
      </c>
      <c r="D362">
        <v>73.489822387999993</v>
      </c>
      <c r="E362">
        <v>40</v>
      </c>
      <c r="F362">
        <v>39.836845398000001</v>
      </c>
      <c r="G362">
        <v>1325.2475586</v>
      </c>
      <c r="H362">
        <v>1322.7115478999999</v>
      </c>
      <c r="I362">
        <v>1346.5332031</v>
      </c>
      <c r="J362">
        <v>1340.8671875</v>
      </c>
      <c r="K362">
        <v>0</v>
      </c>
      <c r="L362">
        <v>550</v>
      </c>
      <c r="M362">
        <v>550</v>
      </c>
      <c r="N362">
        <v>0</v>
      </c>
    </row>
    <row r="363" spans="1:14" x14ac:dyDescent="0.25">
      <c r="A363">
        <v>232.90673699999999</v>
      </c>
      <c r="B363" s="1">
        <f>DATE(2010,12,19) + TIME(21,45,42)</f>
        <v>40531.906736111108</v>
      </c>
      <c r="C363">
        <v>80</v>
      </c>
      <c r="D363">
        <v>73.294197083</v>
      </c>
      <c r="E363">
        <v>40</v>
      </c>
      <c r="F363">
        <v>39.837860106999997</v>
      </c>
      <c r="G363">
        <v>1325.1695557</v>
      </c>
      <c r="H363">
        <v>1322.6071777</v>
      </c>
      <c r="I363">
        <v>1346.5170897999999</v>
      </c>
      <c r="J363">
        <v>1340.8514404</v>
      </c>
      <c r="K363">
        <v>0</v>
      </c>
      <c r="L363">
        <v>550</v>
      </c>
      <c r="M363">
        <v>550</v>
      </c>
      <c r="N363">
        <v>0</v>
      </c>
    </row>
    <row r="364" spans="1:14" x14ac:dyDescent="0.25">
      <c r="A364">
        <v>234.93337299999999</v>
      </c>
      <c r="B364" s="1">
        <f>DATE(2010,12,21) + TIME(22,24,3)</f>
        <v>40533.933368055557</v>
      </c>
      <c r="C364">
        <v>80</v>
      </c>
      <c r="D364">
        <v>73.094673157000003</v>
      </c>
      <c r="E364">
        <v>40</v>
      </c>
      <c r="F364">
        <v>39.838821410999998</v>
      </c>
      <c r="G364">
        <v>1325.0888672000001</v>
      </c>
      <c r="H364">
        <v>1322.4990233999999</v>
      </c>
      <c r="I364">
        <v>1346.5013428</v>
      </c>
      <c r="J364">
        <v>1340.8359375</v>
      </c>
      <c r="K364">
        <v>0</v>
      </c>
      <c r="L364">
        <v>550</v>
      </c>
      <c r="M364">
        <v>550</v>
      </c>
      <c r="N364">
        <v>0</v>
      </c>
    </row>
    <row r="365" spans="1:14" x14ac:dyDescent="0.25">
      <c r="A365">
        <v>237.02134100000001</v>
      </c>
      <c r="B365" s="1">
        <f>DATE(2010,12,24) + TIME(0,30,43)</f>
        <v>40536.021331018521</v>
      </c>
      <c r="C365">
        <v>80</v>
      </c>
      <c r="D365">
        <v>72.890876770000006</v>
      </c>
      <c r="E365">
        <v>40</v>
      </c>
      <c r="F365">
        <v>39.839736938000001</v>
      </c>
      <c r="G365">
        <v>1325.0053711</v>
      </c>
      <c r="H365">
        <v>1322.3867187999999</v>
      </c>
      <c r="I365">
        <v>1346.4860839999999</v>
      </c>
      <c r="J365">
        <v>1340.8208007999999</v>
      </c>
      <c r="K365">
        <v>0</v>
      </c>
      <c r="L365">
        <v>550</v>
      </c>
      <c r="M365">
        <v>550</v>
      </c>
      <c r="N365">
        <v>0</v>
      </c>
    </row>
    <row r="366" spans="1:14" x14ac:dyDescent="0.25">
      <c r="A366">
        <v>239.16113799999999</v>
      </c>
      <c r="B366" s="1">
        <f>DATE(2010,12,26) + TIME(3,52,2)</f>
        <v>40538.161134259259</v>
      </c>
      <c r="C366">
        <v>80</v>
      </c>
      <c r="D366">
        <v>72.683120728000006</v>
      </c>
      <c r="E366">
        <v>40</v>
      </c>
      <c r="F366">
        <v>39.840610503999997</v>
      </c>
      <c r="G366">
        <v>1324.9189452999999</v>
      </c>
      <c r="H366">
        <v>1322.2703856999999</v>
      </c>
      <c r="I366">
        <v>1346.4710693</v>
      </c>
      <c r="J366">
        <v>1340.8060303</v>
      </c>
      <c r="K366">
        <v>0</v>
      </c>
      <c r="L366">
        <v>550</v>
      </c>
      <c r="M366">
        <v>550</v>
      </c>
      <c r="N366">
        <v>0</v>
      </c>
    </row>
    <row r="367" spans="1:14" x14ac:dyDescent="0.25">
      <c r="A367">
        <v>241.357213</v>
      </c>
      <c r="B367" s="1">
        <f>DATE(2010,12,28) + TIME(8,34,23)</f>
        <v>40540.357210648152</v>
      </c>
      <c r="C367">
        <v>80</v>
      </c>
      <c r="D367">
        <v>72.470893860000004</v>
      </c>
      <c r="E367">
        <v>40</v>
      </c>
      <c r="F367">
        <v>39.841453551999997</v>
      </c>
      <c r="G367">
        <v>1324.8298339999999</v>
      </c>
      <c r="H367">
        <v>1322.1501464999999</v>
      </c>
      <c r="I367">
        <v>1346.456543</v>
      </c>
      <c r="J367">
        <v>1340.7915039</v>
      </c>
      <c r="K367">
        <v>0</v>
      </c>
      <c r="L367">
        <v>550</v>
      </c>
      <c r="M367">
        <v>550</v>
      </c>
      <c r="N367">
        <v>0</v>
      </c>
    </row>
    <row r="368" spans="1:14" x14ac:dyDescent="0.25">
      <c r="A368">
        <v>243.601799</v>
      </c>
      <c r="B368" s="1">
        <f>DATE(2010,12,30) + TIME(14,26,35)</f>
        <v>40542.601793981485</v>
      </c>
      <c r="C368">
        <v>80</v>
      </c>
      <c r="D368">
        <v>72.254325867000006</v>
      </c>
      <c r="E368">
        <v>40</v>
      </c>
      <c r="F368">
        <v>39.842262267999999</v>
      </c>
      <c r="G368">
        <v>1324.7380370999999</v>
      </c>
      <c r="H368">
        <v>1322.026001</v>
      </c>
      <c r="I368">
        <v>1346.4423827999999</v>
      </c>
      <c r="J368">
        <v>1340.7773437999999</v>
      </c>
      <c r="K368">
        <v>0</v>
      </c>
      <c r="L368">
        <v>550</v>
      </c>
      <c r="M368">
        <v>550</v>
      </c>
      <c r="N368">
        <v>0</v>
      </c>
    </row>
    <row r="369" spans="1:14" x14ac:dyDescent="0.25">
      <c r="A369">
        <v>245</v>
      </c>
      <c r="B369" s="1">
        <f>DATE(2011,1,1) + TIME(0,0,0)</f>
        <v>40544</v>
      </c>
      <c r="C369">
        <v>80</v>
      </c>
      <c r="D369">
        <v>72.097801208000007</v>
      </c>
      <c r="E369">
        <v>40</v>
      </c>
      <c r="F369">
        <v>39.842746734999999</v>
      </c>
      <c r="G369">
        <v>1324.6474608999999</v>
      </c>
      <c r="H369">
        <v>1321.90625</v>
      </c>
      <c r="I369">
        <v>1346.4281006000001</v>
      </c>
      <c r="J369">
        <v>1340.7633057</v>
      </c>
      <c r="K369">
        <v>0</v>
      </c>
      <c r="L369">
        <v>550</v>
      </c>
      <c r="M369">
        <v>550</v>
      </c>
      <c r="N369">
        <v>0</v>
      </c>
    </row>
    <row r="370" spans="1:14" x14ac:dyDescent="0.25">
      <c r="A370">
        <v>247.27606700000001</v>
      </c>
      <c r="B370" s="1">
        <f>DATE(2011,1,3) + TIME(6,37,32)</f>
        <v>40546.276064814818</v>
      </c>
      <c r="C370">
        <v>80</v>
      </c>
      <c r="D370">
        <v>71.884002686000002</v>
      </c>
      <c r="E370">
        <v>40</v>
      </c>
      <c r="F370">
        <v>39.843505858999997</v>
      </c>
      <c r="G370">
        <v>1324.5803223</v>
      </c>
      <c r="H370">
        <v>1321.8106689000001</v>
      </c>
      <c r="I370">
        <v>1346.4204102000001</v>
      </c>
      <c r="J370">
        <v>1340.755249</v>
      </c>
      <c r="K370">
        <v>0</v>
      </c>
      <c r="L370">
        <v>550</v>
      </c>
      <c r="M370">
        <v>550</v>
      </c>
      <c r="N370">
        <v>0</v>
      </c>
    </row>
    <row r="371" spans="1:14" x14ac:dyDescent="0.25">
      <c r="A371">
        <v>249.61399499999999</v>
      </c>
      <c r="B371" s="1">
        <f>DATE(2011,1,5) + TIME(14,44,9)</f>
        <v>40548.613993055558</v>
      </c>
      <c r="C371">
        <v>80</v>
      </c>
      <c r="D371">
        <v>71.662055968999994</v>
      </c>
      <c r="E371">
        <v>40</v>
      </c>
      <c r="F371">
        <v>39.844253539999997</v>
      </c>
      <c r="G371">
        <v>1324.4853516000001</v>
      </c>
      <c r="H371">
        <v>1321.6818848</v>
      </c>
      <c r="I371">
        <v>1346.4074707</v>
      </c>
      <c r="J371">
        <v>1340.7423096</v>
      </c>
      <c r="K371">
        <v>0</v>
      </c>
      <c r="L371">
        <v>550</v>
      </c>
      <c r="M371">
        <v>550</v>
      </c>
      <c r="N371">
        <v>0</v>
      </c>
    </row>
    <row r="372" spans="1:14" x14ac:dyDescent="0.25">
      <c r="A372">
        <v>251.99474900000001</v>
      </c>
      <c r="B372" s="1">
        <f>DATE(2011,1,7) + TIME(23,52,26)</f>
        <v>40550.994745370372</v>
      </c>
      <c r="C372">
        <v>80</v>
      </c>
      <c r="D372">
        <v>71.433143615999995</v>
      </c>
      <c r="E372">
        <v>40</v>
      </c>
      <c r="F372">
        <v>39.844982147000003</v>
      </c>
      <c r="G372">
        <v>1324.3870850000001</v>
      </c>
      <c r="H372">
        <v>1321.5480957</v>
      </c>
      <c r="I372">
        <v>1346.3947754000001</v>
      </c>
      <c r="J372">
        <v>1340.7296143000001</v>
      </c>
      <c r="K372">
        <v>0</v>
      </c>
      <c r="L372">
        <v>550</v>
      </c>
      <c r="M372">
        <v>550</v>
      </c>
      <c r="N372">
        <v>0</v>
      </c>
    </row>
    <row r="373" spans="1:14" x14ac:dyDescent="0.25">
      <c r="A373">
        <v>254.42326700000001</v>
      </c>
      <c r="B373" s="1">
        <f>DATE(2011,1,10) + TIME(10,9,30)</f>
        <v>40553.423263888886</v>
      </c>
      <c r="C373">
        <v>80</v>
      </c>
      <c r="D373">
        <v>71.197029114000003</v>
      </c>
      <c r="E373">
        <v>40</v>
      </c>
      <c r="F373">
        <v>39.845699310000001</v>
      </c>
      <c r="G373">
        <v>1324.2861327999999</v>
      </c>
      <c r="H373">
        <v>1321.4102783000001</v>
      </c>
      <c r="I373">
        <v>1346.3824463000001</v>
      </c>
      <c r="J373">
        <v>1340.7172852000001</v>
      </c>
      <c r="K373">
        <v>0</v>
      </c>
      <c r="L373">
        <v>550</v>
      </c>
      <c r="M373">
        <v>550</v>
      </c>
      <c r="N373">
        <v>0</v>
      </c>
    </row>
    <row r="374" spans="1:14" x14ac:dyDescent="0.25">
      <c r="A374">
        <v>256.90410600000001</v>
      </c>
      <c r="B374" s="1">
        <f>DATE(2011,1,12) + TIME(21,41,54)</f>
        <v>40555.904097222221</v>
      </c>
      <c r="C374">
        <v>80</v>
      </c>
      <c r="D374">
        <v>70.953201293999996</v>
      </c>
      <c r="E374">
        <v>40</v>
      </c>
      <c r="F374">
        <v>39.846412659000002</v>
      </c>
      <c r="G374">
        <v>1324.1827393000001</v>
      </c>
      <c r="H374">
        <v>1321.2685547000001</v>
      </c>
      <c r="I374">
        <v>1346.3704834</v>
      </c>
      <c r="J374">
        <v>1340.7053223</v>
      </c>
      <c r="K374">
        <v>0</v>
      </c>
      <c r="L374">
        <v>550</v>
      </c>
      <c r="M374">
        <v>550</v>
      </c>
      <c r="N374">
        <v>0</v>
      </c>
    </row>
    <row r="375" spans="1:14" x14ac:dyDescent="0.25">
      <c r="A375">
        <v>259.44121699999999</v>
      </c>
      <c r="B375" s="1">
        <f>DATE(2011,1,15) + TIME(10,35,21)</f>
        <v>40558.44121527778</v>
      </c>
      <c r="C375">
        <v>80</v>
      </c>
      <c r="D375">
        <v>70.700935364000003</v>
      </c>
      <c r="E375">
        <v>40</v>
      </c>
      <c r="F375">
        <v>39.847118377999998</v>
      </c>
      <c r="G375">
        <v>1324.0766602000001</v>
      </c>
      <c r="H375">
        <v>1321.1228027</v>
      </c>
      <c r="I375">
        <v>1346.3587646000001</v>
      </c>
      <c r="J375">
        <v>1340.6936035000001</v>
      </c>
      <c r="K375">
        <v>0</v>
      </c>
      <c r="L375">
        <v>550</v>
      </c>
      <c r="M375">
        <v>550</v>
      </c>
      <c r="N375">
        <v>0</v>
      </c>
    </row>
    <row r="376" spans="1:14" x14ac:dyDescent="0.25">
      <c r="A376">
        <v>262.00956600000001</v>
      </c>
      <c r="B376" s="1">
        <f>DATE(2011,1,18) + TIME(0,13,46)</f>
        <v>40561.009560185186</v>
      </c>
      <c r="C376">
        <v>80</v>
      </c>
      <c r="D376">
        <v>70.441108704000001</v>
      </c>
      <c r="E376">
        <v>40</v>
      </c>
      <c r="F376">
        <v>39.847812652999998</v>
      </c>
      <c r="G376">
        <v>1323.9681396000001</v>
      </c>
      <c r="H376">
        <v>1320.9732666</v>
      </c>
      <c r="I376">
        <v>1346.3472899999999</v>
      </c>
      <c r="J376">
        <v>1340.6821289</v>
      </c>
      <c r="K376">
        <v>0</v>
      </c>
      <c r="L376">
        <v>550</v>
      </c>
      <c r="M376">
        <v>550</v>
      </c>
      <c r="N376">
        <v>0</v>
      </c>
    </row>
    <row r="377" spans="1:14" x14ac:dyDescent="0.25">
      <c r="A377">
        <v>264.61461600000001</v>
      </c>
      <c r="B377" s="1">
        <f>DATE(2011,1,20) + TIME(14,45,2)</f>
        <v>40563.614606481482</v>
      </c>
      <c r="C377">
        <v>80</v>
      </c>
      <c r="D377">
        <v>70.173149108999993</v>
      </c>
      <c r="E377">
        <v>40</v>
      </c>
      <c r="F377">
        <v>39.848503113</v>
      </c>
      <c r="G377">
        <v>1323.8579102000001</v>
      </c>
      <c r="H377">
        <v>1320.8209228999999</v>
      </c>
      <c r="I377">
        <v>1346.3361815999999</v>
      </c>
      <c r="J377">
        <v>1340.6711425999999</v>
      </c>
      <c r="K377">
        <v>0</v>
      </c>
      <c r="L377">
        <v>550</v>
      </c>
      <c r="M377">
        <v>550</v>
      </c>
      <c r="N377">
        <v>0</v>
      </c>
    </row>
    <row r="378" spans="1:14" x14ac:dyDescent="0.25">
      <c r="A378">
        <v>267.26154100000002</v>
      </c>
      <c r="B378" s="1">
        <f>DATE(2011,1,23) + TIME(6,16,37)</f>
        <v>40566.26153935185</v>
      </c>
      <c r="C378">
        <v>80</v>
      </c>
      <c r="D378">
        <v>69.896095275999997</v>
      </c>
      <c r="E378">
        <v>40</v>
      </c>
      <c r="F378">
        <v>39.849185943999998</v>
      </c>
      <c r="G378">
        <v>1323.7459716999999</v>
      </c>
      <c r="H378">
        <v>1320.6656493999999</v>
      </c>
      <c r="I378">
        <v>1346.3253173999999</v>
      </c>
      <c r="J378">
        <v>1340.6602783000001</v>
      </c>
      <c r="K378">
        <v>0</v>
      </c>
      <c r="L378">
        <v>550</v>
      </c>
      <c r="M378">
        <v>550</v>
      </c>
      <c r="N378">
        <v>0</v>
      </c>
    </row>
    <row r="379" spans="1:14" x14ac:dyDescent="0.25">
      <c r="A379">
        <v>269.95556499999998</v>
      </c>
      <c r="B379" s="1">
        <f>DATE(2011,1,25) + TIME(22,56,0)</f>
        <v>40568.955555555556</v>
      </c>
      <c r="C379">
        <v>80</v>
      </c>
      <c r="D379">
        <v>69.608772278000004</v>
      </c>
      <c r="E379">
        <v>40</v>
      </c>
      <c r="F379">
        <v>39.849868774000001</v>
      </c>
      <c r="G379">
        <v>1323.6323242000001</v>
      </c>
      <c r="H379">
        <v>1320.5074463000001</v>
      </c>
      <c r="I379">
        <v>1346.3146973</v>
      </c>
      <c r="J379">
        <v>1340.6499022999999</v>
      </c>
      <c r="K379">
        <v>0</v>
      </c>
      <c r="L379">
        <v>550</v>
      </c>
      <c r="M379">
        <v>550</v>
      </c>
      <c r="N379">
        <v>0</v>
      </c>
    </row>
    <row r="380" spans="1:14" x14ac:dyDescent="0.25">
      <c r="A380">
        <v>272.702133</v>
      </c>
      <c r="B380" s="1">
        <f>DATE(2011,1,28) + TIME(16,51,4)</f>
        <v>40571.70212962963</v>
      </c>
      <c r="C380">
        <v>80</v>
      </c>
      <c r="D380">
        <v>69.310112000000004</v>
      </c>
      <c r="E380">
        <v>40</v>
      </c>
      <c r="F380">
        <v>39.850551605</v>
      </c>
      <c r="G380">
        <v>1323.5167236</v>
      </c>
      <c r="H380">
        <v>1320.3459473</v>
      </c>
      <c r="I380">
        <v>1346.3041992000001</v>
      </c>
      <c r="J380">
        <v>1340.6396483999999</v>
      </c>
      <c r="K380">
        <v>0</v>
      </c>
      <c r="L380">
        <v>550</v>
      </c>
      <c r="M380">
        <v>550</v>
      </c>
      <c r="N380">
        <v>0</v>
      </c>
    </row>
    <row r="381" spans="1:14" x14ac:dyDescent="0.25">
      <c r="A381">
        <v>275.50100800000001</v>
      </c>
      <c r="B381" s="1">
        <f>DATE(2011,1,31) + TIME(12,1,27)</f>
        <v>40574.501006944447</v>
      </c>
      <c r="C381">
        <v>80</v>
      </c>
      <c r="D381">
        <v>68.999168396000002</v>
      </c>
      <c r="E381">
        <v>40</v>
      </c>
      <c r="F381">
        <v>39.851230620999999</v>
      </c>
      <c r="G381">
        <v>1323.3990478999999</v>
      </c>
      <c r="H381">
        <v>1320.1812743999999</v>
      </c>
      <c r="I381">
        <v>1346.2940673999999</v>
      </c>
      <c r="J381">
        <v>1340.6296387</v>
      </c>
      <c r="K381">
        <v>0</v>
      </c>
      <c r="L381">
        <v>550</v>
      </c>
      <c r="M381">
        <v>550</v>
      </c>
      <c r="N381">
        <v>0</v>
      </c>
    </row>
    <row r="382" spans="1:14" x14ac:dyDescent="0.25">
      <c r="A382">
        <v>276</v>
      </c>
      <c r="B382" s="1">
        <f>DATE(2011,2,1) + TIME(0,0,0)</f>
        <v>40575</v>
      </c>
      <c r="C382">
        <v>80</v>
      </c>
      <c r="D382">
        <v>68.910728454999997</v>
      </c>
      <c r="E382">
        <v>40</v>
      </c>
      <c r="F382">
        <v>39.851348877</v>
      </c>
      <c r="G382">
        <v>1323.2913818</v>
      </c>
      <c r="H382">
        <v>1320.0428466999999</v>
      </c>
      <c r="I382">
        <v>1346.2828368999999</v>
      </c>
      <c r="J382">
        <v>1340.6192627</v>
      </c>
      <c r="K382">
        <v>0</v>
      </c>
      <c r="L382">
        <v>550</v>
      </c>
      <c r="M382">
        <v>550</v>
      </c>
      <c r="N382">
        <v>0</v>
      </c>
    </row>
    <row r="383" spans="1:14" x14ac:dyDescent="0.25">
      <c r="A383">
        <v>278.83277199999998</v>
      </c>
      <c r="B383" s="1">
        <f>DATE(2011,2,3) + TIME(19,59,11)</f>
        <v>40577.832766203705</v>
      </c>
      <c r="C383">
        <v>80</v>
      </c>
      <c r="D383">
        <v>68.599647521999998</v>
      </c>
      <c r="E383">
        <v>40</v>
      </c>
      <c r="F383">
        <v>39.852027892999999</v>
      </c>
      <c r="G383">
        <v>1323.2530518000001</v>
      </c>
      <c r="H383">
        <v>1319.9742432</v>
      </c>
      <c r="I383">
        <v>1346.2822266000001</v>
      </c>
      <c r="J383">
        <v>1340.6181641000001</v>
      </c>
      <c r="K383">
        <v>0</v>
      </c>
      <c r="L383">
        <v>550</v>
      </c>
      <c r="M383">
        <v>550</v>
      </c>
      <c r="N383">
        <v>0</v>
      </c>
    </row>
    <row r="384" spans="1:14" x14ac:dyDescent="0.25">
      <c r="A384">
        <v>281.71396199999998</v>
      </c>
      <c r="B384" s="1">
        <f>DATE(2011,2,6) + TIME(17,8,6)</f>
        <v>40580.713958333334</v>
      </c>
      <c r="C384">
        <v>80</v>
      </c>
      <c r="D384">
        <v>68.269378661999994</v>
      </c>
      <c r="E384">
        <v>40</v>
      </c>
      <c r="F384">
        <v>39.852703093999999</v>
      </c>
      <c r="G384">
        <v>1323.1347656</v>
      </c>
      <c r="H384">
        <v>1319.8082274999999</v>
      </c>
      <c r="I384">
        <v>1346.2723389</v>
      </c>
      <c r="J384">
        <v>1340.6087646000001</v>
      </c>
      <c r="K384">
        <v>0</v>
      </c>
      <c r="L384">
        <v>550</v>
      </c>
      <c r="M384">
        <v>550</v>
      </c>
      <c r="N384">
        <v>0</v>
      </c>
    </row>
    <row r="385" spans="1:14" x14ac:dyDescent="0.25">
      <c r="A385">
        <v>284.64287300000001</v>
      </c>
      <c r="B385" s="1">
        <f>DATE(2011,2,9) + TIME(15,25,44)</f>
        <v>40583.642870370371</v>
      </c>
      <c r="C385">
        <v>80</v>
      </c>
      <c r="D385">
        <v>67.921501160000005</v>
      </c>
      <c r="E385">
        <v>40</v>
      </c>
      <c r="F385">
        <v>39.853378296000002</v>
      </c>
      <c r="G385">
        <v>1323.0139160000001</v>
      </c>
      <c r="H385">
        <v>1319.6374512</v>
      </c>
      <c r="I385">
        <v>1346.2625731999999</v>
      </c>
      <c r="J385">
        <v>1340.5996094</v>
      </c>
      <c r="K385">
        <v>0</v>
      </c>
      <c r="L385">
        <v>550</v>
      </c>
      <c r="M385">
        <v>550</v>
      </c>
      <c r="N385">
        <v>0</v>
      </c>
    </row>
    <row r="386" spans="1:14" x14ac:dyDescent="0.25">
      <c r="A386">
        <v>287.62602600000002</v>
      </c>
      <c r="B386" s="1">
        <f>DATE(2011,2,12) + TIME(15,1,28)</f>
        <v>40586.626018518517</v>
      </c>
      <c r="C386">
        <v>80</v>
      </c>
      <c r="D386">
        <v>67.556243895999998</v>
      </c>
      <c r="E386">
        <v>40</v>
      </c>
      <c r="F386">
        <v>39.854053497000002</v>
      </c>
      <c r="G386">
        <v>1322.8909911999999</v>
      </c>
      <c r="H386">
        <v>1319.4631348</v>
      </c>
      <c r="I386">
        <v>1346.2530518000001</v>
      </c>
      <c r="J386">
        <v>1340.5905762</v>
      </c>
      <c r="K386">
        <v>0</v>
      </c>
      <c r="L386">
        <v>550</v>
      </c>
      <c r="M386">
        <v>550</v>
      </c>
      <c r="N386">
        <v>0</v>
      </c>
    </row>
    <row r="387" spans="1:14" x14ac:dyDescent="0.25">
      <c r="A387">
        <v>290.66794599999997</v>
      </c>
      <c r="B387" s="1">
        <f>DATE(2011,2,15) + TIME(16,1,50)</f>
        <v>40589.667939814812</v>
      </c>
      <c r="C387">
        <v>80</v>
      </c>
      <c r="D387">
        <v>67.173202515</v>
      </c>
      <c r="E387">
        <v>40</v>
      </c>
      <c r="F387">
        <v>39.854728698999999</v>
      </c>
      <c r="G387">
        <v>1322.7662353999999</v>
      </c>
      <c r="H387">
        <v>1319.2852783000001</v>
      </c>
      <c r="I387">
        <v>1346.2435303</v>
      </c>
      <c r="J387">
        <v>1340.5817870999999</v>
      </c>
      <c r="K387">
        <v>0</v>
      </c>
      <c r="L387">
        <v>550</v>
      </c>
      <c r="M387">
        <v>550</v>
      </c>
      <c r="N387">
        <v>0</v>
      </c>
    </row>
    <row r="388" spans="1:14" x14ac:dyDescent="0.25">
      <c r="A388">
        <v>293.746621</v>
      </c>
      <c r="B388" s="1">
        <f>DATE(2011,2,18) + TIME(17,55,8)</f>
        <v>40592.746620370373</v>
      </c>
      <c r="C388">
        <v>80</v>
      </c>
      <c r="D388">
        <v>66.7734375</v>
      </c>
      <c r="E388">
        <v>40</v>
      </c>
      <c r="F388">
        <v>39.855403899999999</v>
      </c>
      <c r="G388">
        <v>1322.6398925999999</v>
      </c>
      <c r="H388">
        <v>1319.1044922000001</v>
      </c>
      <c r="I388">
        <v>1346.2340088000001</v>
      </c>
      <c r="J388">
        <v>1340.5729980000001</v>
      </c>
      <c r="K388">
        <v>0</v>
      </c>
      <c r="L388">
        <v>550</v>
      </c>
      <c r="M388">
        <v>550</v>
      </c>
      <c r="N388">
        <v>0</v>
      </c>
    </row>
    <row r="389" spans="1:14" x14ac:dyDescent="0.25">
      <c r="A389">
        <v>296.86988600000001</v>
      </c>
      <c r="B389" s="1">
        <f>DATE(2011,2,21) + TIME(20,52,38)</f>
        <v>40595.869884259257</v>
      </c>
      <c r="C389">
        <v>80</v>
      </c>
      <c r="D389">
        <v>66.356681824000006</v>
      </c>
      <c r="E389">
        <v>40</v>
      </c>
      <c r="F389">
        <v>39.856079102000002</v>
      </c>
      <c r="G389">
        <v>1322.5126952999999</v>
      </c>
      <c r="H389">
        <v>1318.9216309000001</v>
      </c>
      <c r="I389">
        <v>1346.2247314000001</v>
      </c>
      <c r="J389">
        <v>1340.5645752</v>
      </c>
      <c r="K389">
        <v>0</v>
      </c>
      <c r="L389">
        <v>550</v>
      </c>
      <c r="M389">
        <v>550</v>
      </c>
      <c r="N389">
        <v>0</v>
      </c>
    </row>
    <row r="390" spans="1:14" x14ac:dyDescent="0.25">
      <c r="A390">
        <v>300.04547700000001</v>
      </c>
      <c r="B390" s="1">
        <f>DATE(2011,2,25) + TIME(1,5,29)</f>
        <v>40599.045474537037</v>
      </c>
      <c r="C390">
        <v>80</v>
      </c>
      <c r="D390">
        <v>65.922119140999996</v>
      </c>
      <c r="E390">
        <v>40</v>
      </c>
      <c r="F390">
        <v>39.856754303000002</v>
      </c>
      <c r="G390">
        <v>1322.3847656</v>
      </c>
      <c r="H390">
        <v>1318.7366943</v>
      </c>
      <c r="I390">
        <v>1346.215332</v>
      </c>
      <c r="J390">
        <v>1340.5561522999999</v>
      </c>
      <c r="K390">
        <v>0</v>
      </c>
      <c r="L390">
        <v>550</v>
      </c>
      <c r="M390">
        <v>550</v>
      </c>
      <c r="N390">
        <v>0</v>
      </c>
    </row>
    <row r="391" spans="1:14" x14ac:dyDescent="0.25">
      <c r="A391">
        <v>303.28142800000001</v>
      </c>
      <c r="B391" s="1">
        <f>DATE(2011,2,28) + TIME(6,45,15)</f>
        <v>40602.281423611108</v>
      </c>
      <c r="C391">
        <v>80</v>
      </c>
      <c r="D391">
        <v>65.468681334999999</v>
      </c>
      <c r="E391">
        <v>40</v>
      </c>
      <c r="F391">
        <v>39.857429504000002</v>
      </c>
      <c r="G391">
        <v>1322.2558594</v>
      </c>
      <c r="H391">
        <v>1318.5496826000001</v>
      </c>
      <c r="I391">
        <v>1346.2061768000001</v>
      </c>
      <c r="J391">
        <v>1340.5479736</v>
      </c>
      <c r="K391">
        <v>0</v>
      </c>
      <c r="L391">
        <v>550</v>
      </c>
      <c r="M391">
        <v>550</v>
      </c>
      <c r="N391">
        <v>0</v>
      </c>
    </row>
    <row r="392" spans="1:14" x14ac:dyDescent="0.25">
      <c r="A392">
        <v>304</v>
      </c>
      <c r="B392" s="1">
        <f>DATE(2011,3,1) + TIME(0,0,0)</f>
        <v>40603</v>
      </c>
      <c r="C392">
        <v>80</v>
      </c>
      <c r="D392">
        <v>65.300758361999996</v>
      </c>
      <c r="E392">
        <v>40</v>
      </c>
      <c r="F392">
        <v>39.857574462999999</v>
      </c>
      <c r="G392">
        <v>1322.1354980000001</v>
      </c>
      <c r="H392">
        <v>1318.3925781</v>
      </c>
      <c r="I392">
        <v>1346.1959228999999</v>
      </c>
      <c r="J392">
        <v>1340.5391846</v>
      </c>
      <c r="K392">
        <v>0</v>
      </c>
      <c r="L392">
        <v>550</v>
      </c>
      <c r="M392">
        <v>550</v>
      </c>
      <c r="N392">
        <v>0</v>
      </c>
    </row>
    <row r="393" spans="1:14" x14ac:dyDescent="0.25">
      <c r="A393">
        <v>307.30234000000002</v>
      </c>
      <c r="B393" s="1">
        <f>DATE(2011,3,4) + TIME(7,15,22)</f>
        <v>40606.302337962959</v>
      </c>
      <c r="C393">
        <v>80</v>
      </c>
      <c r="D393">
        <v>64.856010436999995</v>
      </c>
      <c r="E393">
        <v>40</v>
      </c>
      <c r="F393">
        <v>39.858257293999998</v>
      </c>
      <c r="G393">
        <v>1322.090332</v>
      </c>
      <c r="H393">
        <v>1318.3052978999999</v>
      </c>
      <c r="I393">
        <v>1346.1948242000001</v>
      </c>
      <c r="J393">
        <v>1340.5379639</v>
      </c>
      <c r="K393">
        <v>0</v>
      </c>
      <c r="L393">
        <v>550</v>
      </c>
      <c r="M393">
        <v>550</v>
      </c>
      <c r="N393">
        <v>0</v>
      </c>
    </row>
    <row r="394" spans="1:14" x14ac:dyDescent="0.25">
      <c r="A394">
        <v>310.65610700000002</v>
      </c>
      <c r="B394" s="1">
        <f>DATE(2011,3,7) + TIME(15,44,47)</f>
        <v>40609.656099537038</v>
      </c>
      <c r="C394">
        <v>80</v>
      </c>
      <c r="D394">
        <v>64.376487732000001</v>
      </c>
      <c r="E394">
        <v>40</v>
      </c>
      <c r="F394">
        <v>39.858936309999997</v>
      </c>
      <c r="G394">
        <v>1321.9632568</v>
      </c>
      <c r="H394">
        <v>1318.1207274999999</v>
      </c>
      <c r="I394">
        <v>1346.1855469</v>
      </c>
      <c r="J394">
        <v>1340.5300293</v>
      </c>
      <c r="K394">
        <v>0</v>
      </c>
      <c r="L394">
        <v>550</v>
      </c>
      <c r="M394">
        <v>550</v>
      </c>
      <c r="N394">
        <v>0</v>
      </c>
    </row>
    <row r="395" spans="1:14" x14ac:dyDescent="0.25">
      <c r="A395">
        <v>314.06429400000002</v>
      </c>
      <c r="B395" s="1">
        <f>DATE(2011,3,11) + TIME(1,32,34)</f>
        <v>40613.064282407409</v>
      </c>
      <c r="C395">
        <v>80</v>
      </c>
      <c r="D395">
        <v>63.869728088000002</v>
      </c>
      <c r="E395">
        <v>40</v>
      </c>
      <c r="F395">
        <v>39.859611510999997</v>
      </c>
      <c r="G395">
        <v>1321.8341064000001</v>
      </c>
      <c r="H395">
        <v>1317.9313964999999</v>
      </c>
      <c r="I395">
        <v>1346.1761475000001</v>
      </c>
      <c r="J395">
        <v>1340.5220947</v>
      </c>
      <c r="K395">
        <v>0</v>
      </c>
      <c r="L395">
        <v>550</v>
      </c>
      <c r="M395">
        <v>550</v>
      </c>
      <c r="N395">
        <v>0</v>
      </c>
    </row>
    <row r="396" spans="1:14" x14ac:dyDescent="0.25">
      <c r="A396">
        <v>317.53603199999998</v>
      </c>
      <c r="B396" s="1">
        <f>DATE(2011,3,14) + TIME(12,51,53)</f>
        <v>40616.536030092589</v>
      </c>
      <c r="C396">
        <v>80</v>
      </c>
      <c r="D396">
        <v>63.339115143000001</v>
      </c>
      <c r="E396">
        <v>40</v>
      </c>
      <c r="F396">
        <v>39.860290526999997</v>
      </c>
      <c r="G396">
        <v>1321.7037353999999</v>
      </c>
      <c r="H396">
        <v>1317.7388916</v>
      </c>
      <c r="I396">
        <v>1346.1668701000001</v>
      </c>
      <c r="J396">
        <v>1340.5141602000001</v>
      </c>
      <c r="K396">
        <v>0</v>
      </c>
      <c r="L396">
        <v>550</v>
      </c>
      <c r="M396">
        <v>550</v>
      </c>
      <c r="N396">
        <v>0</v>
      </c>
    </row>
    <row r="397" spans="1:14" x14ac:dyDescent="0.25">
      <c r="A397">
        <v>321.08118999999999</v>
      </c>
      <c r="B397" s="1">
        <f>DATE(2011,3,18) + TIME(1,56,54)</f>
        <v>40620.081180555557</v>
      </c>
      <c r="C397">
        <v>80</v>
      </c>
      <c r="D397">
        <v>62.785739898999999</v>
      </c>
      <c r="E397">
        <v>40</v>
      </c>
      <c r="F397">
        <v>39.860977173000002</v>
      </c>
      <c r="G397">
        <v>1321.5726318</v>
      </c>
      <c r="H397">
        <v>1317.5441894999999</v>
      </c>
      <c r="I397">
        <v>1346.1573486</v>
      </c>
      <c r="J397">
        <v>1340.5063477000001</v>
      </c>
      <c r="K397">
        <v>0</v>
      </c>
      <c r="L397">
        <v>550</v>
      </c>
      <c r="M397">
        <v>550</v>
      </c>
      <c r="N397">
        <v>0</v>
      </c>
    </row>
    <row r="398" spans="1:14" x14ac:dyDescent="0.25">
      <c r="A398">
        <v>324.68688200000003</v>
      </c>
      <c r="B398" s="1">
        <f>DATE(2011,3,21) + TIME(16,29,6)</f>
        <v>40623.686874999999</v>
      </c>
      <c r="C398">
        <v>80</v>
      </c>
      <c r="D398">
        <v>62.211269379000001</v>
      </c>
      <c r="E398">
        <v>40</v>
      </c>
      <c r="F398">
        <v>39.861660004000001</v>
      </c>
      <c r="G398">
        <v>1321.440918</v>
      </c>
      <c r="H398">
        <v>1317.3475341999999</v>
      </c>
      <c r="I398">
        <v>1346.1478271000001</v>
      </c>
      <c r="J398">
        <v>1340.4985352000001</v>
      </c>
      <c r="K398">
        <v>0</v>
      </c>
      <c r="L398">
        <v>550</v>
      </c>
      <c r="M398">
        <v>550</v>
      </c>
      <c r="N398">
        <v>0</v>
      </c>
    </row>
    <row r="399" spans="1:14" x14ac:dyDescent="0.25">
      <c r="A399">
        <v>328.34316100000001</v>
      </c>
      <c r="B399" s="1">
        <f>DATE(2011,3,25) + TIME(8,14,9)</f>
        <v>40627.343159722222</v>
      </c>
      <c r="C399">
        <v>80</v>
      </c>
      <c r="D399">
        <v>61.617786406999997</v>
      </c>
      <c r="E399">
        <v>40</v>
      </c>
      <c r="F399">
        <v>39.862342834000003</v>
      </c>
      <c r="G399">
        <v>1321.3092041</v>
      </c>
      <c r="H399">
        <v>1317.1497803</v>
      </c>
      <c r="I399">
        <v>1346.1381836</v>
      </c>
      <c r="J399">
        <v>1340.4907227000001</v>
      </c>
      <c r="K399">
        <v>0</v>
      </c>
      <c r="L399">
        <v>550</v>
      </c>
      <c r="M399">
        <v>550</v>
      </c>
      <c r="N399">
        <v>0</v>
      </c>
    </row>
    <row r="400" spans="1:14" x14ac:dyDescent="0.25">
      <c r="A400">
        <v>332.06147900000002</v>
      </c>
      <c r="B400" s="1">
        <f>DATE(2011,3,29) + TIME(1,28,31)</f>
        <v>40631.061469907407</v>
      </c>
      <c r="C400">
        <v>80</v>
      </c>
      <c r="D400">
        <v>61.005832671999997</v>
      </c>
      <c r="E400">
        <v>40</v>
      </c>
      <c r="F400">
        <v>39.863025665000002</v>
      </c>
      <c r="G400">
        <v>1321.1781006000001</v>
      </c>
      <c r="H400">
        <v>1316.9516602000001</v>
      </c>
      <c r="I400">
        <v>1346.128418</v>
      </c>
      <c r="J400">
        <v>1340.4829102000001</v>
      </c>
      <c r="K400">
        <v>0</v>
      </c>
      <c r="L400">
        <v>550</v>
      </c>
      <c r="M400">
        <v>550</v>
      </c>
      <c r="N400">
        <v>0</v>
      </c>
    </row>
    <row r="401" spans="1:14" x14ac:dyDescent="0.25">
      <c r="A401">
        <v>335</v>
      </c>
      <c r="B401" s="1">
        <f>DATE(2011,4,1) + TIME(0,0,0)</f>
        <v>40634</v>
      </c>
      <c r="C401">
        <v>80</v>
      </c>
      <c r="D401">
        <v>60.448829650999997</v>
      </c>
      <c r="E401">
        <v>40</v>
      </c>
      <c r="F401">
        <v>39.863555908000002</v>
      </c>
      <c r="G401">
        <v>1321.0488281</v>
      </c>
      <c r="H401">
        <v>1316.7602539</v>
      </c>
      <c r="I401">
        <v>1346.1184082</v>
      </c>
      <c r="J401">
        <v>1340.4748535000001</v>
      </c>
      <c r="K401">
        <v>0</v>
      </c>
      <c r="L401">
        <v>550</v>
      </c>
      <c r="M401">
        <v>550</v>
      </c>
      <c r="N401">
        <v>0</v>
      </c>
    </row>
    <row r="402" spans="1:14" x14ac:dyDescent="0.25">
      <c r="A402">
        <v>338.79207100000002</v>
      </c>
      <c r="B402" s="1">
        <f>DATE(2011,4,4) + TIME(19,0,34)</f>
        <v>40637.792060185187</v>
      </c>
      <c r="C402">
        <v>80</v>
      </c>
      <c r="D402">
        <v>59.844951629999997</v>
      </c>
      <c r="E402">
        <v>40</v>
      </c>
      <c r="F402">
        <v>39.864238739000001</v>
      </c>
      <c r="G402">
        <v>1320.9418945</v>
      </c>
      <c r="H402">
        <v>1316.5894774999999</v>
      </c>
      <c r="I402">
        <v>1346.1108397999999</v>
      </c>
      <c r="J402">
        <v>1340.4688721</v>
      </c>
      <c r="K402">
        <v>0</v>
      </c>
      <c r="L402">
        <v>550</v>
      </c>
      <c r="M402">
        <v>550</v>
      </c>
      <c r="N402">
        <v>0</v>
      </c>
    </row>
    <row r="403" spans="1:14" x14ac:dyDescent="0.25">
      <c r="A403">
        <v>342.721789</v>
      </c>
      <c r="B403" s="1">
        <f>DATE(2011,4,8) + TIME(17,19,22)</f>
        <v>40641.721782407411</v>
      </c>
      <c r="C403">
        <v>80</v>
      </c>
      <c r="D403">
        <v>59.200534820999998</v>
      </c>
      <c r="E403">
        <v>40</v>
      </c>
      <c r="F403">
        <v>39.864929199000002</v>
      </c>
      <c r="G403">
        <v>1320.8164062000001</v>
      </c>
      <c r="H403">
        <v>1316.3977050999999</v>
      </c>
      <c r="I403">
        <v>1346.1008300999999</v>
      </c>
      <c r="J403">
        <v>1340.4610596</v>
      </c>
      <c r="K403">
        <v>0</v>
      </c>
      <c r="L403">
        <v>550</v>
      </c>
      <c r="M403">
        <v>550</v>
      </c>
      <c r="N403">
        <v>0</v>
      </c>
    </row>
    <row r="404" spans="1:14" x14ac:dyDescent="0.25">
      <c r="A404">
        <v>346.70757500000002</v>
      </c>
      <c r="B404" s="1">
        <f>DATE(2011,4,12) + TIME(16,58,54)</f>
        <v>40645.707569444443</v>
      </c>
      <c r="C404">
        <v>80</v>
      </c>
      <c r="D404">
        <v>58.528678894000002</v>
      </c>
      <c r="E404">
        <v>40</v>
      </c>
      <c r="F404">
        <v>39.865623474000003</v>
      </c>
      <c r="G404">
        <v>1320.6888428</v>
      </c>
      <c r="H404">
        <v>1316.2017822</v>
      </c>
      <c r="I404">
        <v>1346.0904541</v>
      </c>
      <c r="J404">
        <v>1340.4530029</v>
      </c>
      <c r="K404">
        <v>0</v>
      </c>
      <c r="L404">
        <v>550</v>
      </c>
      <c r="M404">
        <v>550</v>
      </c>
      <c r="N404">
        <v>0</v>
      </c>
    </row>
    <row r="405" spans="1:14" x14ac:dyDescent="0.25">
      <c r="A405">
        <v>350.76281299999999</v>
      </c>
      <c r="B405" s="1">
        <f>DATE(2011,4,16) + TIME(18,18,27)</f>
        <v>40649.762812499997</v>
      </c>
      <c r="C405">
        <v>80</v>
      </c>
      <c r="D405">
        <v>57.836902618000003</v>
      </c>
      <c r="E405">
        <v>40</v>
      </c>
      <c r="F405">
        <v>39.866313933999997</v>
      </c>
      <c r="G405">
        <v>1320.5621338000001</v>
      </c>
      <c r="H405">
        <v>1316.0050048999999</v>
      </c>
      <c r="I405">
        <v>1346.0799560999999</v>
      </c>
      <c r="J405">
        <v>1340.4448242000001</v>
      </c>
      <c r="K405">
        <v>0</v>
      </c>
      <c r="L405">
        <v>550</v>
      </c>
      <c r="M405">
        <v>550</v>
      </c>
      <c r="N405">
        <v>0</v>
      </c>
    </row>
    <row r="406" spans="1:14" x14ac:dyDescent="0.25">
      <c r="A406">
        <v>354.90101499999997</v>
      </c>
      <c r="B406" s="1">
        <f>DATE(2011,4,20) + TIME(21,37,27)</f>
        <v>40653.901006944441</v>
      </c>
      <c r="C406">
        <v>80</v>
      </c>
      <c r="D406">
        <v>57.128112793</v>
      </c>
      <c r="E406">
        <v>40</v>
      </c>
      <c r="F406">
        <v>39.867012023999997</v>
      </c>
      <c r="G406">
        <v>1320.4364014</v>
      </c>
      <c r="H406">
        <v>1315.8085937999999</v>
      </c>
      <c r="I406">
        <v>1346.0692139</v>
      </c>
      <c r="J406">
        <v>1340.4366454999999</v>
      </c>
      <c r="K406">
        <v>0</v>
      </c>
      <c r="L406">
        <v>550</v>
      </c>
      <c r="M406">
        <v>550</v>
      </c>
      <c r="N406">
        <v>0</v>
      </c>
    </row>
    <row r="407" spans="1:14" x14ac:dyDescent="0.25">
      <c r="A407">
        <v>359.13708300000002</v>
      </c>
      <c r="B407" s="1">
        <f>DATE(2011,4,25) + TIME(3,17,23)</f>
        <v>40658.137071759258</v>
      </c>
      <c r="C407">
        <v>80</v>
      </c>
      <c r="D407">
        <v>56.403133392000001</v>
      </c>
      <c r="E407">
        <v>40</v>
      </c>
      <c r="F407">
        <v>39.867710113999998</v>
      </c>
      <c r="G407">
        <v>1320.3120117000001</v>
      </c>
      <c r="H407">
        <v>1315.6125488</v>
      </c>
      <c r="I407">
        <v>1346.0583495999999</v>
      </c>
      <c r="J407">
        <v>1340.4283447</v>
      </c>
      <c r="K407">
        <v>0</v>
      </c>
      <c r="L407">
        <v>550</v>
      </c>
      <c r="M407">
        <v>550</v>
      </c>
      <c r="N407">
        <v>0</v>
      </c>
    </row>
    <row r="408" spans="1:14" x14ac:dyDescent="0.25">
      <c r="A408">
        <v>363.48745300000002</v>
      </c>
      <c r="B408" s="1">
        <f>DATE(2011,4,29) + TIME(11,41,55)</f>
        <v>40662.487442129626</v>
      </c>
      <c r="C408">
        <v>80</v>
      </c>
      <c r="D408">
        <v>55.661674499999997</v>
      </c>
      <c r="E408">
        <v>40</v>
      </c>
      <c r="F408">
        <v>39.868419647000003</v>
      </c>
      <c r="G408">
        <v>1320.1887207</v>
      </c>
      <c r="H408">
        <v>1315.4171143000001</v>
      </c>
      <c r="I408">
        <v>1346.0471190999999</v>
      </c>
      <c r="J408">
        <v>1340.4197998</v>
      </c>
      <c r="K408">
        <v>0</v>
      </c>
      <c r="L408">
        <v>550</v>
      </c>
      <c r="M408">
        <v>550</v>
      </c>
      <c r="N408">
        <v>0</v>
      </c>
    </row>
    <row r="409" spans="1:14" x14ac:dyDescent="0.25">
      <c r="A409">
        <v>365</v>
      </c>
      <c r="B409" s="1">
        <f>DATE(2011,5,1) + TIME(0,0,0)</f>
        <v>40664</v>
      </c>
      <c r="C409">
        <v>80</v>
      </c>
      <c r="D409">
        <v>55.239067077999998</v>
      </c>
      <c r="E409">
        <v>40</v>
      </c>
      <c r="F409">
        <v>39.868652343999997</v>
      </c>
      <c r="G409">
        <v>1320.067749</v>
      </c>
      <c r="H409">
        <v>1315.2498779</v>
      </c>
      <c r="I409">
        <v>1346.0351562000001</v>
      </c>
      <c r="J409">
        <v>1340.4105225000001</v>
      </c>
      <c r="K409">
        <v>0</v>
      </c>
      <c r="L409">
        <v>550</v>
      </c>
      <c r="M409">
        <v>550</v>
      </c>
      <c r="N409">
        <v>0</v>
      </c>
    </row>
    <row r="410" spans="1:14" x14ac:dyDescent="0.25">
      <c r="A410">
        <v>365.000001</v>
      </c>
      <c r="B410" s="1">
        <f>DATE(2011,5,1) + TIME(0,0,0)</f>
        <v>40664</v>
      </c>
      <c r="C410">
        <v>80</v>
      </c>
      <c r="D410">
        <v>55.239109038999999</v>
      </c>
      <c r="E410">
        <v>40</v>
      </c>
      <c r="F410">
        <v>39.868625641000001</v>
      </c>
      <c r="G410">
        <v>1326.1322021000001</v>
      </c>
      <c r="H410">
        <v>1320.3312988</v>
      </c>
      <c r="I410">
        <v>1340.2103271000001</v>
      </c>
      <c r="J410">
        <v>1335.3901367000001</v>
      </c>
      <c r="K410">
        <v>550</v>
      </c>
      <c r="L410">
        <v>0</v>
      </c>
      <c r="M410">
        <v>0</v>
      </c>
      <c r="N410">
        <v>550</v>
      </c>
    </row>
    <row r="411" spans="1:14" x14ac:dyDescent="0.25">
      <c r="A411">
        <v>365.00000399999999</v>
      </c>
      <c r="B411" s="1">
        <f>DATE(2011,5,1) + TIME(0,0,0)</f>
        <v>40664</v>
      </c>
      <c r="C411">
        <v>80</v>
      </c>
      <c r="D411">
        <v>55.239227294999999</v>
      </c>
      <c r="E411">
        <v>40</v>
      </c>
      <c r="F411">
        <v>39.868560791</v>
      </c>
      <c r="G411">
        <v>1326.7017822</v>
      </c>
      <c r="H411">
        <v>1321.0203856999999</v>
      </c>
      <c r="I411">
        <v>1339.6667480000001</v>
      </c>
      <c r="J411">
        <v>1334.8457031</v>
      </c>
      <c r="K411">
        <v>550</v>
      </c>
      <c r="L411">
        <v>0</v>
      </c>
      <c r="M411">
        <v>0</v>
      </c>
      <c r="N411">
        <v>550</v>
      </c>
    </row>
    <row r="412" spans="1:14" x14ac:dyDescent="0.25">
      <c r="A412">
        <v>365.00001300000002</v>
      </c>
      <c r="B412" s="1">
        <f>DATE(2011,5,1) + TIME(0,0,1)</f>
        <v>40664.000011574077</v>
      </c>
      <c r="C412">
        <v>80</v>
      </c>
      <c r="D412">
        <v>55.239501953000001</v>
      </c>
      <c r="E412">
        <v>40</v>
      </c>
      <c r="F412">
        <v>39.868408203000001</v>
      </c>
      <c r="G412">
        <v>1328.0146483999999</v>
      </c>
      <c r="H412">
        <v>1322.5115966999999</v>
      </c>
      <c r="I412">
        <v>1338.4003906</v>
      </c>
      <c r="J412">
        <v>1333.578125</v>
      </c>
      <c r="K412">
        <v>550</v>
      </c>
      <c r="L412">
        <v>0</v>
      </c>
      <c r="M412">
        <v>0</v>
      </c>
      <c r="N412">
        <v>550</v>
      </c>
    </row>
    <row r="413" spans="1:14" x14ac:dyDescent="0.25">
      <c r="A413">
        <v>365.00004000000001</v>
      </c>
      <c r="B413" s="1">
        <f>DATE(2011,5,1) + TIME(0,0,3)</f>
        <v>40664.000034722223</v>
      </c>
      <c r="C413">
        <v>80</v>
      </c>
      <c r="D413">
        <v>55.240058898999997</v>
      </c>
      <c r="E413">
        <v>40</v>
      </c>
      <c r="F413">
        <v>39.868141174000002</v>
      </c>
      <c r="G413">
        <v>1330.3188477000001</v>
      </c>
      <c r="H413">
        <v>1324.9158935999999</v>
      </c>
      <c r="I413">
        <v>1336.1632079999999</v>
      </c>
      <c r="J413">
        <v>1331.3411865</v>
      </c>
      <c r="K413">
        <v>550</v>
      </c>
      <c r="L413">
        <v>0</v>
      </c>
      <c r="M413">
        <v>0</v>
      </c>
      <c r="N413">
        <v>550</v>
      </c>
    </row>
    <row r="414" spans="1:14" x14ac:dyDescent="0.25">
      <c r="A414">
        <v>365.00012099999998</v>
      </c>
      <c r="B414" s="1">
        <f>DATE(2011,5,1) + TIME(0,0,10)</f>
        <v>40664.000115740739</v>
      </c>
      <c r="C414">
        <v>80</v>
      </c>
      <c r="D414">
        <v>55.241176605</v>
      </c>
      <c r="E414">
        <v>40</v>
      </c>
      <c r="F414">
        <v>39.867790221999996</v>
      </c>
      <c r="G414">
        <v>1333.2897949000001</v>
      </c>
      <c r="H414">
        <v>1327.8428954999999</v>
      </c>
      <c r="I414">
        <v>1333.2965088000001</v>
      </c>
      <c r="J414">
        <v>1328.4808350000001</v>
      </c>
      <c r="K414">
        <v>550</v>
      </c>
      <c r="L414">
        <v>0</v>
      </c>
      <c r="M414">
        <v>0</v>
      </c>
      <c r="N414">
        <v>550</v>
      </c>
    </row>
    <row r="415" spans="1:14" x14ac:dyDescent="0.25">
      <c r="A415">
        <v>365.00036399999999</v>
      </c>
      <c r="B415" s="1">
        <f>DATE(2011,5,1) + TIME(0,0,31)</f>
        <v>40664.000358796293</v>
      </c>
      <c r="C415">
        <v>80</v>
      </c>
      <c r="D415">
        <v>55.243839264000002</v>
      </c>
      <c r="E415">
        <v>40</v>
      </c>
      <c r="F415">
        <v>39.867397308000001</v>
      </c>
      <c r="G415">
        <v>1336.4882812000001</v>
      </c>
      <c r="H415">
        <v>1330.9649658000001</v>
      </c>
      <c r="I415">
        <v>1330.2761230000001</v>
      </c>
      <c r="J415">
        <v>1325.4672852000001</v>
      </c>
      <c r="K415">
        <v>550</v>
      </c>
      <c r="L415">
        <v>0</v>
      </c>
      <c r="M415">
        <v>0</v>
      </c>
      <c r="N415">
        <v>550</v>
      </c>
    </row>
    <row r="416" spans="1:14" x14ac:dyDescent="0.25">
      <c r="A416">
        <v>365.00109300000003</v>
      </c>
      <c r="B416" s="1">
        <f>DATE(2011,5,1) + TIME(0,1,34)</f>
        <v>40664.001087962963</v>
      </c>
      <c r="C416">
        <v>80</v>
      </c>
      <c r="D416">
        <v>55.251098632999998</v>
      </c>
      <c r="E416">
        <v>40</v>
      </c>
      <c r="F416">
        <v>39.866935730000002</v>
      </c>
      <c r="G416">
        <v>1339.786499</v>
      </c>
      <c r="H416">
        <v>1334.2111815999999</v>
      </c>
      <c r="I416">
        <v>1327.2178954999999</v>
      </c>
      <c r="J416">
        <v>1322.3920897999999</v>
      </c>
      <c r="K416">
        <v>550</v>
      </c>
      <c r="L416">
        <v>0</v>
      </c>
      <c r="M416">
        <v>0</v>
      </c>
      <c r="N416">
        <v>550</v>
      </c>
    </row>
    <row r="417" spans="1:14" x14ac:dyDescent="0.25">
      <c r="A417">
        <v>365.00328000000002</v>
      </c>
      <c r="B417" s="1">
        <f>DATE(2011,5,1) + TIME(0,4,43)</f>
        <v>40664.003275462965</v>
      </c>
      <c r="C417">
        <v>80</v>
      </c>
      <c r="D417">
        <v>55.272064209</v>
      </c>
      <c r="E417">
        <v>40</v>
      </c>
      <c r="F417">
        <v>39.866294861</v>
      </c>
      <c r="G417">
        <v>1342.8748779</v>
      </c>
      <c r="H417">
        <v>1337.2845459</v>
      </c>
      <c r="I417">
        <v>1324.3388672000001</v>
      </c>
      <c r="J417">
        <v>1319.4509277</v>
      </c>
      <c r="K417">
        <v>550</v>
      </c>
      <c r="L417">
        <v>0</v>
      </c>
      <c r="M417">
        <v>0</v>
      </c>
      <c r="N417">
        <v>550</v>
      </c>
    </row>
    <row r="418" spans="1:14" x14ac:dyDescent="0.25">
      <c r="A418">
        <v>365.00984099999999</v>
      </c>
      <c r="B418" s="1">
        <f>DATE(2011,5,1) + TIME(0,14,10)</f>
        <v>40664.009837962964</v>
      </c>
      <c r="C418">
        <v>80</v>
      </c>
      <c r="D418">
        <v>55.333793640000003</v>
      </c>
      <c r="E418">
        <v>40</v>
      </c>
      <c r="F418">
        <v>39.865146637000002</v>
      </c>
      <c r="G418">
        <v>1345.1412353999999</v>
      </c>
      <c r="H418">
        <v>1339.5661620999999</v>
      </c>
      <c r="I418">
        <v>1322.1922606999999</v>
      </c>
      <c r="J418">
        <v>1317.2305908000001</v>
      </c>
      <c r="K418">
        <v>550</v>
      </c>
      <c r="L418">
        <v>0</v>
      </c>
      <c r="M418">
        <v>0</v>
      </c>
      <c r="N418">
        <v>550</v>
      </c>
    </row>
    <row r="419" spans="1:14" x14ac:dyDescent="0.25">
      <c r="A419">
        <v>365.02952399999998</v>
      </c>
      <c r="B419" s="1">
        <f>DATE(2011,5,1) + TIME(0,42,30)</f>
        <v>40664.029513888891</v>
      </c>
      <c r="C419">
        <v>80</v>
      </c>
      <c r="D419">
        <v>55.516620635999999</v>
      </c>
      <c r="E419">
        <v>40</v>
      </c>
      <c r="F419">
        <v>39.862331390000001</v>
      </c>
      <c r="G419">
        <v>1346.3569336</v>
      </c>
      <c r="H419">
        <v>1340.8059082</v>
      </c>
      <c r="I419">
        <v>1321.0279541</v>
      </c>
      <c r="J419">
        <v>1316.0270995999999</v>
      </c>
      <c r="K419">
        <v>550</v>
      </c>
      <c r="L419">
        <v>0</v>
      </c>
      <c r="M419">
        <v>0</v>
      </c>
      <c r="N419">
        <v>550</v>
      </c>
    </row>
    <row r="420" spans="1:14" x14ac:dyDescent="0.25">
      <c r="A420">
        <v>365.088573</v>
      </c>
      <c r="B420" s="1">
        <f>DATE(2011,5,1) + TIME(2,7,32)</f>
        <v>40664.088564814818</v>
      </c>
      <c r="C420">
        <v>80</v>
      </c>
      <c r="D420">
        <v>56.052360534999998</v>
      </c>
      <c r="E420">
        <v>40</v>
      </c>
      <c r="F420">
        <v>39.854354858000001</v>
      </c>
      <c r="G420">
        <v>1346.7932129000001</v>
      </c>
      <c r="H420">
        <v>1341.2904053</v>
      </c>
      <c r="I420">
        <v>1320.6214600000001</v>
      </c>
      <c r="J420">
        <v>1315.609375</v>
      </c>
      <c r="K420">
        <v>550</v>
      </c>
      <c r="L420">
        <v>0</v>
      </c>
      <c r="M420">
        <v>0</v>
      </c>
      <c r="N420">
        <v>550</v>
      </c>
    </row>
    <row r="421" spans="1:14" x14ac:dyDescent="0.25">
      <c r="A421">
        <v>365.18090899999999</v>
      </c>
      <c r="B421" s="1">
        <f>DATE(2011,5,1) + TIME(4,20,30)</f>
        <v>40664.180902777778</v>
      </c>
      <c r="C421">
        <v>80</v>
      </c>
      <c r="D421">
        <v>56.862731934000003</v>
      </c>
      <c r="E421">
        <v>40</v>
      </c>
      <c r="F421">
        <v>39.842121124000002</v>
      </c>
      <c r="G421">
        <v>1346.8337402</v>
      </c>
      <c r="H421">
        <v>1341.3914795000001</v>
      </c>
      <c r="I421">
        <v>1320.5689697</v>
      </c>
      <c r="J421">
        <v>1315.5545654</v>
      </c>
      <c r="K421">
        <v>550</v>
      </c>
      <c r="L421">
        <v>0</v>
      </c>
      <c r="M421">
        <v>0</v>
      </c>
      <c r="N421">
        <v>550</v>
      </c>
    </row>
    <row r="422" spans="1:14" x14ac:dyDescent="0.25">
      <c r="A422">
        <v>365.275083</v>
      </c>
      <c r="B422" s="1">
        <f>DATE(2011,5,1) + TIME(6,36,7)</f>
        <v>40664.275081018517</v>
      </c>
      <c r="C422">
        <v>80</v>
      </c>
      <c r="D422">
        <v>57.663352965999998</v>
      </c>
      <c r="E422">
        <v>40</v>
      </c>
      <c r="F422">
        <v>39.829761505</v>
      </c>
      <c r="G422">
        <v>1346.8039550999999</v>
      </c>
      <c r="H422">
        <v>1341.4094238</v>
      </c>
      <c r="I422">
        <v>1320.5708007999999</v>
      </c>
      <c r="J422">
        <v>1315.5552978999999</v>
      </c>
      <c r="K422">
        <v>550</v>
      </c>
      <c r="L422">
        <v>0</v>
      </c>
      <c r="M422">
        <v>0</v>
      </c>
      <c r="N422">
        <v>550</v>
      </c>
    </row>
    <row r="423" spans="1:14" x14ac:dyDescent="0.25">
      <c r="A423">
        <v>365.37124899999998</v>
      </c>
      <c r="B423" s="1">
        <f>DATE(2011,5,1) + TIME(8,54,35)</f>
        <v>40664.371238425927</v>
      </c>
      <c r="C423">
        <v>80</v>
      </c>
      <c r="D423">
        <v>58.454711914000001</v>
      </c>
      <c r="E423">
        <v>40</v>
      </c>
      <c r="F423">
        <v>39.817249298</v>
      </c>
      <c r="G423">
        <v>1346.7576904</v>
      </c>
      <c r="H423">
        <v>1341.4084473</v>
      </c>
      <c r="I423">
        <v>1320.574707</v>
      </c>
      <c r="J423">
        <v>1315.5581055</v>
      </c>
      <c r="K423">
        <v>550</v>
      </c>
      <c r="L423">
        <v>0</v>
      </c>
      <c r="M423">
        <v>0</v>
      </c>
      <c r="N423">
        <v>550</v>
      </c>
    </row>
    <row r="424" spans="1:14" x14ac:dyDescent="0.25">
      <c r="A424">
        <v>365.46950700000002</v>
      </c>
      <c r="B424" s="1">
        <f>DATE(2011,5,1) + TIME(11,16,5)</f>
        <v>40664.469502314816</v>
      </c>
      <c r="C424">
        <v>80</v>
      </c>
      <c r="D424">
        <v>59.236728667999998</v>
      </c>
      <c r="E424">
        <v>40</v>
      </c>
      <c r="F424">
        <v>39.804576873999999</v>
      </c>
      <c r="G424">
        <v>1346.7105713000001</v>
      </c>
      <c r="H424">
        <v>1341.4041748</v>
      </c>
      <c r="I424">
        <v>1320.5769043</v>
      </c>
      <c r="J424">
        <v>1315.5592041</v>
      </c>
      <c r="K424">
        <v>550</v>
      </c>
      <c r="L424">
        <v>0</v>
      </c>
      <c r="M424">
        <v>0</v>
      </c>
      <c r="N424">
        <v>550</v>
      </c>
    </row>
    <row r="425" spans="1:14" x14ac:dyDescent="0.25">
      <c r="A425">
        <v>365.56995999999998</v>
      </c>
      <c r="B425" s="1">
        <f>DATE(2011,5,1) + TIME(13,40,44)</f>
        <v>40664.569953703707</v>
      </c>
      <c r="C425">
        <v>80</v>
      </c>
      <c r="D425">
        <v>60.009300232000001</v>
      </c>
      <c r="E425">
        <v>40</v>
      </c>
      <c r="F425">
        <v>39.791736602999997</v>
      </c>
      <c r="G425">
        <v>1346.6662598</v>
      </c>
      <c r="H425">
        <v>1341.4005127</v>
      </c>
      <c r="I425">
        <v>1320.5783690999999</v>
      </c>
      <c r="J425">
        <v>1315.5594481999999</v>
      </c>
      <c r="K425">
        <v>550</v>
      </c>
      <c r="L425">
        <v>0</v>
      </c>
      <c r="M425">
        <v>0</v>
      </c>
      <c r="N425">
        <v>550</v>
      </c>
    </row>
    <row r="426" spans="1:14" x14ac:dyDescent="0.25">
      <c r="A426">
        <v>365.67266699999999</v>
      </c>
      <c r="B426" s="1">
        <f>DATE(2011,5,1) + TIME(16,8,38)</f>
        <v>40664.672662037039</v>
      </c>
      <c r="C426">
        <v>80</v>
      </c>
      <c r="D426">
        <v>60.771366119</v>
      </c>
      <c r="E426">
        <v>40</v>
      </c>
      <c r="F426">
        <v>39.778724670000003</v>
      </c>
      <c r="G426">
        <v>1346.6254882999999</v>
      </c>
      <c r="H426">
        <v>1341.3983154</v>
      </c>
      <c r="I426">
        <v>1320.5794678</v>
      </c>
      <c r="J426">
        <v>1315.5594481999999</v>
      </c>
      <c r="K426">
        <v>550</v>
      </c>
      <c r="L426">
        <v>0</v>
      </c>
      <c r="M426">
        <v>0</v>
      </c>
      <c r="N426">
        <v>550</v>
      </c>
    </row>
    <row r="427" spans="1:14" x14ac:dyDescent="0.25">
      <c r="A427">
        <v>365.77767</v>
      </c>
      <c r="B427" s="1">
        <f>DATE(2011,5,1) + TIME(18,39,50)</f>
        <v>40664.777662037035</v>
      </c>
      <c r="C427">
        <v>80</v>
      </c>
      <c r="D427">
        <v>61.522815704000003</v>
      </c>
      <c r="E427">
        <v>40</v>
      </c>
      <c r="F427">
        <v>39.765541077000002</v>
      </c>
      <c r="G427">
        <v>1346.588501</v>
      </c>
      <c r="H427">
        <v>1341.3977050999999</v>
      </c>
      <c r="I427">
        <v>1320.5804443</v>
      </c>
      <c r="J427">
        <v>1315.5592041</v>
      </c>
      <c r="K427">
        <v>550</v>
      </c>
      <c r="L427">
        <v>0</v>
      </c>
      <c r="M427">
        <v>0</v>
      </c>
      <c r="N427">
        <v>550</v>
      </c>
    </row>
    <row r="428" spans="1:14" x14ac:dyDescent="0.25">
      <c r="A428">
        <v>365.885088</v>
      </c>
      <c r="B428" s="1">
        <f>DATE(2011,5,1) + TIME(21,14,31)</f>
        <v>40664.885081018518</v>
      </c>
      <c r="C428">
        <v>80</v>
      </c>
      <c r="D428">
        <v>62.263530731000003</v>
      </c>
      <c r="E428">
        <v>40</v>
      </c>
      <c r="F428">
        <v>39.752174377000003</v>
      </c>
      <c r="G428">
        <v>1346.5550536999999</v>
      </c>
      <c r="H428">
        <v>1341.3985596</v>
      </c>
      <c r="I428">
        <v>1320.5814209</v>
      </c>
      <c r="J428">
        <v>1315.5588379000001</v>
      </c>
      <c r="K428">
        <v>550</v>
      </c>
      <c r="L428">
        <v>0</v>
      </c>
      <c r="M428">
        <v>0</v>
      </c>
      <c r="N428">
        <v>550</v>
      </c>
    </row>
    <row r="429" spans="1:14" x14ac:dyDescent="0.25">
      <c r="A429">
        <v>365.99504999999999</v>
      </c>
      <c r="B429" s="1">
        <f>DATE(2011,5,1) + TIME(23,52,52)</f>
        <v>40664.995046296295</v>
      </c>
      <c r="C429">
        <v>80</v>
      </c>
      <c r="D429">
        <v>62.993354797000002</v>
      </c>
      <c r="E429">
        <v>40</v>
      </c>
      <c r="F429">
        <v>39.738616942999997</v>
      </c>
      <c r="G429">
        <v>1346.5251464999999</v>
      </c>
      <c r="H429">
        <v>1341.4011230000001</v>
      </c>
      <c r="I429">
        <v>1320.5823975000001</v>
      </c>
      <c r="J429">
        <v>1315.5584716999999</v>
      </c>
      <c r="K429">
        <v>550</v>
      </c>
      <c r="L429">
        <v>0</v>
      </c>
      <c r="M429">
        <v>0</v>
      </c>
      <c r="N429">
        <v>550</v>
      </c>
    </row>
    <row r="430" spans="1:14" x14ac:dyDescent="0.25">
      <c r="A430">
        <v>366.10769299999998</v>
      </c>
      <c r="B430" s="1">
        <f>DATE(2011,5,2) + TIME(2,35,4)</f>
        <v>40665.107685185183</v>
      </c>
      <c r="C430">
        <v>80</v>
      </c>
      <c r="D430">
        <v>63.712112427000001</v>
      </c>
      <c r="E430">
        <v>40</v>
      </c>
      <c r="F430">
        <v>39.724853516000003</v>
      </c>
      <c r="G430">
        <v>1346.4985352000001</v>
      </c>
      <c r="H430">
        <v>1341.4050293</v>
      </c>
      <c r="I430">
        <v>1320.5832519999999</v>
      </c>
      <c r="J430">
        <v>1315.5579834</v>
      </c>
      <c r="K430">
        <v>550</v>
      </c>
      <c r="L430">
        <v>0</v>
      </c>
      <c r="M430">
        <v>0</v>
      </c>
      <c r="N430">
        <v>550</v>
      </c>
    </row>
    <row r="431" spans="1:14" x14ac:dyDescent="0.25">
      <c r="A431">
        <v>366.223161</v>
      </c>
      <c r="B431" s="1">
        <f>DATE(2011,5,2) + TIME(5,21,21)</f>
        <v>40665.22315972222</v>
      </c>
      <c r="C431">
        <v>80</v>
      </c>
      <c r="D431">
        <v>64.419601439999994</v>
      </c>
      <c r="E431">
        <v>40</v>
      </c>
      <c r="F431">
        <v>39.710876464999998</v>
      </c>
      <c r="G431">
        <v>1346.4749756000001</v>
      </c>
      <c r="H431">
        <v>1341.4104004000001</v>
      </c>
      <c r="I431">
        <v>1320.5842285000001</v>
      </c>
      <c r="J431">
        <v>1315.5574951000001</v>
      </c>
      <c r="K431">
        <v>550</v>
      </c>
      <c r="L431">
        <v>0</v>
      </c>
      <c r="M431">
        <v>0</v>
      </c>
      <c r="N431">
        <v>550</v>
      </c>
    </row>
    <row r="432" spans="1:14" x14ac:dyDescent="0.25">
      <c r="A432">
        <v>366.34161</v>
      </c>
      <c r="B432" s="1">
        <f>DATE(2011,5,2) + TIME(8,11,55)</f>
        <v>40665.341608796298</v>
      </c>
      <c r="C432">
        <v>80</v>
      </c>
      <c r="D432">
        <v>65.115615844999994</v>
      </c>
      <c r="E432">
        <v>40</v>
      </c>
      <c r="F432">
        <v>39.696674346999998</v>
      </c>
      <c r="G432">
        <v>1346.4544678</v>
      </c>
      <c r="H432">
        <v>1341.4168701000001</v>
      </c>
      <c r="I432">
        <v>1320.5850829999999</v>
      </c>
      <c r="J432">
        <v>1315.5568848</v>
      </c>
      <c r="K432">
        <v>550</v>
      </c>
      <c r="L432">
        <v>0</v>
      </c>
      <c r="M432">
        <v>0</v>
      </c>
      <c r="N432">
        <v>550</v>
      </c>
    </row>
    <row r="433" spans="1:14" x14ac:dyDescent="0.25">
      <c r="A433">
        <v>366.46320600000001</v>
      </c>
      <c r="B433" s="1">
        <f>DATE(2011,5,2) + TIME(11,7,1)</f>
        <v>40665.463206018518</v>
      </c>
      <c r="C433">
        <v>80</v>
      </c>
      <c r="D433">
        <v>65.800010681000003</v>
      </c>
      <c r="E433">
        <v>40</v>
      </c>
      <c r="F433">
        <v>39.682228088000002</v>
      </c>
      <c r="G433">
        <v>1346.4366454999999</v>
      </c>
      <c r="H433">
        <v>1341.4246826000001</v>
      </c>
      <c r="I433">
        <v>1320.5859375</v>
      </c>
      <c r="J433">
        <v>1315.5561522999999</v>
      </c>
      <c r="K433">
        <v>550</v>
      </c>
      <c r="L433">
        <v>0</v>
      </c>
      <c r="M433">
        <v>0</v>
      </c>
      <c r="N433">
        <v>550</v>
      </c>
    </row>
    <row r="434" spans="1:14" x14ac:dyDescent="0.25">
      <c r="A434">
        <v>366.58811200000002</v>
      </c>
      <c r="B434" s="1">
        <f>DATE(2011,5,2) + TIME(14,6,52)</f>
        <v>40665.588101851848</v>
      </c>
      <c r="C434">
        <v>80</v>
      </c>
      <c r="D434">
        <v>66.472297667999996</v>
      </c>
      <c r="E434">
        <v>40</v>
      </c>
      <c r="F434">
        <v>39.667530059999997</v>
      </c>
      <c r="G434">
        <v>1346.4216309000001</v>
      </c>
      <c r="H434">
        <v>1341.4335937999999</v>
      </c>
      <c r="I434">
        <v>1320.5867920000001</v>
      </c>
      <c r="J434">
        <v>1315.5555420000001</v>
      </c>
      <c r="K434">
        <v>550</v>
      </c>
      <c r="L434">
        <v>0</v>
      </c>
      <c r="M434">
        <v>0</v>
      </c>
      <c r="N434">
        <v>550</v>
      </c>
    </row>
    <row r="435" spans="1:14" x14ac:dyDescent="0.25">
      <c r="A435">
        <v>366.71651600000001</v>
      </c>
      <c r="B435" s="1">
        <f>DATE(2011,5,2) + TIME(17,11,46)</f>
        <v>40665.716504629629</v>
      </c>
      <c r="C435">
        <v>80</v>
      </c>
      <c r="D435">
        <v>67.132156371999997</v>
      </c>
      <c r="E435">
        <v>40</v>
      </c>
      <c r="F435">
        <v>39.652565002000003</v>
      </c>
      <c r="G435">
        <v>1346.4090576000001</v>
      </c>
      <c r="H435">
        <v>1341.4436035000001</v>
      </c>
      <c r="I435">
        <v>1320.5876464999999</v>
      </c>
      <c r="J435">
        <v>1315.5546875</v>
      </c>
      <c r="K435">
        <v>550</v>
      </c>
      <c r="L435">
        <v>0</v>
      </c>
      <c r="M435">
        <v>0</v>
      </c>
      <c r="N435">
        <v>550</v>
      </c>
    </row>
    <row r="436" spans="1:14" x14ac:dyDescent="0.25">
      <c r="A436">
        <v>366.84853099999998</v>
      </c>
      <c r="B436" s="1">
        <f>DATE(2011,5,2) + TIME(20,21,53)</f>
        <v>40665.848530092589</v>
      </c>
      <c r="C436">
        <v>80</v>
      </c>
      <c r="D436">
        <v>67.778862000000004</v>
      </c>
      <c r="E436">
        <v>40</v>
      </c>
      <c r="F436">
        <v>39.637325287000003</v>
      </c>
      <c r="G436">
        <v>1346.3990478999999</v>
      </c>
      <c r="H436">
        <v>1341.4545897999999</v>
      </c>
      <c r="I436">
        <v>1320.588501</v>
      </c>
      <c r="J436">
        <v>1315.5539550999999</v>
      </c>
      <c r="K436">
        <v>550</v>
      </c>
      <c r="L436">
        <v>0</v>
      </c>
      <c r="M436">
        <v>0</v>
      </c>
      <c r="N436">
        <v>550</v>
      </c>
    </row>
    <row r="437" spans="1:14" x14ac:dyDescent="0.25">
      <c r="A437">
        <v>366.98437300000001</v>
      </c>
      <c r="B437" s="1">
        <f>DATE(2011,5,2) + TIME(23,37,29)</f>
        <v>40665.984363425923</v>
      </c>
      <c r="C437">
        <v>80</v>
      </c>
      <c r="D437">
        <v>68.412094116000006</v>
      </c>
      <c r="E437">
        <v>40</v>
      </c>
      <c r="F437">
        <v>39.621795654000003</v>
      </c>
      <c r="G437">
        <v>1346.3911132999999</v>
      </c>
      <c r="H437">
        <v>1341.4663086</v>
      </c>
      <c r="I437">
        <v>1320.5893555</v>
      </c>
      <c r="J437">
        <v>1315.5529785000001</v>
      </c>
      <c r="K437">
        <v>550</v>
      </c>
      <c r="L437">
        <v>0</v>
      </c>
      <c r="M437">
        <v>0</v>
      </c>
      <c r="N437">
        <v>550</v>
      </c>
    </row>
    <row r="438" spans="1:14" x14ac:dyDescent="0.25">
      <c r="A438">
        <v>367.12424700000003</v>
      </c>
      <c r="B438" s="1">
        <f>DATE(2011,5,3) + TIME(2,58,54)</f>
        <v>40666.124236111114</v>
      </c>
      <c r="C438">
        <v>80</v>
      </c>
      <c r="D438">
        <v>69.031425475999995</v>
      </c>
      <c r="E438">
        <v>40</v>
      </c>
      <c r="F438">
        <v>39.605964661000002</v>
      </c>
      <c r="G438">
        <v>1346.3854980000001</v>
      </c>
      <c r="H438">
        <v>1341.4790039</v>
      </c>
      <c r="I438">
        <v>1320.5900879000001</v>
      </c>
      <c r="J438">
        <v>1315.552124</v>
      </c>
      <c r="K438">
        <v>550</v>
      </c>
      <c r="L438">
        <v>0</v>
      </c>
      <c r="M438">
        <v>0</v>
      </c>
      <c r="N438">
        <v>550</v>
      </c>
    </row>
    <row r="439" spans="1:14" x14ac:dyDescent="0.25">
      <c r="A439">
        <v>367.26841300000001</v>
      </c>
      <c r="B439" s="1">
        <f>DATE(2011,5,3) + TIME(6,26,30)</f>
        <v>40666.26840277778</v>
      </c>
      <c r="C439">
        <v>80</v>
      </c>
      <c r="D439">
        <v>69.636566161999994</v>
      </c>
      <c r="E439">
        <v>40</v>
      </c>
      <c r="F439">
        <v>39.589805603000002</v>
      </c>
      <c r="G439">
        <v>1346.3817139</v>
      </c>
      <c r="H439">
        <v>1341.4923096</v>
      </c>
      <c r="I439">
        <v>1320.5909423999999</v>
      </c>
      <c r="J439">
        <v>1315.5510254000001</v>
      </c>
      <c r="K439">
        <v>550</v>
      </c>
      <c r="L439">
        <v>0</v>
      </c>
      <c r="M439">
        <v>0</v>
      </c>
      <c r="N439">
        <v>550</v>
      </c>
    </row>
    <row r="440" spans="1:14" x14ac:dyDescent="0.25">
      <c r="A440">
        <v>367.41714400000001</v>
      </c>
      <c r="B440" s="1">
        <f>DATE(2011,5,3) + TIME(10,0,41)</f>
        <v>40666.417141203703</v>
      </c>
      <c r="C440">
        <v>80</v>
      </c>
      <c r="D440">
        <v>70.227012634000005</v>
      </c>
      <c r="E440">
        <v>40</v>
      </c>
      <c r="F440">
        <v>39.573299407999997</v>
      </c>
      <c r="G440">
        <v>1346.3797606999999</v>
      </c>
      <c r="H440">
        <v>1341.5062256000001</v>
      </c>
      <c r="I440">
        <v>1320.5916748</v>
      </c>
      <c r="J440">
        <v>1315.5500488</v>
      </c>
      <c r="K440">
        <v>550</v>
      </c>
      <c r="L440">
        <v>0</v>
      </c>
      <c r="M440">
        <v>0</v>
      </c>
      <c r="N440">
        <v>550</v>
      </c>
    </row>
    <row r="441" spans="1:14" x14ac:dyDescent="0.25">
      <c r="A441">
        <v>367.57072899999997</v>
      </c>
      <c r="B441" s="1">
        <f>DATE(2011,5,3) + TIME(13,41,51)</f>
        <v>40666.570729166669</v>
      </c>
      <c r="C441">
        <v>80</v>
      </c>
      <c r="D441">
        <v>70.802276610999996</v>
      </c>
      <c r="E441">
        <v>40</v>
      </c>
      <c r="F441">
        <v>39.556427002</v>
      </c>
      <c r="G441">
        <v>1346.3796387</v>
      </c>
      <c r="H441">
        <v>1341.5206298999999</v>
      </c>
      <c r="I441">
        <v>1320.5924072</v>
      </c>
      <c r="J441">
        <v>1315.5489502</v>
      </c>
      <c r="K441">
        <v>550</v>
      </c>
      <c r="L441">
        <v>0</v>
      </c>
      <c r="M441">
        <v>0</v>
      </c>
      <c r="N441">
        <v>550</v>
      </c>
    </row>
    <row r="442" spans="1:14" x14ac:dyDescent="0.25">
      <c r="A442">
        <v>367.72948000000002</v>
      </c>
      <c r="B442" s="1">
        <f>DATE(2011,5,3) + TIME(17,30,27)</f>
        <v>40666.729479166665</v>
      </c>
      <c r="C442">
        <v>80</v>
      </c>
      <c r="D442">
        <v>71.362205505000006</v>
      </c>
      <c r="E442">
        <v>40</v>
      </c>
      <c r="F442">
        <v>39.539165496999999</v>
      </c>
      <c r="G442">
        <v>1346.3809814000001</v>
      </c>
      <c r="H442">
        <v>1341.5356445</v>
      </c>
      <c r="I442">
        <v>1320.5931396000001</v>
      </c>
      <c r="J442">
        <v>1315.5477295000001</v>
      </c>
      <c r="K442">
        <v>550</v>
      </c>
      <c r="L442">
        <v>0</v>
      </c>
      <c r="M442">
        <v>0</v>
      </c>
      <c r="N442">
        <v>550</v>
      </c>
    </row>
    <row r="443" spans="1:14" x14ac:dyDescent="0.25">
      <c r="A443">
        <v>367.89373499999999</v>
      </c>
      <c r="B443" s="1">
        <f>DATE(2011,5,3) + TIME(21,26,58)</f>
        <v>40666.893726851849</v>
      </c>
      <c r="C443">
        <v>80</v>
      </c>
      <c r="D443">
        <v>71.906394958000007</v>
      </c>
      <c r="E443">
        <v>40</v>
      </c>
      <c r="F443">
        <v>39.521488189999999</v>
      </c>
      <c r="G443">
        <v>1346.3839111</v>
      </c>
      <c r="H443">
        <v>1341.5509033000001</v>
      </c>
      <c r="I443">
        <v>1320.5938721</v>
      </c>
      <c r="J443">
        <v>1315.5465088000001</v>
      </c>
      <c r="K443">
        <v>550</v>
      </c>
      <c r="L443">
        <v>0</v>
      </c>
      <c r="M443">
        <v>0</v>
      </c>
      <c r="N443">
        <v>550</v>
      </c>
    </row>
    <row r="444" spans="1:14" x14ac:dyDescent="0.25">
      <c r="A444">
        <v>368.06386199999997</v>
      </c>
      <c r="B444" s="1">
        <f>DATE(2011,5,4) + TIME(1,31,57)</f>
        <v>40667.063854166663</v>
      </c>
      <c r="C444">
        <v>80</v>
      </c>
      <c r="D444">
        <v>72.434410095000004</v>
      </c>
      <c r="E444">
        <v>40</v>
      </c>
      <c r="F444">
        <v>39.503368377999998</v>
      </c>
      <c r="G444">
        <v>1346.3880615</v>
      </c>
      <c r="H444">
        <v>1341.5665283000001</v>
      </c>
      <c r="I444">
        <v>1320.5946045000001</v>
      </c>
      <c r="J444">
        <v>1315.5451660000001</v>
      </c>
      <c r="K444">
        <v>550</v>
      </c>
      <c r="L444">
        <v>0</v>
      </c>
      <c r="M444">
        <v>0</v>
      </c>
      <c r="N444">
        <v>550</v>
      </c>
    </row>
    <row r="445" spans="1:14" x14ac:dyDescent="0.25">
      <c r="A445">
        <v>368.24025999999998</v>
      </c>
      <c r="B445" s="1">
        <f>DATE(2011,5,4) + TIME(5,45,58)</f>
        <v>40667.240254629629</v>
      </c>
      <c r="C445">
        <v>80</v>
      </c>
      <c r="D445">
        <v>72.945838928000001</v>
      </c>
      <c r="E445">
        <v>40</v>
      </c>
      <c r="F445">
        <v>39.484779357999997</v>
      </c>
      <c r="G445">
        <v>1346.3934326000001</v>
      </c>
      <c r="H445">
        <v>1341.5822754000001</v>
      </c>
      <c r="I445">
        <v>1320.5952147999999</v>
      </c>
      <c r="J445">
        <v>1315.5438231999999</v>
      </c>
      <c r="K445">
        <v>550</v>
      </c>
      <c r="L445">
        <v>0</v>
      </c>
      <c r="M445">
        <v>0</v>
      </c>
      <c r="N445">
        <v>550</v>
      </c>
    </row>
    <row r="446" spans="1:14" x14ac:dyDescent="0.25">
      <c r="A446">
        <v>368.42336799999998</v>
      </c>
      <c r="B446" s="1">
        <f>DATE(2011,5,4) + TIME(10,9,39)</f>
        <v>40667.423368055555</v>
      </c>
      <c r="C446">
        <v>80</v>
      </c>
      <c r="D446">
        <v>73.440238953000005</v>
      </c>
      <c r="E446">
        <v>40</v>
      </c>
      <c r="F446">
        <v>39.465682983000001</v>
      </c>
      <c r="G446">
        <v>1346.3999022999999</v>
      </c>
      <c r="H446">
        <v>1341.5982666</v>
      </c>
      <c r="I446">
        <v>1320.5959473</v>
      </c>
      <c r="J446">
        <v>1315.5423584</v>
      </c>
      <c r="K446">
        <v>550</v>
      </c>
      <c r="L446">
        <v>0</v>
      </c>
      <c r="M446">
        <v>0</v>
      </c>
      <c r="N446">
        <v>550</v>
      </c>
    </row>
    <row r="447" spans="1:14" x14ac:dyDescent="0.25">
      <c r="A447">
        <v>368.61366500000003</v>
      </c>
      <c r="B447" s="1">
        <f>DATE(2011,5,4) + TIME(14,43,40)</f>
        <v>40667.613657407404</v>
      </c>
      <c r="C447">
        <v>80</v>
      </c>
      <c r="D447">
        <v>73.917205811000002</v>
      </c>
      <c r="E447">
        <v>40</v>
      </c>
      <c r="F447">
        <v>39.446052551000001</v>
      </c>
      <c r="G447">
        <v>1346.4073486</v>
      </c>
      <c r="H447">
        <v>1341.6142577999999</v>
      </c>
      <c r="I447">
        <v>1320.5965576000001</v>
      </c>
      <c r="J447">
        <v>1315.5408935999999</v>
      </c>
      <c r="K447">
        <v>550</v>
      </c>
      <c r="L447">
        <v>0</v>
      </c>
      <c r="M447">
        <v>0</v>
      </c>
      <c r="N447">
        <v>550</v>
      </c>
    </row>
    <row r="448" spans="1:14" x14ac:dyDescent="0.25">
      <c r="A448">
        <v>368.81170900000001</v>
      </c>
      <c r="B448" s="1">
        <f>DATE(2011,5,4) + TIME(19,28,51)</f>
        <v>40667.811701388891</v>
      </c>
      <c r="C448">
        <v>80</v>
      </c>
      <c r="D448">
        <v>74.376380920000003</v>
      </c>
      <c r="E448">
        <v>40</v>
      </c>
      <c r="F448">
        <v>39.425842285000002</v>
      </c>
      <c r="G448">
        <v>1346.4155272999999</v>
      </c>
      <c r="H448">
        <v>1341.6301269999999</v>
      </c>
      <c r="I448">
        <v>1320.597168</v>
      </c>
      <c r="J448">
        <v>1315.5393065999999</v>
      </c>
      <c r="K448">
        <v>550</v>
      </c>
      <c r="L448">
        <v>0</v>
      </c>
      <c r="M448">
        <v>0</v>
      </c>
      <c r="N448">
        <v>550</v>
      </c>
    </row>
    <row r="449" spans="1:14" x14ac:dyDescent="0.25">
      <c r="A449">
        <v>369.01811300000003</v>
      </c>
      <c r="B449" s="1">
        <f>DATE(2011,5,5) + TIME(0,26,4)</f>
        <v>40668.018101851849</v>
      </c>
      <c r="C449">
        <v>80</v>
      </c>
      <c r="D449">
        <v>74.817420959000003</v>
      </c>
      <c r="E449">
        <v>40</v>
      </c>
      <c r="F449">
        <v>39.405010222999998</v>
      </c>
      <c r="G449">
        <v>1346.4244385</v>
      </c>
      <c r="H449">
        <v>1341.6459961</v>
      </c>
      <c r="I449">
        <v>1320.5976562000001</v>
      </c>
      <c r="J449">
        <v>1315.5375977000001</v>
      </c>
      <c r="K449">
        <v>550</v>
      </c>
      <c r="L449">
        <v>0</v>
      </c>
      <c r="M449">
        <v>0</v>
      </c>
      <c r="N449">
        <v>550</v>
      </c>
    </row>
    <row r="450" spans="1:14" x14ac:dyDescent="0.25">
      <c r="A450">
        <v>369.23346099999998</v>
      </c>
      <c r="B450" s="1">
        <f>DATE(2011,5,5) + TIME(5,36,11)</f>
        <v>40668.233460648145</v>
      </c>
      <c r="C450">
        <v>80</v>
      </c>
      <c r="D450">
        <v>75.239616393999995</v>
      </c>
      <c r="E450">
        <v>40</v>
      </c>
      <c r="F450">
        <v>39.383518219000003</v>
      </c>
      <c r="G450">
        <v>1346.4339600000001</v>
      </c>
      <c r="H450">
        <v>1341.661499</v>
      </c>
      <c r="I450">
        <v>1320.5981445</v>
      </c>
      <c r="J450">
        <v>1315.5358887</v>
      </c>
      <c r="K450">
        <v>550</v>
      </c>
      <c r="L450">
        <v>0</v>
      </c>
      <c r="M450">
        <v>0</v>
      </c>
      <c r="N450">
        <v>550</v>
      </c>
    </row>
    <row r="451" spans="1:14" x14ac:dyDescent="0.25">
      <c r="A451">
        <v>369.458461</v>
      </c>
      <c r="B451" s="1">
        <f>DATE(2011,5,5) + TIME(11,0,11)</f>
        <v>40668.458460648151</v>
      </c>
      <c r="C451">
        <v>80</v>
      </c>
      <c r="D451">
        <v>75.642662048000005</v>
      </c>
      <c r="E451">
        <v>40</v>
      </c>
      <c r="F451">
        <v>39.361312865999999</v>
      </c>
      <c r="G451">
        <v>1346.4438477000001</v>
      </c>
      <c r="H451">
        <v>1341.6767577999999</v>
      </c>
      <c r="I451">
        <v>1320.5986327999999</v>
      </c>
      <c r="J451">
        <v>1315.5340576000001</v>
      </c>
      <c r="K451">
        <v>550</v>
      </c>
      <c r="L451">
        <v>0</v>
      </c>
      <c r="M451">
        <v>0</v>
      </c>
      <c r="N451">
        <v>550</v>
      </c>
    </row>
    <row r="452" spans="1:14" x14ac:dyDescent="0.25">
      <c r="A452">
        <v>369.69389899999999</v>
      </c>
      <c r="B452" s="1">
        <f>DATE(2011,5,5) + TIME(16,39,12)</f>
        <v>40668.693888888891</v>
      </c>
      <c r="C452">
        <v>80</v>
      </c>
      <c r="D452">
        <v>76.026351929</v>
      </c>
      <c r="E452">
        <v>40</v>
      </c>
      <c r="F452">
        <v>39.338340758999998</v>
      </c>
      <c r="G452">
        <v>1346.4541016000001</v>
      </c>
      <c r="H452">
        <v>1341.6916504000001</v>
      </c>
      <c r="I452">
        <v>1320.5991211</v>
      </c>
      <c r="J452">
        <v>1315.5321045000001</v>
      </c>
      <c r="K452">
        <v>550</v>
      </c>
      <c r="L452">
        <v>0</v>
      </c>
      <c r="M452">
        <v>0</v>
      </c>
      <c r="N452">
        <v>550</v>
      </c>
    </row>
    <row r="453" spans="1:14" x14ac:dyDescent="0.25">
      <c r="A453">
        <v>369.940651</v>
      </c>
      <c r="B453" s="1">
        <f>DATE(2011,5,5) + TIME(22,34,32)</f>
        <v>40668.940648148149</v>
      </c>
      <c r="C453">
        <v>80</v>
      </c>
      <c r="D453">
        <v>76.390388489000003</v>
      </c>
      <c r="E453">
        <v>40</v>
      </c>
      <c r="F453">
        <v>39.314540862999998</v>
      </c>
      <c r="G453">
        <v>1346.4643555</v>
      </c>
      <c r="H453">
        <v>1341.7059326000001</v>
      </c>
      <c r="I453">
        <v>1320.5994873</v>
      </c>
      <c r="J453">
        <v>1315.5300293</v>
      </c>
      <c r="K453">
        <v>550</v>
      </c>
      <c r="L453">
        <v>0</v>
      </c>
      <c r="M453">
        <v>0</v>
      </c>
      <c r="N453">
        <v>550</v>
      </c>
    </row>
    <row r="454" spans="1:14" x14ac:dyDescent="0.25">
      <c r="A454">
        <v>370.19969900000001</v>
      </c>
      <c r="B454" s="1">
        <f>DATE(2011,5,6) + TIME(4,47,33)</f>
        <v>40669.199687499997</v>
      </c>
      <c r="C454">
        <v>80</v>
      </c>
      <c r="D454">
        <v>76.734542847</v>
      </c>
      <c r="E454">
        <v>40</v>
      </c>
      <c r="F454">
        <v>39.289848327999998</v>
      </c>
      <c r="G454">
        <v>1346.4747314000001</v>
      </c>
      <c r="H454">
        <v>1341.7197266000001</v>
      </c>
      <c r="I454">
        <v>1320.5998535000001</v>
      </c>
      <c r="J454">
        <v>1315.5279541</v>
      </c>
      <c r="K454">
        <v>550</v>
      </c>
      <c r="L454">
        <v>0</v>
      </c>
      <c r="M454">
        <v>0</v>
      </c>
      <c r="N454">
        <v>550</v>
      </c>
    </row>
    <row r="455" spans="1:14" x14ac:dyDescent="0.25">
      <c r="A455">
        <v>370.47214200000002</v>
      </c>
      <c r="B455" s="1">
        <f>DATE(2011,5,6) + TIME(11,19,53)</f>
        <v>40669.472141203703</v>
      </c>
      <c r="C455">
        <v>80</v>
      </c>
      <c r="D455">
        <v>77.058609008999994</v>
      </c>
      <c r="E455">
        <v>40</v>
      </c>
      <c r="F455">
        <v>39.264183043999999</v>
      </c>
      <c r="G455">
        <v>1346.4849853999999</v>
      </c>
      <c r="H455">
        <v>1341.7327881000001</v>
      </c>
      <c r="I455">
        <v>1320.6000977000001</v>
      </c>
      <c r="J455">
        <v>1315.5256348</v>
      </c>
      <c r="K455">
        <v>550</v>
      </c>
      <c r="L455">
        <v>0</v>
      </c>
      <c r="M455">
        <v>0</v>
      </c>
      <c r="N455">
        <v>550</v>
      </c>
    </row>
    <row r="456" spans="1:14" x14ac:dyDescent="0.25">
      <c r="A456">
        <v>370.75922400000002</v>
      </c>
      <c r="B456" s="1">
        <f>DATE(2011,5,6) + TIME(18,13,16)</f>
        <v>40669.759212962963</v>
      </c>
      <c r="C456">
        <v>80</v>
      </c>
      <c r="D456">
        <v>77.362464904999996</v>
      </c>
      <c r="E456">
        <v>40</v>
      </c>
      <c r="F456">
        <v>39.237461089999996</v>
      </c>
      <c r="G456">
        <v>1346.4948730000001</v>
      </c>
      <c r="H456">
        <v>1341.7449951000001</v>
      </c>
      <c r="I456">
        <v>1320.6003418</v>
      </c>
      <c r="J456">
        <v>1315.5231934000001</v>
      </c>
      <c r="K456">
        <v>550</v>
      </c>
      <c r="L456">
        <v>0</v>
      </c>
      <c r="M456">
        <v>0</v>
      </c>
      <c r="N456">
        <v>550</v>
      </c>
    </row>
    <row r="457" spans="1:14" x14ac:dyDescent="0.25">
      <c r="A457">
        <v>371.06234899999998</v>
      </c>
      <c r="B457" s="1">
        <f>DATE(2011,5,7) + TIME(1,29,46)</f>
        <v>40670.062337962961</v>
      </c>
      <c r="C457">
        <v>80</v>
      </c>
      <c r="D457">
        <v>77.646041870000005</v>
      </c>
      <c r="E457">
        <v>40</v>
      </c>
      <c r="F457">
        <v>39.209587096999996</v>
      </c>
      <c r="G457">
        <v>1346.5043945</v>
      </c>
      <c r="H457">
        <v>1341.7563477000001</v>
      </c>
      <c r="I457">
        <v>1320.6004639</v>
      </c>
      <c r="J457">
        <v>1315.5207519999999</v>
      </c>
      <c r="K457">
        <v>550</v>
      </c>
      <c r="L457">
        <v>0</v>
      </c>
      <c r="M457">
        <v>0</v>
      </c>
      <c r="N457">
        <v>550</v>
      </c>
    </row>
    <row r="458" spans="1:14" x14ac:dyDescent="0.25">
      <c r="A458">
        <v>371.38312200000001</v>
      </c>
      <c r="B458" s="1">
        <f>DATE(2011,5,7) + TIME(9,11,41)</f>
        <v>40670.383113425924</v>
      </c>
      <c r="C458">
        <v>80</v>
      </c>
      <c r="D458">
        <v>77.909347534000005</v>
      </c>
      <c r="E458">
        <v>40</v>
      </c>
      <c r="F458">
        <v>39.180458068999997</v>
      </c>
      <c r="G458">
        <v>1346.5133057</v>
      </c>
      <c r="H458">
        <v>1341.7666016000001</v>
      </c>
      <c r="I458">
        <v>1320.6004639</v>
      </c>
      <c r="J458">
        <v>1315.5180664</v>
      </c>
      <c r="K458">
        <v>550</v>
      </c>
      <c r="L458">
        <v>0</v>
      </c>
      <c r="M458">
        <v>0</v>
      </c>
      <c r="N458">
        <v>550</v>
      </c>
    </row>
    <row r="459" spans="1:14" x14ac:dyDescent="0.25">
      <c r="A459">
        <v>371.72359399999999</v>
      </c>
      <c r="B459" s="1">
        <f>DATE(2011,5,7) + TIME(17,21,58)</f>
        <v>40670.723587962966</v>
      </c>
      <c r="C459">
        <v>80</v>
      </c>
      <c r="D459">
        <v>78.152633667000003</v>
      </c>
      <c r="E459">
        <v>40</v>
      </c>
      <c r="F459">
        <v>39.149925232000001</v>
      </c>
      <c r="G459">
        <v>1346.5213623</v>
      </c>
      <c r="H459">
        <v>1341.7758789</v>
      </c>
      <c r="I459">
        <v>1320.6003418</v>
      </c>
      <c r="J459">
        <v>1315.5151367000001</v>
      </c>
      <c r="K459">
        <v>550</v>
      </c>
      <c r="L459">
        <v>0</v>
      </c>
      <c r="M459">
        <v>0</v>
      </c>
      <c r="N459">
        <v>550</v>
      </c>
    </row>
    <row r="460" spans="1:14" x14ac:dyDescent="0.25">
      <c r="A460">
        <v>372.08573799999999</v>
      </c>
      <c r="B460" s="1">
        <f>DATE(2011,5,8) + TIME(2,3,27)</f>
        <v>40671.085729166669</v>
      </c>
      <c r="C460">
        <v>80</v>
      </c>
      <c r="D460">
        <v>78.375938415999997</v>
      </c>
      <c r="E460">
        <v>40</v>
      </c>
      <c r="F460">
        <v>39.117862701</v>
      </c>
      <c r="G460">
        <v>1346.5285644999999</v>
      </c>
      <c r="H460">
        <v>1341.7838135</v>
      </c>
      <c r="I460">
        <v>1320.6002197</v>
      </c>
      <c r="J460">
        <v>1315.5120850000001</v>
      </c>
      <c r="K460">
        <v>550</v>
      </c>
      <c r="L460">
        <v>0</v>
      </c>
      <c r="M460">
        <v>0</v>
      </c>
      <c r="N460">
        <v>550</v>
      </c>
    </row>
    <row r="461" spans="1:14" x14ac:dyDescent="0.25">
      <c r="A461">
        <v>372.47198700000001</v>
      </c>
      <c r="B461" s="1">
        <f>DATE(2011,5,8) + TIME(11,19,39)</f>
        <v>40671.471979166665</v>
      </c>
      <c r="C461">
        <v>80</v>
      </c>
      <c r="D461">
        <v>78.579544067</v>
      </c>
      <c r="E461">
        <v>40</v>
      </c>
      <c r="F461">
        <v>39.084110260000003</v>
      </c>
      <c r="G461">
        <v>1346.5347899999999</v>
      </c>
      <c r="H461">
        <v>1341.7905272999999</v>
      </c>
      <c r="I461">
        <v>1320.5999756000001</v>
      </c>
      <c r="J461">
        <v>1315.5087891000001</v>
      </c>
      <c r="K461">
        <v>550</v>
      </c>
      <c r="L461">
        <v>0</v>
      </c>
      <c r="M461">
        <v>0</v>
      </c>
      <c r="N461">
        <v>550</v>
      </c>
    </row>
    <row r="462" spans="1:14" x14ac:dyDescent="0.25">
      <c r="A462">
        <v>372.88521800000001</v>
      </c>
      <c r="B462" s="1">
        <f>DATE(2011,5,8) + TIME(21,14,42)</f>
        <v>40671.885208333333</v>
      </c>
      <c r="C462">
        <v>80</v>
      </c>
      <c r="D462">
        <v>78.763824463000006</v>
      </c>
      <c r="E462">
        <v>40</v>
      </c>
      <c r="F462">
        <v>39.048480988000001</v>
      </c>
      <c r="G462">
        <v>1346.5395507999999</v>
      </c>
      <c r="H462">
        <v>1341.7957764</v>
      </c>
      <c r="I462">
        <v>1320.5994873</v>
      </c>
      <c r="J462">
        <v>1315.5051269999999</v>
      </c>
      <c r="K462">
        <v>550</v>
      </c>
      <c r="L462">
        <v>0</v>
      </c>
      <c r="M462">
        <v>0</v>
      </c>
      <c r="N462">
        <v>550</v>
      </c>
    </row>
    <row r="463" spans="1:14" x14ac:dyDescent="0.25">
      <c r="A463">
        <v>373.30629199999998</v>
      </c>
      <c r="B463" s="1">
        <f>DATE(2011,5,9) + TIME(7,21,3)</f>
        <v>40672.306284722225</v>
      </c>
      <c r="C463">
        <v>80</v>
      </c>
      <c r="D463">
        <v>78.922218322999996</v>
      </c>
      <c r="E463">
        <v>40</v>
      </c>
      <c r="F463">
        <v>39.012470245000003</v>
      </c>
      <c r="G463">
        <v>1346.5441894999999</v>
      </c>
      <c r="H463">
        <v>1341.8000488</v>
      </c>
      <c r="I463">
        <v>1320.5988769999999</v>
      </c>
      <c r="J463">
        <v>1315.5013428</v>
      </c>
      <c r="K463">
        <v>550</v>
      </c>
      <c r="L463">
        <v>0</v>
      </c>
      <c r="M463">
        <v>0</v>
      </c>
      <c r="N463">
        <v>550</v>
      </c>
    </row>
    <row r="464" spans="1:14" x14ac:dyDescent="0.25">
      <c r="A464">
        <v>373.73497400000002</v>
      </c>
      <c r="B464" s="1">
        <f>DATE(2011,5,9) + TIME(17,38,21)</f>
        <v>40672.734965277778</v>
      </c>
      <c r="C464">
        <v>80</v>
      </c>
      <c r="D464">
        <v>79.057853699000006</v>
      </c>
      <c r="E464">
        <v>40</v>
      </c>
      <c r="F464">
        <v>38.976100922000001</v>
      </c>
      <c r="G464">
        <v>1346.5469971</v>
      </c>
      <c r="H464">
        <v>1341.8026123</v>
      </c>
      <c r="I464">
        <v>1320.5980225000001</v>
      </c>
      <c r="J464">
        <v>1315.4974365</v>
      </c>
      <c r="K464">
        <v>550</v>
      </c>
      <c r="L464">
        <v>0</v>
      </c>
      <c r="M464">
        <v>0</v>
      </c>
      <c r="N464">
        <v>550</v>
      </c>
    </row>
    <row r="465" spans="1:14" x14ac:dyDescent="0.25">
      <c r="A465">
        <v>374.17261000000002</v>
      </c>
      <c r="B465" s="1">
        <f>DATE(2011,5,10) + TIME(4,8,33)</f>
        <v>40673.17260416667</v>
      </c>
      <c r="C465">
        <v>80</v>
      </c>
      <c r="D465">
        <v>79.173927307</v>
      </c>
      <c r="E465">
        <v>40</v>
      </c>
      <c r="F465">
        <v>38.939266205000003</v>
      </c>
      <c r="G465">
        <v>1346.5479736</v>
      </c>
      <c r="H465">
        <v>1341.8034668</v>
      </c>
      <c r="I465">
        <v>1320.597168</v>
      </c>
      <c r="J465">
        <v>1315.4934082</v>
      </c>
      <c r="K465">
        <v>550</v>
      </c>
      <c r="L465">
        <v>0</v>
      </c>
      <c r="M465">
        <v>0</v>
      </c>
      <c r="N465">
        <v>550</v>
      </c>
    </row>
    <row r="466" spans="1:14" x14ac:dyDescent="0.25">
      <c r="A466">
        <v>374.61873900000001</v>
      </c>
      <c r="B466" s="1">
        <f>DATE(2011,5,10) + TIME(14,50,59)</f>
        <v>40673.618738425925</v>
      </c>
      <c r="C466">
        <v>80</v>
      </c>
      <c r="D466">
        <v>79.272842406999999</v>
      </c>
      <c r="E466">
        <v>40</v>
      </c>
      <c r="F466">
        <v>38.901996613000001</v>
      </c>
      <c r="G466">
        <v>1346.5473632999999</v>
      </c>
      <c r="H466">
        <v>1341.8028564000001</v>
      </c>
      <c r="I466">
        <v>1320.5960693</v>
      </c>
      <c r="J466">
        <v>1315.4892577999999</v>
      </c>
      <c r="K466">
        <v>550</v>
      </c>
      <c r="L466">
        <v>0</v>
      </c>
      <c r="M466">
        <v>0</v>
      </c>
      <c r="N466">
        <v>550</v>
      </c>
    </row>
    <row r="467" spans="1:14" x14ac:dyDescent="0.25">
      <c r="A467">
        <v>375.07302800000002</v>
      </c>
      <c r="B467" s="1">
        <f>DATE(2011,5,11) + TIME(1,45,9)</f>
        <v>40674.073020833333</v>
      </c>
      <c r="C467">
        <v>80</v>
      </c>
      <c r="D467">
        <v>79.356811523000005</v>
      </c>
      <c r="E467">
        <v>40</v>
      </c>
      <c r="F467">
        <v>38.864315032999997</v>
      </c>
      <c r="G467">
        <v>1346.5450439000001</v>
      </c>
      <c r="H467">
        <v>1341.8009033000001</v>
      </c>
      <c r="I467">
        <v>1320.5948486</v>
      </c>
      <c r="J467">
        <v>1315.4848632999999</v>
      </c>
      <c r="K467">
        <v>550</v>
      </c>
      <c r="L467">
        <v>0</v>
      </c>
      <c r="M467">
        <v>0</v>
      </c>
      <c r="N467">
        <v>550</v>
      </c>
    </row>
    <row r="468" spans="1:14" x14ac:dyDescent="0.25">
      <c r="A468">
        <v>375.53657399999997</v>
      </c>
      <c r="B468" s="1">
        <f>DATE(2011,5,11) + TIME(12,52,39)</f>
        <v>40674.536562499998</v>
      </c>
      <c r="C468">
        <v>80</v>
      </c>
      <c r="D468">
        <v>79.428039550999998</v>
      </c>
      <c r="E468">
        <v>40</v>
      </c>
      <c r="F468">
        <v>38.826145171999997</v>
      </c>
      <c r="G468">
        <v>1346.5412598</v>
      </c>
      <c r="H468">
        <v>1341.7976074000001</v>
      </c>
      <c r="I468">
        <v>1320.5935059000001</v>
      </c>
      <c r="J468">
        <v>1315.4804687999999</v>
      </c>
      <c r="K468">
        <v>550</v>
      </c>
      <c r="L468">
        <v>0</v>
      </c>
      <c r="M468">
        <v>0</v>
      </c>
      <c r="N468">
        <v>550</v>
      </c>
    </row>
    <row r="469" spans="1:14" x14ac:dyDescent="0.25">
      <c r="A469">
        <v>376.01055000000002</v>
      </c>
      <c r="B469" s="1">
        <f>DATE(2011,5,12) + TIME(0,15,11)</f>
        <v>40675.01054398148</v>
      </c>
      <c r="C469">
        <v>80</v>
      </c>
      <c r="D469">
        <v>79.488403320000003</v>
      </c>
      <c r="E469">
        <v>40</v>
      </c>
      <c r="F469">
        <v>38.787391663000001</v>
      </c>
      <c r="G469">
        <v>1346.5360106999999</v>
      </c>
      <c r="H469">
        <v>1341.7930908000001</v>
      </c>
      <c r="I469">
        <v>1320.5920410000001</v>
      </c>
      <c r="J469">
        <v>1315.4758300999999</v>
      </c>
      <c r="K469">
        <v>550</v>
      </c>
      <c r="L469">
        <v>0</v>
      </c>
      <c r="M469">
        <v>0</v>
      </c>
      <c r="N469">
        <v>550</v>
      </c>
    </row>
    <row r="470" spans="1:14" x14ac:dyDescent="0.25">
      <c r="A470">
        <v>376.49620299999998</v>
      </c>
      <c r="B470" s="1">
        <f>DATE(2011,5,12) + TIME(11,54,31)</f>
        <v>40675.496192129627</v>
      </c>
      <c r="C470">
        <v>80</v>
      </c>
      <c r="D470">
        <v>79.539489746000001</v>
      </c>
      <c r="E470">
        <v>40</v>
      </c>
      <c r="F470">
        <v>38.747966765999998</v>
      </c>
      <c r="G470">
        <v>1346.5294189000001</v>
      </c>
      <c r="H470">
        <v>1341.7874756000001</v>
      </c>
      <c r="I470">
        <v>1320.5904541</v>
      </c>
      <c r="J470">
        <v>1315.4709473</v>
      </c>
      <c r="K470">
        <v>550</v>
      </c>
      <c r="L470">
        <v>0</v>
      </c>
      <c r="M470">
        <v>0</v>
      </c>
      <c r="N470">
        <v>550</v>
      </c>
    </row>
    <row r="471" spans="1:14" x14ac:dyDescent="0.25">
      <c r="A471">
        <v>376.99487599999998</v>
      </c>
      <c r="B471" s="1">
        <f>DATE(2011,5,12) + TIME(23,52,37)</f>
        <v>40675.994872685187</v>
      </c>
      <c r="C471">
        <v>80</v>
      </c>
      <c r="D471">
        <v>79.582672118999994</v>
      </c>
      <c r="E471">
        <v>40</v>
      </c>
      <c r="F471">
        <v>38.707775116000001</v>
      </c>
      <c r="G471">
        <v>1346.5214844</v>
      </c>
      <c r="H471">
        <v>1341.7807617000001</v>
      </c>
      <c r="I471">
        <v>1320.5887451000001</v>
      </c>
      <c r="J471">
        <v>1315.4659423999999</v>
      </c>
      <c r="K471">
        <v>550</v>
      </c>
      <c r="L471">
        <v>0</v>
      </c>
      <c r="M471">
        <v>0</v>
      </c>
      <c r="N471">
        <v>550</v>
      </c>
    </row>
    <row r="472" spans="1:14" x14ac:dyDescent="0.25">
      <c r="A472">
        <v>377.50802700000003</v>
      </c>
      <c r="B472" s="1">
        <f>DATE(2011,5,13) + TIME(12,11,33)</f>
        <v>40676.508020833331</v>
      </c>
      <c r="C472">
        <v>80</v>
      </c>
      <c r="D472">
        <v>79.619117736999996</v>
      </c>
      <c r="E472">
        <v>40</v>
      </c>
      <c r="F472">
        <v>38.666721344000003</v>
      </c>
      <c r="G472">
        <v>1346.5123291</v>
      </c>
      <c r="H472">
        <v>1341.7731934000001</v>
      </c>
      <c r="I472">
        <v>1320.5869141000001</v>
      </c>
      <c r="J472">
        <v>1315.4606934000001</v>
      </c>
      <c r="K472">
        <v>550</v>
      </c>
      <c r="L472">
        <v>0</v>
      </c>
      <c r="M472">
        <v>0</v>
      </c>
      <c r="N472">
        <v>550</v>
      </c>
    </row>
    <row r="473" spans="1:14" x14ac:dyDescent="0.25">
      <c r="A473">
        <v>378.03528499999999</v>
      </c>
      <c r="B473" s="1">
        <f>DATE(2011,5,14) + TIME(0,50,48)</f>
        <v>40677.035277777781</v>
      </c>
      <c r="C473">
        <v>80</v>
      </c>
      <c r="D473">
        <v>79.649726868000002</v>
      </c>
      <c r="E473">
        <v>40</v>
      </c>
      <c r="F473">
        <v>38.624824523999997</v>
      </c>
      <c r="G473">
        <v>1346.5019531</v>
      </c>
      <c r="H473">
        <v>1341.7647704999999</v>
      </c>
      <c r="I473">
        <v>1320.5848389</v>
      </c>
      <c r="J473">
        <v>1315.4553223</v>
      </c>
      <c r="K473">
        <v>550</v>
      </c>
      <c r="L473">
        <v>0</v>
      </c>
      <c r="M473">
        <v>0</v>
      </c>
      <c r="N473">
        <v>550</v>
      </c>
    </row>
    <row r="474" spans="1:14" x14ac:dyDescent="0.25">
      <c r="A474">
        <v>378.57574499999998</v>
      </c>
      <c r="B474" s="1">
        <f>DATE(2011,5,14) + TIME(13,49,4)</f>
        <v>40677.575740740744</v>
      </c>
      <c r="C474">
        <v>80</v>
      </c>
      <c r="D474">
        <v>79.675315857000001</v>
      </c>
      <c r="E474">
        <v>40</v>
      </c>
      <c r="F474">
        <v>38.582153320000003</v>
      </c>
      <c r="G474">
        <v>1346.4906006000001</v>
      </c>
      <c r="H474">
        <v>1341.7554932</v>
      </c>
      <c r="I474">
        <v>1320.5826416</v>
      </c>
      <c r="J474">
        <v>1315.4495850000001</v>
      </c>
      <c r="K474">
        <v>550</v>
      </c>
      <c r="L474">
        <v>0</v>
      </c>
      <c r="M474">
        <v>0</v>
      </c>
      <c r="N474">
        <v>550</v>
      </c>
    </row>
    <row r="475" spans="1:14" x14ac:dyDescent="0.25">
      <c r="A475">
        <v>379.13081599999998</v>
      </c>
      <c r="B475" s="1">
        <f>DATE(2011,5,15) + TIME(3,8,22)</f>
        <v>40678.130810185183</v>
      </c>
      <c r="C475">
        <v>80</v>
      </c>
      <c r="D475">
        <v>79.696685790999993</v>
      </c>
      <c r="E475">
        <v>40</v>
      </c>
      <c r="F475">
        <v>38.538612366000002</v>
      </c>
      <c r="G475">
        <v>1346.4782714999999</v>
      </c>
      <c r="H475">
        <v>1341.7454834</v>
      </c>
      <c r="I475">
        <v>1320.5803223</v>
      </c>
      <c r="J475">
        <v>1315.4437256000001</v>
      </c>
      <c r="K475">
        <v>550</v>
      </c>
      <c r="L475">
        <v>0</v>
      </c>
      <c r="M475">
        <v>0</v>
      </c>
      <c r="N475">
        <v>550</v>
      </c>
    </row>
    <row r="476" spans="1:14" x14ac:dyDescent="0.25">
      <c r="A476">
        <v>379.70193399999999</v>
      </c>
      <c r="B476" s="1">
        <f>DATE(2011,5,15) + TIME(16,50,47)</f>
        <v>40678.701932870368</v>
      </c>
      <c r="C476">
        <v>80</v>
      </c>
      <c r="D476">
        <v>79.714523314999994</v>
      </c>
      <c r="E476">
        <v>40</v>
      </c>
      <c r="F476">
        <v>38.494106293000002</v>
      </c>
      <c r="G476">
        <v>1346.4649658000001</v>
      </c>
      <c r="H476">
        <v>1341.7347411999999</v>
      </c>
      <c r="I476">
        <v>1320.5777588000001</v>
      </c>
      <c r="J476">
        <v>1315.4375</v>
      </c>
      <c r="K476">
        <v>550</v>
      </c>
      <c r="L476">
        <v>0</v>
      </c>
      <c r="M476">
        <v>0</v>
      </c>
      <c r="N476">
        <v>550</v>
      </c>
    </row>
    <row r="477" spans="1:14" x14ac:dyDescent="0.25">
      <c r="A477">
        <v>380.290682</v>
      </c>
      <c r="B477" s="1">
        <f>DATE(2011,5,16) + TIME(6,58,34)</f>
        <v>40679.290671296294</v>
      </c>
      <c r="C477">
        <v>80</v>
      </c>
      <c r="D477">
        <v>79.729400635000005</v>
      </c>
      <c r="E477">
        <v>40</v>
      </c>
      <c r="F477">
        <v>38.448532104000002</v>
      </c>
      <c r="G477">
        <v>1346.4506836</v>
      </c>
      <c r="H477">
        <v>1341.7233887</v>
      </c>
      <c r="I477">
        <v>1320.5750731999999</v>
      </c>
      <c r="J477">
        <v>1315.4310303</v>
      </c>
      <c r="K477">
        <v>550</v>
      </c>
      <c r="L477">
        <v>0</v>
      </c>
      <c r="M477">
        <v>0</v>
      </c>
      <c r="N477">
        <v>550</v>
      </c>
    </row>
    <row r="478" spans="1:14" x14ac:dyDescent="0.25">
      <c r="A478">
        <v>380.89881100000002</v>
      </c>
      <c r="B478" s="1">
        <f>DATE(2011,5,16) + TIME(21,34,17)</f>
        <v>40679.89880787037</v>
      </c>
      <c r="C478">
        <v>80</v>
      </c>
      <c r="D478">
        <v>79.741798400999997</v>
      </c>
      <c r="E478">
        <v>40</v>
      </c>
      <c r="F478">
        <v>38.401775360000002</v>
      </c>
      <c r="G478">
        <v>1346.4355469</v>
      </c>
      <c r="H478">
        <v>1341.7114257999999</v>
      </c>
      <c r="I478">
        <v>1320.5722656</v>
      </c>
      <c r="J478">
        <v>1315.4243164</v>
      </c>
      <c r="K478">
        <v>550</v>
      </c>
      <c r="L478">
        <v>0</v>
      </c>
      <c r="M478">
        <v>0</v>
      </c>
      <c r="N478">
        <v>550</v>
      </c>
    </row>
    <row r="479" spans="1:14" x14ac:dyDescent="0.25">
      <c r="A479">
        <v>381.52829700000001</v>
      </c>
      <c r="B479" s="1">
        <f>DATE(2011,5,17) + TIME(12,40,44)</f>
        <v>40680.528287037036</v>
      </c>
      <c r="C479">
        <v>80</v>
      </c>
      <c r="D479">
        <v>79.752128600999995</v>
      </c>
      <c r="E479">
        <v>40</v>
      </c>
      <c r="F479">
        <v>38.353706359999997</v>
      </c>
      <c r="G479">
        <v>1346.4196777</v>
      </c>
      <c r="H479">
        <v>1341.6988524999999</v>
      </c>
      <c r="I479">
        <v>1320.5692139</v>
      </c>
      <c r="J479">
        <v>1315.4172363</v>
      </c>
      <c r="K479">
        <v>550</v>
      </c>
      <c r="L479">
        <v>0</v>
      </c>
      <c r="M479">
        <v>0</v>
      </c>
      <c r="N479">
        <v>550</v>
      </c>
    </row>
    <row r="480" spans="1:14" x14ac:dyDescent="0.25">
      <c r="A480">
        <v>382.18172800000002</v>
      </c>
      <c r="B480" s="1">
        <f>DATE(2011,5,18) + TIME(4,21,41)</f>
        <v>40681.18172453704</v>
      </c>
      <c r="C480">
        <v>80</v>
      </c>
      <c r="D480">
        <v>79.760742187999995</v>
      </c>
      <c r="E480">
        <v>40</v>
      </c>
      <c r="F480">
        <v>38.304168701000002</v>
      </c>
      <c r="G480">
        <v>1346.402832</v>
      </c>
      <c r="H480">
        <v>1341.6856689000001</v>
      </c>
      <c r="I480">
        <v>1320.5660399999999</v>
      </c>
      <c r="J480">
        <v>1315.4097899999999</v>
      </c>
      <c r="K480">
        <v>550</v>
      </c>
      <c r="L480">
        <v>0</v>
      </c>
      <c r="M480">
        <v>0</v>
      </c>
      <c r="N480">
        <v>550</v>
      </c>
    </row>
    <row r="481" spans="1:14" x14ac:dyDescent="0.25">
      <c r="A481">
        <v>382.854513</v>
      </c>
      <c r="B481" s="1">
        <f>DATE(2011,5,18) + TIME(20,30,29)</f>
        <v>40681.854502314818</v>
      </c>
      <c r="C481">
        <v>80</v>
      </c>
      <c r="D481">
        <v>79.767868042000003</v>
      </c>
      <c r="E481">
        <v>40</v>
      </c>
      <c r="F481">
        <v>38.253456116000002</v>
      </c>
      <c r="G481">
        <v>1346.3852539</v>
      </c>
      <c r="H481">
        <v>1341.6719971</v>
      </c>
      <c r="I481">
        <v>1320.5625</v>
      </c>
      <c r="J481">
        <v>1315.4018555</v>
      </c>
      <c r="K481">
        <v>550</v>
      </c>
      <c r="L481">
        <v>0</v>
      </c>
      <c r="M481">
        <v>0</v>
      </c>
      <c r="N481">
        <v>550</v>
      </c>
    </row>
    <row r="482" spans="1:14" x14ac:dyDescent="0.25">
      <c r="A482">
        <v>383.54866399999997</v>
      </c>
      <c r="B482" s="1">
        <f>DATE(2011,5,19) + TIME(13,10,4)</f>
        <v>40682.548657407409</v>
      </c>
      <c r="C482">
        <v>80</v>
      </c>
      <c r="D482">
        <v>79.773765564000001</v>
      </c>
      <c r="E482">
        <v>40</v>
      </c>
      <c r="F482">
        <v>38.201446533000002</v>
      </c>
      <c r="G482">
        <v>1346.3669434000001</v>
      </c>
      <c r="H482">
        <v>1341.6579589999999</v>
      </c>
      <c r="I482">
        <v>1320.5588379000001</v>
      </c>
      <c r="J482">
        <v>1315.3936768000001</v>
      </c>
      <c r="K482">
        <v>550</v>
      </c>
      <c r="L482">
        <v>0</v>
      </c>
      <c r="M482">
        <v>0</v>
      </c>
      <c r="N482">
        <v>550</v>
      </c>
    </row>
    <row r="483" spans="1:14" x14ac:dyDescent="0.25">
      <c r="A483">
        <v>384.26610599999998</v>
      </c>
      <c r="B483" s="1">
        <f>DATE(2011,5,20) + TIME(6,23,11)</f>
        <v>40683.266099537039</v>
      </c>
      <c r="C483">
        <v>80</v>
      </c>
      <c r="D483">
        <v>79.778656006000006</v>
      </c>
      <c r="E483">
        <v>40</v>
      </c>
      <c r="F483">
        <v>38.148021698000001</v>
      </c>
      <c r="G483">
        <v>1346.3480225000001</v>
      </c>
      <c r="H483">
        <v>1341.6434326000001</v>
      </c>
      <c r="I483">
        <v>1320.5549315999999</v>
      </c>
      <c r="J483">
        <v>1315.3850098</v>
      </c>
      <c r="K483">
        <v>550</v>
      </c>
      <c r="L483">
        <v>0</v>
      </c>
      <c r="M483">
        <v>0</v>
      </c>
      <c r="N483">
        <v>550</v>
      </c>
    </row>
    <row r="484" spans="1:14" x14ac:dyDescent="0.25">
      <c r="A484">
        <v>385.00899500000003</v>
      </c>
      <c r="B484" s="1">
        <f>DATE(2011,5,21) + TIME(0,12,57)</f>
        <v>40684.008993055555</v>
      </c>
      <c r="C484">
        <v>80</v>
      </c>
      <c r="D484">
        <v>79.782730103000006</v>
      </c>
      <c r="E484">
        <v>40</v>
      </c>
      <c r="F484">
        <v>38.093059539999999</v>
      </c>
      <c r="G484">
        <v>1346.3286132999999</v>
      </c>
      <c r="H484">
        <v>1341.628418</v>
      </c>
      <c r="I484">
        <v>1320.5509033000001</v>
      </c>
      <c r="J484">
        <v>1315.3758545000001</v>
      </c>
      <c r="K484">
        <v>550</v>
      </c>
      <c r="L484">
        <v>0</v>
      </c>
      <c r="M484">
        <v>0</v>
      </c>
      <c r="N484">
        <v>550</v>
      </c>
    </row>
    <row r="485" spans="1:14" x14ac:dyDescent="0.25">
      <c r="A485">
        <v>385.78029400000003</v>
      </c>
      <c r="B485" s="1">
        <f>DATE(2011,5,21) + TIME(18,43,37)</f>
        <v>40684.780289351853</v>
      </c>
      <c r="C485">
        <v>80</v>
      </c>
      <c r="D485">
        <v>79.786132812000005</v>
      </c>
      <c r="E485">
        <v>40</v>
      </c>
      <c r="F485">
        <v>38.036376953000001</v>
      </c>
      <c r="G485">
        <v>1346.3083495999999</v>
      </c>
      <c r="H485">
        <v>1341.6131591999999</v>
      </c>
      <c r="I485">
        <v>1320.5465088000001</v>
      </c>
      <c r="J485">
        <v>1315.3663329999999</v>
      </c>
      <c r="K485">
        <v>550</v>
      </c>
      <c r="L485">
        <v>0</v>
      </c>
      <c r="M485">
        <v>0</v>
      </c>
      <c r="N485">
        <v>550</v>
      </c>
    </row>
    <row r="486" spans="1:14" x14ac:dyDescent="0.25">
      <c r="A486">
        <v>386.56685399999998</v>
      </c>
      <c r="B486" s="1">
        <f>DATE(2011,5,22) + TIME(13,36,16)</f>
        <v>40685.566851851851</v>
      </c>
      <c r="C486">
        <v>80</v>
      </c>
      <c r="D486">
        <v>79.788932799999998</v>
      </c>
      <c r="E486">
        <v>40</v>
      </c>
      <c r="F486">
        <v>37.978778839</v>
      </c>
      <c r="G486">
        <v>1346.2875977000001</v>
      </c>
      <c r="H486">
        <v>1341.5974120999999</v>
      </c>
      <c r="I486">
        <v>1320.5418701000001</v>
      </c>
      <c r="J486">
        <v>1315.3562012</v>
      </c>
      <c r="K486">
        <v>550</v>
      </c>
      <c r="L486">
        <v>0</v>
      </c>
      <c r="M486">
        <v>0</v>
      </c>
      <c r="N486">
        <v>550</v>
      </c>
    </row>
    <row r="487" spans="1:14" x14ac:dyDescent="0.25">
      <c r="A487">
        <v>387.36497200000002</v>
      </c>
      <c r="B487" s="1">
        <f>DATE(2011,5,23) + TIME(8,45,33)</f>
        <v>40686.364965277775</v>
      </c>
      <c r="C487">
        <v>80</v>
      </c>
      <c r="D487">
        <v>79.791236877000003</v>
      </c>
      <c r="E487">
        <v>40</v>
      </c>
      <c r="F487">
        <v>37.920505523999999</v>
      </c>
      <c r="G487">
        <v>1346.2666016000001</v>
      </c>
      <c r="H487">
        <v>1341.581543</v>
      </c>
      <c r="I487">
        <v>1320.5369873</v>
      </c>
      <c r="J487">
        <v>1315.3457031</v>
      </c>
      <c r="K487">
        <v>550</v>
      </c>
      <c r="L487">
        <v>0</v>
      </c>
      <c r="M487">
        <v>0</v>
      </c>
      <c r="N487">
        <v>550</v>
      </c>
    </row>
    <row r="488" spans="1:14" x14ac:dyDescent="0.25">
      <c r="A488">
        <v>388.17220500000002</v>
      </c>
      <c r="B488" s="1">
        <f>DATE(2011,5,24) + TIME(4,7,58)</f>
        <v>40687.172199074077</v>
      </c>
      <c r="C488">
        <v>80</v>
      </c>
      <c r="D488">
        <v>79.793144225999995</v>
      </c>
      <c r="E488">
        <v>40</v>
      </c>
      <c r="F488">
        <v>37.861732482999997</v>
      </c>
      <c r="G488">
        <v>1346.2454834</v>
      </c>
      <c r="H488">
        <v>1341.5656738</v>
      </c>
      <c r="I488">
        <v>1320.5318603999999</v>
      </c>
      <c r="J488">
        <v>1315.3349608999999</v>
      </c>
      <c r="K488">
        <v>550</v>
      </c>
      <c r="L488">
        <v>0</v>
      </c>
      <c r="M488">
        <v>0</v>
      </c>
      <c r="N488">
        <v>550</v>
      </c>
    </row>
    <row r="489" spans="1:14" x14ac:dyDescent="0.25">
      <c r="A489">
        <v>388.99073900000002</v>
      </c>
      <c r="B489" s="1">
        <f>DATE(2011,5,24) + TIME(23,46,39)</f>
        <v>40687.990729166668</v>
      </c>
      <c r="C489">
        <v>80</v>
      </c>
      <c r="D489">
        <v>79.794723511000001</v>
      </c>
      <c r="E489">
        <v>40</v>
      </c>
      <c r="F489">
        <v>37.802349091000004</v>
      </c>
      <c r="G489">
        <v>1346.2243652</v>
      </c>
      <c r="H489">
        <v>1341.5498047000001</v>
      </c>
      <c r="I489">
        <v>1320.5267334</v>
      </c>
      <c r="J489">
        <v>1315.3238524999999</v>
      </c>
      <c r="K489">
        <v>550</v>
      </c>
      <c r="L489">
        <v>0</v>
      </c>
      <c r="M489">
        <v>0</v>
      </c>
      <c r="N489">
        <v>550</v>
      </c>
    </row>
    <row r="490" spans="1:14" x14ac:dyDescent="0.25">
      <c r="A490">
        <v>389.822768</v>
      </c>
      <c r="B490" s="1">
        <f>DATE(2011,5,25) + TIME(19,44,47)</f>
        <v>40688.822766203702</v>
      </c>
      <c r="C490">
        <v>80</v>
      </c>
      <c r="D490">
        <v>79.796058654999996</v>
      </c>
      <c r="E490">
        <v>40</v>
      </c>
      <c r="F490">
        <v>37.742248535000002</v>
      </c>
      <c r="G490">
        <v>1346.2032471</v>
      </c>
      <c r="H490">
        <v>1341.5341797000001</v>
      </c>
      <c r="I490">
        <v>1320.5213623</v>
      </c>
      <c r="J490">
        <v>1315.3123779</v>
      </c>
      <c r="K490">
        <v>550</v>
      </c>
      <c r="L490">
        <v>0</v>
      </c>
      <c r="M490">
        <v>0</v>
      </c>
      <c r="N490">
        <v>550</v>
      </c>
    </row>
    <row r="491" spans="1:14" x14ac:dyDescent="0.25">
      <c r="A491">
        <v>390.67055699999997</v>
      </c>
      <c r="B491" s="1">
        <f>DATE(2011,5,26) + TIME(16,5,36)</f>
        <v>40689.670555555553</v>
      </c>
      <c r="C491">
        <v>80</v>
      </c>
      <c r="D491">
        <v>79.797180175999998</v>
      </c>
      <c r="E491">
        <v>40</v>
      </c>
      <c r="F491">
        <v>37.681304932000003</v>
      </c>
      <c r="G491">
        <v>1346.1821289</v>
      </c>
      <c r="H491">
        <v>1341.5184326000001</v>
      </c>
      <c r="I491">
        <v>1320.5157471</v>
      </c>
      <c r="J491">
        <v>1315.3005370999999</v>
      </c>
      <c r="K491">
        <v>550</v>
      </c>
      <c r="L491">
        <v>0</v>
      </c>
      <c r="M491">
        <v>0</v>
      </c>
      <c r="N491">
        <v>550</v>
      </c>
    </row>
    <row r="492" spans="1:14" x14ac:dyDescent="0.25">
      <c r="A492">
        <v>391.53650699999997</v>
      </c>
      <c r="B492" s="1">
        <f>DATE(2011,5,27) + TIME(12,52,34)</f>
        <v>40690.536504629628</v>
      </c>
      <c r="C492">
        <v>80</v>
      </c>
      <c r="D492">
        <v>79.798133849999999</v>
      </c>
      <c r="E492">
        <v>40</v>
      </c>
      <c r="F492">
        <v>37.619400024000001</v>
      </c>
      <c r="G492">
        <v>1346.1608887</v>
      </c>
      <c r="H492">
        <v>1341.5026855000001</v>
      </c>
      <c r="I492">
        <v>1320.5100098</v>
      </c>
      <c r="J492">
        <v>1315.2882079999999</v>
      </c>
      <c r="K492">
        <v>550</v>
      </c>
      <c r="L492">
        <v>0</v>
      </c>
      <c r="M492">
        <v>0</v>
      </c>
      <c r="N492">
        <v>550</v>
      </c>
    </row>
    <row r="493" spans="1:14" x14ac:dyDescent="0.25">
      <c r="A493">
        <v>392.42412400000001</v>
      </c>
      <c r="B493" s="1">
        <f>DATE(2011,5,28) + TIME(10,10,44)</f>
        <v>40691.424120370371</v>
      </c>
      <c r="C493">
        <v>80</v>
      </c>
      <c r="D493">
        <v>79.798950195000003</v>
      </c>
      <c r="E493">
        <v>40</v>
      </c>
      <c r="F493">
        <v>37.556331634999999</v>
      </c>
      <c r="G493">
        <v>1346.1395264</v>
      </c>
      <c r="H493">
        <v>1341.4869385</v>
      </c>
      <c r="I493">
        <v>1320.5040283000001</v>
      </c>
      <c r="J493">
        <v>1315.2753906</v>
      </c>
      <c r="K493">
        <v>550</v>
      </c>
      <c r="L493">
        <v>0</v>
      </c>
      <c r="M493">
        <v>0</v>
      </c>
      <c r="N493">
        <v>550</v>
      </c>
    </row>
    <row r="494" spans="1:14" x14ac:dyDescent="0.25">
      <c r="A494">
        <v>393.32553300000001</v>
      </c>
      <c r="B494" s="1">
        <f>DATE(2011,5,29) + TIME(7,48,46)</f>
        <v>40692.325532407405</v>
      </c>
      <c r="C494">
        <v>80</v>
      </c>
      <c r="D494">
        <v>79.799644470000004</v>
      </c>
      <c r="E494">
        <v>40</v>
      </c>
      <c r="F494">
        <v>37.492561340000002</v>
      </c>
      <c r="G494">
        <v>1346.1179199000001</v>
      </c>
      <c r="H494">
        <v>1341.4710693</v>
      </c>
      <c r="I494">
        <v>1320.4976807</v>
      </c>
      <c r="J494">
        <v>1315.2620850000001</v>
      </c>
      <c r="K494">
        <v>550</v>
      </c>
      <c r="L494">
        <v>0</v>
      </c>
      <c r="M494">
        <v>0</v>
      </c>
      <c r="N494">
        <v>550</v>
      </c>
    </row>
    <row r="495" spans="1:14" x14ac:dyDescent="0.25">
      <c r="A495">
        <v>394.242099</v>
      </c>
      <c r="B495" s="1">
        <f>DATE(2011,5,30) + TIME(5,48,37)</f>
        <v>40693.242094907408</v>
      </c>
      <c r="C495">
        <v>80</v>
      </c>
      <c r="D495">
        <v>79.800231933999996</v>
      </c>
      <c r="E495">
        <v>40</v>
      </c>
      <c r="F495">
        <v>37.428031920999999</v>
      </c>
      <c r="G495">
        <v>1346.0964355000001</v>
      </c>
      <c r="H495">
        <v>1341.4552002</v>
      </c>
      <c r="I495">
        <v>1320.4912108999999</v>
      </c>
      <c r="J495">
        <v>1315.2484131000001</v>
      </c>
      <c r="K495">
        <v>550</v>
      </c>
      <c r="L495">
        <v>0</v>
      </c>
      <c r="M495">
        <v>0</v>
      </c>
      <c r="N495">
        <v>550</v>
      </c>
    </row>
    <row r="496" spans="1:14" x14ac:dyDescent="0.25">
      <c r="A496">
        <v>395.17604599999999</v>
      </c>
      <c r="B496" s="1">
        <f>DATE(2011,5,31) + TIME(4,13,30)</f>
        <v>40694.176041666666</v>
      </c>
      <c r="C496">
        <v>80</v>
      </c>
      <c r="D496">
        <v>79.800735474000007</v>
      </c>
      <c r="E496">
        <v>40</v>
      </c>
      <c r="F496">
        <v>37.362632751</v>
      </c>
      <c r="G496">
        <v>1346.0749512</v>
      </c>
      <c r="H496">
        <v>1341.4395752</v>
      </c>
      <c r="I496">
        <v>1320.4846190999999</v>
      </c>
      <c r="J496">
        <v>1315.2342529</v>
      </c>
      <c r="K496">
        <v>550</v>
      </c>
      <c r="L496">
        <v>0</v>
      </c>
      <c r="M496">
        <v>0</v>
      </c>
      <c r="N496">
        <v>550</v>
      </c>
    </row>
    <row r="497" spans="1:14" x14ac:dyDescent="0.25">
      <c r="A497">
        <v>396</v>
      </c>
      <c r="B497" s="1">
        <f>DATE(2011,6,1) + TIME(0,0,0)</f>
        <v>40695</v>
      </c>
      <c r="C497">
        <v>80</v>
      </c>
      <c r="D497">
        <v>79.801109314000001</v>
      </c>
      <c r="E497">
        <v>40</v>
      </c>
      <c r="F497">
        <v>37.303680419999999</v>
      </c>
      <c r="G497">
        <v>1346.0534668</v>
      </c>
      <c r="H497">
        <v>1341.4238281</v>
      </c>
      <c r="I497">
        <v>1320.4776611</v>
      </c>
      <c r="J497">
        <v>1315.2202147999999</v>
      </c>
      <c r="K497">
        <v>550</v>
      </c>
      <c r="L497">
        <v>0</v>
      </c>
      <c r="M497">
        <v>0</v>
      </c>
      <c r="N497">
        <v>550</v>
      </c>
    </row>
    <row r="498" spans="1:14" x14ac:dyDescent="0.25">
      <c r="A498">
        <v>396.95366300000001</v>
      </c>
      <c r="B498" s="1">
        <f>DATE(2011,6,1) + TIME(22,53,16)</f>
        <v>40695.953657407408</v>
      </c>
      <c r="C498">
        <v>80</v>
      </c>
      <c r="D498">
        <v>79.801490783999995</v>
      </c>
      <c r="E498">
        <v>40</v>
      </c>
      <c r="F498">
        <v>37.237720490000001</v>
      </c>
      <c r="G498">
        <v>1346.034668</v>
      </c>
      <c r="H498">
        <v>1341.4102783000001</v>
      </c>
      <c r="I498">
        <v>1320.4715576000001</v>
      </c>
      <c r="J498">
        <v>1315.2064209</v>
      </c>
      <c r="K498">
        <v>550</v>
      </c>
      <c r="L498">
        <v>0</v>
      </c>
      <c r="M498">
        <v>0</v>
      </c>
      <c r="N498">
        <v>550</v>
      </c>
    </row>
    <row r="499" spans="1:14" x14ac:dyDescent="0.25">
      <c r="A499">
        <v>397.95173899999998</v>
      </c>
      <c r="B499" s="1">
        <f>DATE(2011,6,2) + TIME(22,50,30)</f>
        <v>40696.951736111114</v>
      </c>
      <c r="C499">
        <v>80</v>
      </c>
      <c r="D499">
        <v>79.801818847999996</v>
      </c>
      <c r="E499">
        <v>40</v>
      </c>
      <c r="F499">
        <v>37.169429778999998</v>
      </c>
      <c r="G499">
        <v>1346.0134277</v>
      </c>
      <c r="H499">
        <v>1341.3947754000001</v>
      </c>
      <c r="I499">
        <v>1320.4643555</v>
      </c>
      <c r="J499">
        <v>1315.1910399999999</v>
      </c>
      <c r="K499">
        <v>550</v>
      </c>
      <c r="L499">
        <v>0</v>
      </c>
      <c r="M499">
        <v>0</v>
      </c>
      <c r="N499">
        <v>550</v>
      </c>
    </row>
    <row r="500" spans="1:14" x14ac:dyDescent="0.25">
      <c r="A500">
        <v>398.97823199999999</v>
      </c>
      <c r="B500" s="1">
        <f>DATE(2011,6,3) + TIME(23,28,39)</f>
        <v>40697.978229166663</v>
      </c>
      <c r="C500">
        <v>80</v>
      </c>
      <c r="D500">
        <v>79.802108765</v>
      </c>
      <c r="E500">
        <v>40</v>
      </c>
      <c r="F500">
        <v>37.099651336999997</v>
      </c>
      <c r="G500">
        <v>1345.9915771000001</v>
      </c>
      <c r="H500">
        <v>1341.3790283000001</v>
      </c>
      <c r="I500">
        <v>1320.4566649999999</v>
      </c>
      <c r="J500">
        <v>1315.1748047000001</v>
      </c>
      <c r="K500">
        <v>550</v>
      </c>
      <c r="L500">
        <v>0</v>
      </c>
      <c r="M500">
        <v>0</v>
      </c>
      <c r="N500">
        <v>550</v>
      </c>
    </row>
    <row r="501" spans="1:14" x14ac:dyDescent="0.25">
      <c r="A501">
        <v>400.02913799999999</v>
      </c>
      <c r="B501" s="1">
        <f>DATE(2011,6,5) + TIME(0,41,57)</f>
        <v>40699.029131944444</v>
      </c>
      <c r="C501">
        <v>80</v>
      </c>
      <c r="D501">
        <v>79.802360535000005</v>
      </c>
      <c r="E501">
        <v>40</v>
      </c>
      <c r="F501">
        <v>37.028617859000001</v>
      </c>
      <c r="G501">
        <v>1345.9696045000001</v>
      </c>
      <c r="H501">
        <v>1341.3630370999999</v>
      </c>
      <c r="I501">
        <v>1320.4487305</v>
      </c>
      <c r="J501">
        <v>1315.1578368999999</v>
      </c>
      <c r="K501">
        <v>550</v>
      </c>
      <c r="L501">
        <v>0</v>
      </c>
      <c r="M501">
        <v>0</v>
      </c>
      <c r="N501">
        <v>550</v>
      </c>
    </row>
    <row r="502" spans="1:14" x14ac:dyDescent="0.25">
      <c r="A502">
        <v>401.09974799999998</v>
      </c>
      <c r="B502" s="1">
        <f>DATE(2011,6,6) + TIME(2,23,38)</f>
        <v>40700.099745370368</v>
      </c>
      <c r="C502">
        <v>80</v>
      </c>
      <c r="D502">
        <v>79.802566528</v>
      </c>
      <c r="E502">
        <v>40</v>
      </c>
      <c r="F502">
        <v>36.956615448000001</v>
      </c>
      <c r="G502">
        <v>1345.9475098</v>
      </c>
      <c r="H502">
        <v>1341.3470459</v>
      </c>
      <c r="I502">
        <v>1320.4405518000001</v>
      </c>
      <c r="J502">
        <v>1315.1403809000001</v>
      </c>
      <c r="K502">
        <v>550</v>
      </c>
      <c r="L502">
        <v>0</v>
      </c>
      <c r="M502">
        <v>0</v>
      </c>
      <c r="N502">
        <v>550</v>
      </c>
    </row>
    <row r="503" spans="1:14" x14ac:dyDescent="0.25">
      <c r="A503">
        <v>402.192611</v>
      </c>
      <c r="B503" s="1">
        <f>DATE(2011,6,7) + TIME(4,37,21)</f>
        <v>40701.192604166667</v>
      </c>
      <c r="C503">
        <v>80</v>
      </c>
      <c r="D503">
        <v>79.802749633999994</v>
      </c>
      <c r="E503">
        <v>40</v>
      </c>
      <c r="F503">
        <v>36.883548736999998</v>
      </c>
      <c r="G503">
        <v>1345.9254149999999</v>
      </c>
      <c r="H503">
        <v>1341.3311768000001</v>
      </c>
      <c r="I503">
        <v>1320.4321289</v>
      </c>
      <c r="J503">
        <v>1315.1221923999999</v>
      </c>
      <c r="K503">
        <v>550</v>
      </c>
      <c r="L503">
        <v>0</v>
      </c>
      <c r="M503">
        <v>0</v>
      </c>
      <c r="N503">
        <v>550</v>
      </c>
    </row>
    <row r="504" spans="1:14" x14ac:dyDescent="0.25">
      <c r="A504">
        <v>403.31035200000002</v>
      </c>
      <c r="B504" s="1">
        <f>DATE(2011,6,8) + TIME(7,26,54)</f>
        <v>40702.310347222221</v>
      </c>
      <c r="C504">
        <v>80</v>
      </c>
      <c r="D504">
        <v>79.802909850999995</v>
      </c>
      <c r="E504">
        <v>40</v>
      </c>
      <c r="F504">
        <v>36.809329986999998</v>
      </c>
      <c r="G504">
        <v>1345.9031981999999</v>
      </c>
      <c r="H504">
        <v>1341.3151855000001</v>
      </c>
      <c r="I504">
        <v>1320.4233397999999</v>
      </c>
      <c r="J504">
        <v>1315.1035156</v>
      </c>
      <c r="K504">
        <v>550</v>
      </c>
      <c r="L504">
        <v>0</v>
      </c>
      <c r="M504">
        <v>0</v>
      </c>
      <c r="N504">
        <v>550</v>
      </c>
    </row>
    <row r="505" spans="1:14" x14ac:dyDescent="0.25">
      <c r="A505">
        <v>404.456096</v>
      </c>
      <c r="B505" s="1">
        <f>DATE(2011,6,9) + TIME(10,56,46)</f>
        <v>40703.456087962964</v>
      </c>
      <c r="C505">
        <v>80</v>
      </c>
      <c r="D505">
        <v>79.803039550999998</v>
      </c>
      <c r="E505">
        <v>40</v>
      </c>
      <c r="F505">
        <v>36.733833312999998</v>
      </c>
      <c r="G505">
        <v>1345.8811035000001</v>
      </c>
      <c r="H505">
        <v>1341.2993164</v>
      </c>
      <c r="I505">
        <v>1320.4143065999999</v>
      </c>
      <c r="J505">
        <v>1315.0839844</v>
      </c>
      <c r="K505">
        <v>550</v>
      </c>
      <c r="L505">
        <v>0</v>
      </c>
      <c r="M505">
        <v>0</v>
      </c>
      <c r="N505">
        <v>550</v>
      </c>
    </row>
    <row r="506" spans="1:14" x14ac:dyDescent="0.25">
      <c r="A506">
        <v>405.63478500000002</v>
      </c>
      <c r="B506" s="1">
        <f>DATE(2011,6,10) + TIME(15,14,5)</f>
        <v>40704.634780092594</v>
      </c>
      <c r="C506">
        <v>80</v>
      </c>
      <c r="D506">
        <v>79.803161621000001</v>
      </c>
      <c r="E506">
        <v>40</v>
      </c>
      <c r="F506">
        <v>36.656845093000001</v>
      </c>
      <c r="G506">
        <v>1345.8587646000001</v>
      </c>
      <c r="H506">
        <v>1341.2833252</v>
      </c>
      <c r="I506">
        <v>1320.4050293</v>
      </c>
      <c r="J506">
        <v>1315.0638428</v>
      </c>
      <c r="K506">
        <v>550</v>
      </c>
      <c r="L506">
        <v>0</v>
      </c>
      <c r="M506">
        <v>0</v>
      </c>
      <c r="N506">
        <v>550</v>
      </c>
    </row>
    <row r="507" spans="1:14" x14ac:dyDescent="0.25">
      <c r="A507">
        <v>406.83836400000001</v>
      </c>
      <c r="B507" s="1">
        <f>DATE(2011,6,11) + TIME(20,7,14)</f>
        <v>40705.838356481479</v>
      </c>
      <c r="C507">
        <v>80</v>
      </c>
      <c r="D507">
        <v>79.803260803000001</v>
      </c>
      <c r="E507">
        <v>40</v>
      </c>
      <c r="F507">
        <v>36.578796386999997</v>
      </c>
      <c r="G507">
        <v>1345.8361815999999</v>
      </c>
      <c r="H507">
        <v>1341.2670897999999</v>
      </c>
      <c r="I507">
        <v>1320.3953856999999</v>
      </c>
      <c r="J507">
        <v>1315.0429687999999</v>
      </c>
      <c r="K507">
        <v>550</v>
      </c>
      <c r="L507">
        <v>0</v>
      </c>
      <c r="M507">
        <v>0</v>
      </c>
      <c r="N507">
        <v>550</v>
      </c>
    </row>
    <row r="508" spans="1:14" x14ac:dyDescent="0.25">
      <c r="A508">
        <v>408.06158399999998</v>
      </c>
      <c r="B508" s="1">
        <f>DATE(2011,6,13) + TIME(1,28,40)</f>
        <v>40707.061574074076</v>
      </c>
      <c r="C508">
        <v>80</v>
      </c>
      <c r="D508">
        <v>79.803344726999995</v>
      </c>
      <c r="E508">
        <v>40</v>
      </c>
      <c r="F508">
        <v>36.5</v>
      </c>
      <c r="G508">
        <v>1345.8137207</v>
      </c>
      <c r="H508">
        <v>1341.2509766000001</v>
      </c>
      <c r="I508">
        <v>1320.385376</v>
      </c>
      <c r="J508">
        <v>1315.0213623</v>
      </c>
      <c r="K508">
        <v>550</v>
      </c>
      <c r="L508">
        <v>0</v>
      </c>
      <c r="M508">
        <v>0</v>
      </c>
      <c r="N508">
        <v>550</v>
      </c>
    </row>
    <row r="509" spans="1:14" x14ac:dyDescent="0.25">
      <c r="A509">
        <v>409.308156</v>
      </c>
      <c r="B509" s="1">
        <f>DATE(2011,6,14) + TIME(7,23,44)</f>
        <v>40708.308148148149</v>
      </c>
      <c r="C509">
        <v>80</v>
      </c>
      <c r="D509">
        <v>79.803421021000005</v>
      </c>
      <c r="E509">
        <v>40</v>
      </c>
      <c r="F509">
        <v>36.420356750000003</v>
      </c>
      <c r="G509">
        <v>1345.7912598</v>
      </c>
      <c r="H509">
        <v>1341.2349853999999</v>
      </c>
      <c r="I509">
        <v>1320.3752440999999</v>
      </c>
      <c r="J509">
        <v>1314.9991454999999</v>
      </c>
      <c r="K509">
        <v>550</v>
      </c>
      <c r="L509">
        <v>0</v>
      </c>
      <c r="M509">
        <v>0</v>
      </c>
      <c r="N509">
        <v>550</v>
      </c>
    </row>
    <row r="510" spans="1:14" x14ac:dyDescent="0.25">
      <c r="A510">
        <v>410.58187400000003</v>
      </c>
      <c r="B510" s="1">
        <f>DATE(2011,6,15) + TIME(13,57,53)</f>
        <v>40709.581863425927</v>
      </c>
      <c r="C510">
        <v>80</v>
      </c>
      <c r="D510">
        <v>79.803489685000002</v>
      </c>
      <c r="E510">
        <v>40</v>
      </c>
      <c r="F510">
        <v>36.339752197000003</v>
      </c>
      <c r="G510">
        <v>1345.7687988</v>
      </c>
      <c r="H510">
        <v>1341.2189940999999</v>
      </c>
      <c r="I510">
        <v>1320.3648682</v>
      </c>
      <c r="J510">
        <v>1314.9763184000001</v>
      </c>
      <c r="K510">
        <v>550</v>
      </c>
      <c r="L510">
        <v>0</v>
      </c>
      <c r="M510">
        <v>0</v>
      </c>
      <c r="N510">
        <v>550</v>
      </c>
    </row>
    <row r="511" spans="1:14" x14ac:dyDescent="0.25">
      <c r="A511">
        <v>411.870879</v>
      </c>
      <c r="B511" s="1">
        <f>DATE(2011,6,16) + TIME(20,54,3)</f>
        <v>40710.870868055557</v>
      </c>
      <c r="C511">
        <v>80</v>
      </c>
      <c r="D511">
        <v>79.803543090999995</v>
      </c>
      <c r="E511">
        <v>40</v>
      </c>
      <c r="F511">
        <v>36.258800506999997</v>
      </c>
      <c r="G511">
        <v>1345.7463379000001</v>
      </c>
      <c r="H511">
        <v>1341.2028809000001</v>
      </c>
      <c r="I511">
        <v>1320.354126</v>
      </c>
      <c r="J511">
        <v>1314.9527588000001</v>
      </c>
      <c r="K511">
        <v>550</v>
      </c>
      <c r="L511">
        <v>0</v>
      </c>
      <c r="M511">
        <v>0</v>
      </c>
      <c r="N511">
        <v>550</v>
      </c>
    </row>
    <row r="512" spans="1:14" x14ac:dyDescent="0.25">
      <c r="A512">
        <v>413.17474199999998</v>
      </c>
      <c r="B512" s="1">
        <f>DATE(2011,6,18) + TIME(4,11,37)</f>
        <v>40712.174733796295</v>
      </c>
      <c r="C512">
        <v>80</v>
      </c>
      <c r="D512">
        <v>79.803596497000001</v>
      </c>
      <c r="E512">
        <v>40</v>
      </c>
      <c r="F512">
        <v>36.177623748999999</v>
      </c>
      <c r="G512">
        <v>1345.723999</v>
      </c>
      <c r="H512">
        <v>1341.1870117000001</v>
      </c>
      <c r="I512">
        <v>1320.3432617000001</v>
      </c>
      <c r="J512">
        <v>1314.9288329999999</v>
      </c>
      <c r="K512">
        <v>550</v>
      </c>
      <c r="L512">
        <v>0</v>
      </c>
      <c r="M512">
        <v>0</v>
      </c>
      <c r="N512">
        <v>550</v>
      </c>
    </row>
    <row r="513" spans="1:14" x14ac:dyDescent="0.25">
      <c r="A513">
        <v>414.496714</v>
      </c>
      <c r="B513" s="1">
        <f>DATE(2011,6,19) + TIME(11,55,16)</f>
        <v>40713.496712962966</v>
      </c>
      <c r="C513">
        <v>80</v>
      </c>
      <c r="D513">
        <v>79.803642272999994</v>
      </c>
      <c r="E513">
        <v>40</v>
      </c>
      <c r="F513">
        <v>36.096172332999998</v>
      </c>
      <c r="G513">
        <v>1345.7017822</v>
      </c>
      <c r="H513">
        <v>1341.1712646000001</v>
      </c>
      <c r="I513">
        <v>1320.3322754000001</v>
      </c>
      <c r="J513">
        <v>1314.9042969</v>
      </c>
      <c r="K513">
        <v>550</v>
      </c>
      <c r="L513">
        <v>0</v>
      </c>
      <c r="M513">
        <v>0</v>
      </c>
      <c r="N513">
        <v>550</v>
      </c>
    </row>
    <row r="514" spans="1:14" x14ac:dyDescent="0.25">
      <c r="A514">
        <v>415.84133700000001</v>
      </c>
      <c r="B514" s="1">
        <f>DATE(2011,6,20) + TIME(20,11,31)</f>
        <v>40714.841331018521</v>
      </c>
      <c r="C514">
        <v>80</v>
      </c>
      <c r="D514">
        <v>79.803688049000002</v>
      </c>
      <c r="E514">
        <v>40</v>
      </c>
      <c r="F514">
        <v>36.014331818000002</v>
      </c>
      <c r="G514">
        <v>1345.6798096</v>
      </c>
      <c r="H514">
        <v>1341.1555175999999</v>
      </c>
      <c r="I514">
        <v>1320.3210449000001</v>
      </c>
      <c r="J514">
        <v>1314.8791504000001</v>
      </c>
      <c r="K514">
        <v>550</v>
      </c>
      <c r="L514">
        <v>0</v>
      </c>
      <c r="M514">
        <v>0</v>
      </c>
      <c r="N514">
        <v>550</v>
      </c>
    </row>
    <row r="515" spans="1:14" x14ac:dyDescent="0.25">
      <c r="A515">
        <v>417.21354500000001</v>
      </c>
      <c r="B515" s="1">
        <f>DATE(2011,6,22) + TIME(5,7,30)</f>
        <v>40716.213541666664</v>
      </c>
      <c r="C515">
        <v>80</v>
      </c>
      <c r="D515">
        <v>79.803733825999998</v>
      </c>
      <c r="E515">
        <v>40</v>
      </c>
      <c r="F515">
        <v>35.931961059999999</v>
      </c>
      <c r="G515">
        <v>1345.6578368999999</v>
      </c>
      <c r="H515">
        <v>1341.1398925999999</v>
      </c>
      <c r="I515">
        <v>1320.3096923999999</v>
      </c>
      <c r="J515">
        <v>1314.8535156</v>
      </c>
      <c r="K515">
        <v>550</v>
      </c>
      <c r="L515">
        <v>0</v>
      </c>
      <c r="M515">
        <v>0</v>
      </c>
      <c r="N515">
        <v>550</v>
      </c>
    </row>
    <row r="516" spans="1:14" x14ac:dyDescent="0.25">
      <c r="A516">
        <v>418.61728900000003</v>
      </c>
      <c r="B516" s="1">
        <f>DATE(2011,6,23) + TIME(14,48,53)</f>
        <v>40717.617280092592</v>
      </c>
      <c r="C516">
        <v>80</v>
      </c>
      <c r="D516">
        <v>79.803779602000006</v>
      </c>
      <c r="E516">
        <v>40</v>
      </c>
      <c r="F516">
        <v>35.84897995</v>
      </c>
      <c r="G516">
        <v>1345.6357422000001</v>
      </c>
      <c r="H516">
        <v>1341.1241454999999</v>
      </c>
      <c r="I516">
        <v>1320.2980957</v>
      </c>
      <c r="J516">
        <v>1314.8270264</v>
      </c>
      <c r="K516">
        <v>550</v>
      </c>
      <c r="L516">
        <v>0</v>
      </c>
      <c r="M516">
        <v>0</v>
      </c>
      <c r="N516">
        <v>550</v>
      </c>
    </row>
    <row r="517" spans="1:14" x14ac:dyDescent="0.25">
      <c r="A517">
        <v>420.05687999999998</v>
      </c>
      <c r="B517" s="1">
        <f>DATE(2011,6,25) + TIME(1,21,54)</f>
        <v>40719.056875000002</v>
      </c>
      <c r="C517">
        <v>80</v>
      </c>
      <c r="D517">
        <v>79.803825377999999</v>
      </c>
      <c r="E517">
        <v>40</v>
      </c>
      <c r="F517">
        <v>35.765296935999999</v>
      </c>
      <c r="G517">
        <v>1345.6136475000001</v>
      </c>
      <c r="H517">
        <v>1341.1083983999999</v>
      </c>
      <c r="I517">
        <v>1320.2862548999999</v>
      </c>
      <c r="J517">
        <v>1314.7999268000001</v>
      </c>
      <c r="K517">
        <v>550</v>
      </c>
      <c r="L517">
        <v>0</v>
      </c>
      <c r="M517">
        <v>0</v>
      </c>
      <c r="N517">
        <v>550</v>
      </c>
    </row>
    <row r="518" spans="1:14" x14ac:dyDescent="0.25">
      <c r="A518">
        <v>421.52805999999998</v>
      </c>
      <c r="B518" s="1">
        <f>DATE(2011,6,26) + TIME(12,40,24)</f>
        <v>40720.528055555558</v>
      </c>
      <c r="C518">
        <v>80</v>
      </c>
      <c r="D518">
        <v>79.803871154999996</v>
      </c>
      <c r="E518">
        <v>40</v>
      </c>
      <c r="F518">
        <v>35.681194304999998</v>
      </c>
      <c r="G518">
        <v>1345.5913086</v>
      </c>
      <c r="H518">
        <v>1341.0925293</v>
      </c>
      <c r="I518">
        <v>1320.2741699000001</v>
      </c>
      <c r="J518">
        <v>1314.7720947</v>
      </c>
      <c r="K518">
        <v>550</v>
      </c>
      <c r="L518">
        <v>0</v>
      </c>
      <c r="M518">
        <v>0</v>
      </c>
      <c r="N518">
        <v>550</v>
      </c>
    </row>
    <row r="519" spans="1:14" x14ac:dyDescent="0.25">
      <c r="A519">
        <v>423.01856900000001</v>
      </c>
      <c r="B519" s="1">
        <f>DATE(2011,6,28) + TIME(0,26,44)</f>
        <v>40722.018564814818</v>
      </c>
      <c r="C519">
        <v>80</v>
      </c>
      <c r="D519">
        <v>79.803916931000003</v>
      </c>
      <c r="E519">
        <v>40</v>
      </c>
      <c r="F519">
        <v>35.597305298000002</v>
      </c>
      <c r="G519">
        <v>1345.5689697</v>
      </c>
      <c r="H519">
        <v>1341.0765381000001</v>
      </c>
      <c r="I519">
        <v>1320.2618408000001</v>
      </c>
      <c r="J519">
        <v>1314.7435303</v>
      </c>
      <c r="K519">
        <v>550</v>
      </c>
      <c r="L519">
        <v>0</v>
      </c>
      <c r="M519">
        <v>0</v>
      </c>
      <c r="N519">
        <v>550</v>
      </c>
    </row>
    <row r="520" spans="1:14" x14ac:dyDescent="0.25">
      <c r="A520">
        <v>424.53156100000001</v>
      </c>
      <c r="B520" s="1">
        <f>DATE(2011,6,29) + TIME(12,45,26)</f>
        <v>40723.531550925924</v>
      </c>
      <c r="C520">
        <v>80</v>
      </c>
      <c r="D520">
        <v>79.803962708</v>
      </c>
      <c r="E520">
        <v>40</v>
      </c>
      <c r="F520">
        <v>35.513694762999997</v>
      </c>
      <c r="G520">
        <v>1345.5466309000001</v>
      </c>
      <c r="H520">
        <v>1341.0607910000001</v>
      </c>
      <c r="I520">
        <v>1320.2495117000001</v>
      </c>
      <c r="J520">
        <v>1314.7145995999999</v>
      </c>
      <c r="K520">
        <v>550</v>
      </c>
      <c r="L520">
        <v>0</v>
      </c>
      <c r="M520">
        <v>0</v>
      </c>
      <c r="N520">
        <v>550</v>
      </c>
    </row>
    <row r="521" spans="1:14" x14ac:dyDescent="0.25">
      <c r="A521">
        <v>426</v>
      </c>
      <c r="B521" s="1">
        <f>DATE(2011,7,1) + TIME(0,0,0)</f>
        <v>40725</v>
      </c>
      <c r="C521">
        <v>80</v>
      </c>
      <c r="D521">
        <v>79.804008483999993</v>
      </c>
      <c r="E521">
        <v>40</v>
      </c>
      <c r="F521">
        <v>35.433158874999997</v>
      </c>
      <c r="G521">
        <v>1345.5244141000001</v>
      </c>
      <c r="H521">
        <v>1341.0449219</v>
      </c>
      <c r="I521">
        <v>1320.2370605000001</v>
      </c>
      <c r="J521">
        <v>1314.6854248</v>
      </c>
      <c r="K521">
        <v>550</v>
      </c>
      <c r="L521">
        <v>0</v>
      </c>
      <c r="M521">
        <v>0</v>
      </c>
      <c r="N521">
        <v>550</v>
      </c>
    </row>
    <row r="522" spans="1:14" x14ac:dyDescent="0.25">
      <c r="A522">
        <v>427.54048299999999</v>
      </c>
      <c r="B522" s="1">
        <f>DATE(2011,7,2) + TIME(12,58,17)</f>
        <v>40726.54047453704</v>
      </c>
      <c r="C522">
        <v>80</v>
      </c>
      <c r="D522">
        <v>79.804054260000001</v>
      </c>
      <c r="E522">
        <v>40</v>
      </c>
      <c r="F522">
        <v>35.351558685000001</v>
      </c>
      <c r="G522">
        <v>1345.5032959</v>
      </c>
      <c r="H522">
        <v>1341.0297852000001</v>
      </c>
      <c r="I522">
        <v>1320.2249756000001</v>
      </c>
      <c r="J522">
        <v>1314.65625</v>
      </c>
      <c r="K522">
        <v>550</v>
      </c>
      <c r="L522">
        <v>0</v>
      </c>
      <c r="M522">
        <v>0</v>
      </c>
      <c r="N522">
        <v>550</v>
      </c>
    </row>
    <row r="523" spans="1:14" x14ac:dyDescent="0.25">
      <c r="A523">
        <v>429.15093300000001</v>
      </c>
      <c r="B523" s="1">
        <f>DATE(2011,7,4) + TIME(3,37,20)</f>
        <v>40728.150925925926</v>
      </c>
      <c r="C523">
        <v>80</v>
      </c>
      <c r="D523">
        <v>79.804115295000003</v>
      </c>
      <c r="E523">
        <v>40</v>
      </c>
      <c r="F523">
        <v>35.269081116000002</v>
      </c>
      <c r="G523">
        <v>1345.4814452999999</v>
      </c>
      <c r="H523">
        <v>1341.0142822</v>
      </c>
      <c r="I523">
        <v>1320.2125243999999</v>
      </c>
      <c r="J523">
        <v>1314.6259766000001</v>
      </c>
      <c r="K523">
        <v>550</v>
      </c>
      <c r="L523">
        <v>0</v>
      </c>
      <c r="M523">
        <v>0</v>
      </c>
      <c r="N523">
        <v>550</v>
      </c>
    </row>
    <row r="524" spans="1:14" x14ac:dyDescent="0.25">
      <c r="A524">
        <v>430.80342999999999</v>
      </c>
      <c r="B524" s="1">
        <f>DATE(2011,7,5) + TIME(19,16,56)</f>
        <v>40729.803425925929</v>
      </c>
      <c r="C524">
        <v>80</v>
      </c>
      <c r="D524">
        <v>79.804183960000003</v>
      </c>
      <c r="E524">
        <v>40</v>
      </c>
      <c r="F524">
        <v>35.18687439</v>
      </c>
      <c r="G524">
        <v>1345.4589844</v>
      </c>
      <c r="H524">
        <v>1340.9981689000001</v>
      </c>
      <c r="I524">
        <v>1320.199707</v>
      </c>
      <c r="J524">
        <v>1314.5947266000001</v>
      </c>
      <c r="K524">
        <v>550</v>
      </c>
      <c r="L524">
        <v>0</v>
      </c>
      <c r="M524">
        <v>0</v>
      </c>
      <c r="N524">
        <v>550</v>
      </c>
    </row>
    <row r="525" spans="1:14" x14ac:dyDescent="0.25">
      <c r="A525">
        <v>432.48452600000002</v>
      </c>
      <c r="B525" s="1">
        <f>DATE(2011,7,7) + TIME(11,37,43)</f>
        <v>40731.484525462962</v>
      </c>
      <c r="C525">
        <v>80</v>
      </c>
      <c r="D525">
        <v>79.804244995000005</v>
      </c>
      <c r="E525">
        <v>40</v>
      </c>
      <c r="F525">
        <v>35.105690002000003</v>
      </c>
      <c r="G525">
        <v>1345.4362793</v>
      </c>
      <c r="H525">
        <v>1340.9820557</v>
      </c>
      <c r="I525">
        <v>1320.1867675999999</v>
      </c>
      <c r="J525">
        <v>1314.5627440999999</v>
      </c>
      <c r="K525">
        <v>550</v>
      </c>
      <c r="L525">
        <v>0</v>
      </c>
      <c r="M525">
        <v>0</v>
      </c>
      <c r="N525">
        <v>550</v>
      </c>
    </row>
    <row r="526" spans="1:14" x14ac:dyDescent="0.25">
      <c r="A526">
        <v>434.19361500000002</v>
      </c>
      <c r="B526" s="1">
        <f>DATE(2011,7,9) + TIME(4,38,48)</f>
        <v>40733.193611111114</v>
      </c>
      <c r="C526">
        <v>80</v>
      </c>
      <c r="D526">
        <v>79.804321289000001</v>
      </c>
      <c r="E526">
        <v>40</v>
      </c>
      <c r="F526">
        <v>35.025897980000003</v>
      </c>
      <c r="G526">
        <v>1345.4135742000001</v>
      </c>
      <c r="H526">
        <v>1340.9658202999999</v>
      </c>
      <c r="I526">
        <v>1320.1739502</v>
      </c>
      <c r="J526">
        <v>1314.5303954999999</v>
      </c>
      <c r="K526">
        <v>550</v>
      </c>
      <c r="L526">
        <v>0</v>
      </c>
      <c r="M526">
        <v>0</v>
      </c>
      <c r="N526">
        <v>550</v>
      </c>
    </row>
    <row r="527" spans="1:14" x14ac:dyDescent="0.25">
      <c r="A527">
        <v>435.92544199999998</v>
      </c>
      <c r="B527" s="1">
        <f>DATE(2011,7,10) + TIME(22,12,38)</f>
        <v>40734.925439814811</v>
      </c>
      <c r="C527">
        <v>80</v>
      </c>
      <c r="D527">
        <v>79.804389954000001</v>
      </c>
      <c r="E527">
        <v>40</v>
      </c>
      <c r="F527">
        <v>34.948043822999999</v>
      </c>
      <c r="G527">
        <v>1345.3909911999999</v>
      </c>
      <c r="H527">
        <v>1340.9495850000001</v>
      </c>
      <c r="I527">
        <v>1320.1610106999999</v>
      </c>
      <c r="J527">
        <v>1314.4976807</v>
      </c>
      <c r="K527">
        <v>550</v>
      </c>
      <c r="L527">
        <v>0</v>
      </c>
      <c r="M527">
        <v>0</v>
      </c>
      <c r="N527">
        <v>550</v>
      </c>
    </row>
    <row r="528" spans="1:14" x14ac:dyDescent="0.25">
      <c r="A528">
        <v>437.68042200000002</v>
      </c>
      <c r="B528" s="1">
        <f>DATE(2011,7,12) + TIME(16,19,48)</f>
        <v>40736.68041666667</v>
      </c>
      <c r="C528">
        <v>80</v>
      </c>
      <c r="D528">
        <v>79.804466247999997</v>
      </c>
      <c r="E528">
        <v>40</v>
      </c>
      <c r="F528">
        <v>34.872520446999999</v>
      </c>
      <c r="G528">
        <v>1345.3684082</v>
      </c>
      <c r="H528">
        <v>1340.9334716999999</v>
      </c>
      <c r="I528">
        <v>1320.1483154</v>
      </c>
      <c r="J528">
        <v>1314.4647216999999</v>
      </c>
      <c r="K528">
        <v>550</v>
      </c>
      <c r="L528">
        <v>0</v>
      </c>
      <c r="M528">
        <v>0</v>
      </c>
      <c r="N528">
        <v>550</v>
      </c>
    </row>
    <row r="529" spans="1:14" x14ac:dyDescent="0.25">
      <c r="A529">
        <v>439.46349500000002</v>
      </c>
      <c r="B529" s="1">
        <f>DATE(2011,7,14) + TIME(11,7,25)</f>
        <v>40738.463483796295</v>
      </c>
      <c r="C529">
        <v>80</v>
      </c>
      <c r="D529">
        <v>79.804550171000002</v>
      </c>
      <c r="E529">
        <v>40</v>
      </c>
      <c r="F529">
        <v>34.799606322999999</v>
      </c>
      <c r="G529">
        <v>1345.3458252</v>
      </c>
      <c r="H529">
        <v>1340.9172363</v>
      </c>
      <c r="I529">
        <v>1320.1357422000001</v>
      </c>
      <c r="J529">
        <v>1314.4316406</v>
      </c>
      <c r="K529">
        <v>550</v>
      </c>
      <c r="L529">
        <v>0</v>
      </c>
      <c r="M529">
        <v>0</v>
      </c>
      <c r="N529">
        <v>550</v>
      </c>
    </row>
    <row r="530" spans="1:14" x14ac:dyDescent="0.25">
      <c r="A530">
        <v>441.27974999999998</v>
      </c>
      <c r="B530" s="1">
        <f>DATE(2011,7,16) + TIME(6,42,50)</f>
        <v>40740.279745370368</v>
      </c>
      <c r="C530">
        <v>80</v>
      </c>
      <c r="D530">
        <v>79.804641724000007</v>
      </c>
      <c r="E530">
        <v>40</v>
      </c>
      <c r="F530">
        <v>34.729625702</v>
      </c>
      <c r="G530">
        <v>1345.3232422000001</v>
      </c>
      <c r="H530">
        <v>1340.9011230000001</v>
      </c>
      <c r="I530">
        <v>1320.1232910000001</v>
      </c>
      <c r="J530">
        <v>1314.3983154</v>
      </c>
      <c r="K530">
        <v>550</v>
      </c>
      <c r="L530">
        <v>0</v>
      </c>
      <c r="M530">
        <v>0</v>
      </c>
      <c r="N530">
        <v>550</v>
      </c>
    </row>
    <row r="531" spans="1:14" x14ac:dyDescent="0.25">
      <c r="A531">
        <v>443.13460600000002</v>
      </c>
      <c r="B531" s="1">
        <f>DATE(2011,7,18) + TIME(3,13,49)</f>
        <v>40742.134594907409</v>
      </c>
      <c r="C531">
        <v>80</v>
      </c>
      <c r="D531">
        <v>79.804733275999993</v>
      </c>
      <c r="E531">
        <v>40</v>
      </c>
      <c r="F531">
        <v>34.662956238</v>
      </c>
      <c r="G531">
        <v>1345.3006591999999</v>
      </c>
      <c r="H531">
        <v>1340.8848877</v>
      </c>
      <c r="I531">
        <v>1320.1109618999999</v>
      </c>
      <c r="J531">
        <v>1314.3648682</v>
      </c>
      <c r="K531">
        <v>550</v>
      </c>
      <c r="L531">
        <v>0</v>
      </c>
      <c r="M531">
        <v>0</v>
      </c>
      <c r="N531">
        <v>550</v>
      </c>
    </row>
    <row r="532" spans="1:14" x14ac:dyDescent="0.25">
      <c r="A532">
        <v>445.026905</v>
      </c>
      <c r="B532" s="1">
        <f>DATE(2011,7,20) + TIME(0,38,44)</f>
        <v>40744.026898148149</v>
      </c>
      <c r="C532">
        <v>80</v>
      </c>
      <c r="D532">
        <v>79.804832458000007</v>
      </c>
      <c r="E532">
        <v>40</v>
      </c>
      <c r="F532">
        <v>34.600208281999997</v>
      </c>
      <c r="G532">
        <v>1345.2779541</v>
      </c>
      <c r="H532">
        <v>1340.8684082</v>
      </c>
      <c r="I532">
        <v>1320.098999</v>
      </c>
      <c r="J532">
        <v>1314.3312988</v>
      </c>
      <c r="K532">
        <v>550</v>
      </c>
      <c r="L532">
        <v>0</v>
      </c>
      <c r="M532">
        <v>0</v>
      </c>
      <c r="N532">
        <v>550</v>
      </c>
    </row>
    <row r="533" spans="1:14" x14ac:dyDescent="0.25">
      <c r="A533">
        <v>446.95122700000002</v>
      </c>
      <c r="B533" s="1">
        <f>DATE(2011,7,21) + TIME(22,49,46)</f>
        <v>40745.951226851852</v>
      </c>
      <c r="C533">
        <v>80</v>
      </c>
      <c r="D533">
        <v>79.804939270000006</v>
      </c>
      <c r="E533">
        <v>40</v>
      </c>
      <c r="F533">
        <v>34.542148589999996</v>
      </c>
      <c r="G533">
        <v>1345.2551269999999</v>
      </c>
      <c r="H533">
        <v>1340.8519286999999</v>
      </c>
      <c r="I533">
        <v>1320.0872803</v>
      </c>
      <c r="J533">
        <v>1314.2977295000001</v>
      </c>
      <c r="K533">
        <v>550</v>
      </c>
      <c r="L533">
        <v>0</v>
      </c>
      <c r="M533">
        <v>0</v>
      </c>
      <c r="N533">
        <v>550</v>
      </c>
    </row>
    <row r="534" spans="1:14" x14ac:dyDescent="0.25">
      <c r="A534">
        <v>448.91585199999997</v>
      </c>
      <c r="B534" s="1">
        <f>DATE(2011,7,23) + TIME(21,58,49)</f>
        <v>40747.915844907409</v>
      </c>
      <c r="C534">
        <v>80</v>
      </c>
      <c r="D534">
        <v>79.805046082000004</v>
      </c>
      <c r="E534">
        <v>40</v>
      </c>
      <c r="F534">
        <v>34.489349365000002</v>
      </c>
      <c r="G534">
        <v>1345.2321777</v>
      </c>
      <c r="H534">
        <v>1340.8354492000001</v>
      </c>
      <c r="I534">
        <v>1320.0758057</v>
      </c>
      <c r="J534">
        <v>1314.2642822</v>
      </c>
      <c r="K534">
        <v>550</v>
      </c>
      <c r="L534">
        <v>0</v>
      </c>
      <c r="M534">
        <v>0</v>
      </c>
      <c r="N534">
        <v>550</v>
      </c>
    </row>
    <row r="535" spans="1:14" x14ac:dyDescent="0.25">
      <c r="A535">
        <v>450.90976699999999</v>
      </c>
      <c r="B535" s="1">
        <f>DATE(2011,7,25) + TIME(21,50,3)</f>
        <v>40749.909756944442</v>
      </c>
      <c r="C535">
        <v>80</v>
      </c>
      <c r="D535">
        <v>79.805168151999993</v>
      </c>
      <c r="E535">
        <v>40</v>
      </c>
      <c r="F535">
        <v>34.442802428999997</v>
      </c>
      <c r="G535">
        <v>1345.2092285000001</v>
      </c>
      <c r="H535">
        <v>1340.8187256000001</v>
      </c>
      <c r="I535">
        <v>1320.0648193</v>
      </c>
      <c r="J535">
        <v>1314.2312012</v>
      </c>
      <c r="K535">
        <v>550</v>
      </c>
      <c r="L535">
        <v>0</v>
      </c>
      <c r="M535">
        <v>0</v>
      </c>
      <c r="N535">
        <v>550</v>
      </c>
    </row>
    <row r="536" spans="1:14" x14ac:dyDescent="0.25">
      <c r="A536">
        <v>452.93806899999998</v>
      </c>
      <c r="B536" s="1">
        <f>DATE(2011,7,27) + TIME(22,30,49)</f>
        <v>40751.938067129631</v>
      </c>
      <c r="C536">
        <v>80</v>
      </c>
      <c r="D536">
        <v>79.805290221999996</v>
      </c>
      <c r="E536">
        <v>40</v>
      </c>
      <c r="F536">
        <v>34.403293609999999</v>
      </c>
      <c r="G536">
        <v>1345.1861572</v>
      </c>
      <c r="H536">
        <v>1340.8020019999999</v>
      </c>
      <c r="I536">
        <v>1320.0541992000001</v>
      </c>
      <c r="J536">
        <v>1314.1983643000001</v>
      </c>
      <c r="K536">
        <v>550</v>
      </c>
      <c r="L536">
        <v>0</v>
      </c>
      <c r="M536">
        <v>0</v>
      </c>
      <c r="N536">
        <v>550</v>
      </c>
    </row>
    <row r="537" spans="1:14" x14ac:dyDescent="0.25">
      <c r="A537">
        <v>454.98640499999999</v>
      </c>
      <c r="B537" s="1">
        <f>DATE(2011,7,29) + TIME(23,40,25)</f>
        <v>40753.986400462964</v>
      </c>
      <c r="C537">
        <v>80</v>
      </c>
      <c r="D537">
        <v>79.805412292</v>
      </c>
      <c r="E537">
        <v>40</v>
      </c>
      <c r="F537">
        <v>34.371906281000001</v>
      </c>
      <c r="G537">
        <v>1345.1630858999999</v>
      </c>
      <c r="H537">
        <v>1340.7851562000001</v>
      </c>
      <c r="I537">
        <v>1320.0441894999999</v>
      </c>
      <c r="J537">
        <v>1314.1662598</v>
      </c>
      <c r="K537">
        <v>550</v>
      </c>
      <c r="L537">
        <v>0</v>
      </c>
      <c r="M537">
        <v>0</v>
      </c>
      <c r="N537">
        <v>550</v>
      </c>
    </row>
    <row r="538" spans="1:14" x14ac:dyDescent="0.25">
      <c r="A538">
        <v>457</v>
      </c>
      <c r="B538" s="1">
        <f>DATE(2011,8,1) + TIME(0,0,0)</f>
        <v>40756</v>
      </c>
      <c r="C538">
        <v>80</v>
      </c>
      <c r="D538">
        <v>79.805541992000002</v>
      </c>
      <c r="E538">
        <v>40</v>
      </c>
      <c r="F538">
        <v>34.349929809999999</v>
      </c>
      <c r="G538">
        <v>1345.1400146000001</v>
      </c>
      <c r="H538">
        <v>1340.7683105000001</v>
      </c>
      <c r="I538">
        <v>1320.0349120999999</v>
      </c>
      <c r="J538">
        <v>1314.1352539</v>
      </c>
      <c r="K538">
        <v>550</v>
      </c>
      <c r="L538">
        <v>0</v>
      </c>
      <c r="M538">
        <v>0</v>
      </c>
      <c r="N538">
        <v>550</v>
      </c>
    </row>
    <row r="539" spans="1:14" x14ac:dyDescent="0.25">
      <c r="A539">
        <v>459.07267899999999</v>
      </c>
      <c r="B539" s="1">
        <f>DATE(2011,8,3) + TIME(1,44,39)</f>
        <v>40758.07267361111</v>
      </c>
      <c r="C539">
        <v>80</v>
      </c>
      <c r="D539">
        <v>79.805671692000004</v>
      </c>
      <c r="E539">
        <v>40</v>
      </c>
      <c r="F539">
        <v>34.337379456000001</v>
      </c>
      <c r="G539">
        <v>1345.1176757999999</v>
      </c>
      <c r="H539">
        <v>1340.7519531</v>
      </c>
      <c r="I539">
        <v>1320.0263672000001</v>
      </c>
      <c r="J539">
        <v>1314.1053466999999</v>
      </c>
      <c r="K539">
        <v>550</v>
      </c>
      <c r="L539">
        <v>0</v>
      </c>
      <c r="M539">
        <v>0</v>
      </c>
      <c r="N539">
        <v>550</v>
      </c>
    </row>
    <row r="540" spans="1:14" x14ac:dyDescent="0.25">
      <c r="A540">
        <v>461.21260999999998</v>
      </c>
      <c r="B540" s="1">
        <f>DATE(2011,8,5) + TIME(5,6,9)</f>
        <v>40760.212604166663</v>
      </c>
      <c r="C540">
        <v>80</v>
      </c>
      <c r="D540">
        <v>79.805824279999996</v>
      </c>
      <c r="E540">
        <v>40</v>
      </c>
      <c r="F540">
        <v>34.335536957000002</v>
      </c>
      <c r="G540">
        <v>1345.0949707</v>
      </c>
      <c r="H540">
        <v>1340.7353516000001</v>
      </c>
      <c r="I540">
        <v>1320.0183105000001</v>
      </c>
      <c r="J540">
        <v>1314.0762939000001</v>
      </c>
      <c r="K540">
        <v>550</v>
      </c>
      <c r="L540">
        <v>0</v>
      </c>
      <c r="M540">
        <v>0</v>
      </c>
      <c r="N540">
        <v>550</v>
      </c>
    </row>
    <row r="541" spans="1:14" x14ac:dyDescent="0.25">
      <c r="A541">
        <v>463.39534200000003</v>
      </c>
      <c r="B541" s="1">
        <f>DATE(2011,8,7) + TIME(9,29,17)</f>
        <v>40762.395335648151</v>
      </c>
      <c r="C541">
        <v>80</v>
      </c>
      <c r="D541">
        <v>79.805976868000002</v>
      </c>
      <c r="E541">
        <v>40</v>
      </c>
      <c r="F541">
        <v>34.345874786000003</v>
      </c>
      <c r="G541">
        <v>1345.0718993999999</v>
      </c>
      <c r="H541">
        <v>1340.7182617000001</v>
      </c>
      <c r="I541">
        <v>1320.0109863</v>
      </c>
      <c r="J541">
        <v>1314.0480957</v>
      </c>
      <c r="K541">
        <v>550</v>
      </c>
      <c r="L541">
        <v>0</v>
      </c>
      <c r="M541">
        <v>0</v>
      </c>
      <c r="N541">
        <v>550</v>
      </c>
    </row>
    <row r="542" spans="1:14" x14ac:dyDescent="0.25">
      <c r="A542">
        <v>465.62827800000002</v>
      </c>
      <c r="B542" s="1">
        <f>DATE(2011,8,9) + TIME(15,4,43)</f>
        <v>40764.628275462965</v>
      </c>
      <c r="C542">
        <v>80</v>
      </c>
      <c r="D542">
        <v>79.806137085000003</v>
      </c>
      <c r="E542">
        <v>40</v>
      </c>
      <c r="F542">
        <v>34.369823455999999</v>
      </c>
      <c r="G542">
        <v>1345.0485839999999</v>
      </c>
      <c r="H542">
        <v>1340.7011719</v>
      </c>
      <c r="I542">
        <v>1320.0045166</v>
      </c>
      <c r="J542">
        <v>1314.0211182</v>
      </c>
      <c r="K542">
        <v>550</v>
      </c>
      <c r="L542">
        <v>0</v>
      </c>
      <c r="M542">
        <v>0</v>
      </c>
      <c r="N542">
        <v>550</v>
      </c>
    </row>
    <row r="543" spans="1:14" x14ac:dyDescent="0.25">
      <c r="A543">
        <v>467.91148199999998</v>
      </c>
      <c r="B543" s="1">
        <f>DATE(2011,8,11) + TIME(21,52,32)</f>
        <v>40766.911481481482</v>
      </c>
      <c r="C543">
        <v>80</v>
      </c>
      <c r="D543">
        <v>79.806304932000003</v>
      </c>
      <c r="E543">
        <v>40</v>
      </c>
      <c r="F543">
        <v>34.408969878999997</v>
      </c>
      <c r="G543">
        <v>1345.0251464999999</v>
      </c>
      <c r="H543">
        <v>1340.6837158000001</v>
      </c>
      <c r="I543">
        <v>1319.9989014</v>
      </c>
      <c r="J543">
        <v>1313.9956055</v>
      </c>
      <c r="K543">
        <v>550</v>
      </c>
      <c r="L543">
        <v>0</v>
      </c>
      <c r="M543">
        <v>0</v>
      </c>
      <c r="N543">
        <v>550</v>
      </c>
    </row>
    <row r="544" spans="1:14" x14ac:dyDescent="0.25">
      <c r="A544">
        <v>470.21253999999999</v>
      </c>
      <c r="B544" s="1">
        <f>DATE(2011,8,14) + TIME(5,6,3)</f>
        <v>40769.212534722225</v>
      </c>
      <c r="C544">
        <v>80</v>
      </c>
      <c r="D544">
        <v>79.806472778</v>
      </c>
      <c r="E544">
        <v>40</v>
      </c>
      <c r="F544">
        <v>34.464504241999997</v>
      </c>
      <c r="G544">
        <v>1345.0013428</v>
      </c>
      <c r="H544">
        <v>1340.6660156</v>
      </c>
      <c r="I544">
        <v>1319.9942627</v>
      </c>
      <c r="J544">
        <v>1313.9719238</v>
      </c>
      <c r="K544">
        <v>550</v>
      </c>
      <c r="L544">
        <v>0</v>
      </c>
      <c r="M544">
        <v>0</v>
      </c>
      <c r="N544">
        <v>550</v>
      </c>
    </row>
    <row r="545" spans="1:14" x14ac:dyDescent="0.25">
      <c r="A545">
        <v>472.53800799999999</v>
      </c>
      <c r="B545" s="1">
        <f>DATE(2011,8,16) + TIME(12,54,43)</f>
        <v>40771.537997685184</v>
      </c>
      <c r="C545">
        <v>80</v>
      </c>
      <c r="D545">
        <v>79.806655883999994</v>
      </c>
      <c r="E545">
        <v>40</v>
      </c>
      <c r="F545">
        <v>34.537620543999999</v>
      </c>
      <c r="G545">
        <v>1344.9776611</v>
      </c>
      <c r="H545">
        <v>1340.6484375</v>
      </c>
      <c r="I545">
        <v>1319.9906006000001</v>
      </c>
      <c r="J545">
        <v>1313.9503173999999</v>
      </c>
      <c r="K545">
        <v>550</v>
      </c>
      <c r="L545">
        <v>0</v>
      </c>
      <c r="M545">
        <v>0</v>
      </c>
      <c r="N545">
        <v>550</v>
      </c>
    </row>
    <row r="546" spans="1:14" x14ac:dyDescent="0.25">
      <c r="A546">
        <v>474.89837999999997</v>
      </c>
      <c r="B546" s="1">
        <f>DATE(2011,8,18) + TIME(21,33,40)</f>
        <v>40773.898379629631</v>
      </c>
      <c r="C546">
        <v>80</v>
      </c>
      <c r="D546">
        <v>79.806838988999999</v>
      </c>
      <c r="E546">
        <v>40</v>
      </c>
      <c r="F546">
        <v>34.629718781000001</v>
      </c>
      <c r="G546">
        <v>1344.9541016000001</v>
      </c>
      <c r="H546">
        <v>1340.6308594</v>
      </c>
      <c r="I546">
        <v>1319.9880370999999</v>
      </c>
      <c r="J546">
        <v>1313.9310303</v>
      </c>
      <c r="K546">
        <v>550</v>
      </c>
      <c r="L546">
        <v>0</v>
      </c>
      <c r="M546">
        <v>0</v>
      </c>
      <c r="N546">
        <v>550</v>
      </c>
    </row>
    <row r="547" spans="1:14" x14ac:dyDescent="0.25">
      <c r="A547">
        <v>477.30274400000002</v>
      </c>
      <c r="B547" s="1">
        <f>DATE(2011,8,21) + TIME(7,15,57)</f>
        <v>40776.302743055552</v>
      </c>
      <c r="C547">
        <v>80</v>
      </c>
      <c r="D547">
        <v>79.807029724000003</v>
      </c>
      <c r="E547">
        <v>40</v>
      </c>
      <c r="F547">
        <v>34.742397308000001</v>
      </c>
      <c r="G547">
        <v>1344.9304199000001</v>
      </c>
      <c r="H547">
        <v>1340.6130370999999</v>
      </c>
      <c r="I547">
        <v>1319.9864502</v>
      </c>
      <c r="J547">
        <v>1313.9141846</v>
      </c>
      <c r="K547">
        <v>550</v>
      </c>
      <c r="L547">
        <v>0</v>
      </c>
      <c r="M547">
        <v>0</v>
      </c>
      <c r="N547">
        <v>550</v>
      </c>
    </row>
    <row r="548" spans="1:14" x14ac:dyDescent="0.25">
      <c r="A548">
        <v>479.75821200000001</v>
      </c>
      <c r="B548" s="1">
        <f>DATE(2011,8,23) + TIME(18,11,49)</f>
        <v>40778.758206018516</v>
      </c>
      <c r="C548">
        <v>80</v>
      </c>
      <c r="D548">
        <v>79.807228088000002</v>
      </c>
      <c r="E548">
        <v>40</v>
      </c>
      <c r="F548">
        <v>34.877376556000002</v>
      </c>
      <c r="G548">
        <v>1344.9066161999999</v>
      </c>
      <c r="H548">
        <v>1340.5952147999999</v>
      </c>
      <c r="I548">
        <v>1319.9860839999999</v>
      </c>
      <c r="J548">
        <v>1313.9000243999999</v>
      </c>
      <c r="K548">
        <v>550</v>
      </c>
      <c r="L548">
        <v>0</v>
      </c>
      <c r="M548">
        <v>0</v>
      </c>
      <c r="N548">
        <v>550</v>
      </c>
    </row>
    <row r="549" spans="1:14" x14ac:dyDescent="0.25">
      <c r="A549">
        <v>482.24551500000001</v>
      </c>
      <c r="B549" s="1">
        <f>DATE(2011,8,26) + TIME(5,53,32)</f>
        <v>40781.245509259257</v>
      </c>
      <c r="C549">
        <v>80</v>
      </c>
      <c r="D549">
        <v>79.807434082</v>
      </c>
      <c r="E549">
        <v>40</v>
      </c>
      <c r="F549">
        <v>35.035511016999997</v>
      </c>
      <c r="G549">
        <v>1344.8826904</v>
      </c>
      <c r="H549">
        <v>1340.5770264</v>
      </c>
      <c r="I549">
        <v>1319.9870605000001</v>
      </c>
      <c r="J549">
        <v>1313.8887939000001</v>
      </c>
      <c r="K549">
        <v>550</v>
      </c>
      <c r="L549">
        <v>0</v>
      </c>
      <c r="M549">
        <v>0</v>
      </c>
      <c r="N549">
        <v>550</v>
      </c>
    </row>
    <row r="550" spans="1:14" x14ac:dyDescent="0.25">
      <c r="A550">
        <v>484.76049799999998</v>
      </c>
      <c r="B550" s="1">
        <f>DATE(2011,8,28) + TIME(18,15,7)</f>
        <v>40783.760497685187</v>
      </c>
      <c r="C550">
        <v>80</v>
      </c>
      <c r="D550">
        <v>79.807640075999998</v>
      </c>
      <c r="E550">
        <v>40</v>
      </c>
      <c r="F550">
        <v>35.217510222999998</v>
      </c>
      <c r="G550">
        <v>1344.8586425999999</v>
      </c>
      <c r="H550">
        <v>1340.5588379000001</v>
      </c>
      <c r="I550">
        <v>1319.9893798999999</v>
      </c>
      <c r="J550">
        <v>1313.8806152</v>
      </c>
      <c r="K550">
        <v>550</v>
      </c>
      <c r="L550">
        <v>0</v>
      </c>
      <c r="M550">
        <v>0</v>
      </c>
      <c r="N550">
        <v>550</v>
      </c>
    </row>
    <row r="551" spans="1:14" x14ac:dyDescent="0.25">
      <c r="A551">
        <v>487.31043599999998</v>
      </c>
      <c r="B551" s="1">
        <f>DATE(2011,8,31) + TIME(7,27,1)</f>
        <v>40786.310428240744</v>
      </c>
      <c r="C551">
        <v>80</v>
      </c>
      <c r="D551">
        <v>79.807861328000001</v>
      </c>
      <c r="E551">
        <v>40</v>
      </c>
      <c r="F551">
        <v>35.424289702999999</v>
      </c>
      <c r="G551">
        <v>1344.8347168</v>
      </c>
      <c r="H551">
        <v>1340.5406493999999</v>
      </c>
      <c r="I551">
        <v>1319.9927978999999</v>
      </c>
      <c r="J551">
        <v>1313.8758545000001</v>
      </c>
      <c r="K551">
        <v>550</v>
      </c>
      <c r="L551">
        <v>0</v>
      </c>
      <c r="M551">
        <v>0</v>
      </c>
      <c r="N551">
        <v>550</v>
      </c>
    </row>
    <row r="552" spans="1:14" x14ac:dyDescent="0.25">
      <c r="A552">
        <v>488</v>
      </c>
      <c r="B552" s="1">
        <f>DATE(2011,9,1) + TIME(0,0,0)</f>
        <v>40787</v>
      </c>
      <c r="C552">
        <v>80</v>
      </c>
      <c r="D552">
        <v>79.807868958</v>
      </c>
      <c r="E552">
        <v>40</v>
      </c>
      <c r="F552">
        <v>35.514919280999997</v>
      </c>
      <c r="G552">
        <v>1344.8106689000001</v>
      </c>
      <c r="H552">
        <v>1340.5225829999999</v>
      </c>
      <c r="I552">
        <v>1320.0097656</v>
      </c>
      <c r="J552">
        <v>1313.8787841999999</v>
      </c>
      <c r="K552">
        <v>550</v>
      </c>
      <c r="L552">
        <v>0</v>
      </c>
      <c r="M552">
        <v>0</v>
      </c>
      <c r="N552">
        <v>550</v>
      </c>
    </row>
    <row r="553" spans="1:14" x14ac:dyDescent="0.25">
      <c r="A553">
        <v>490.592243</v>
      </c>
      <c r="B553" s="1">
        <f>DATE(2011,9,3) + TIME(14,12,49)</f>
        <v>40789.592233796298</v>
      </c>
      <c r="C553">
        <v>80</v>
      </c>
      <c r="D553">
        <v>79.808120728000006</v>
      </c>
      <c r="E553">
        <v>40</v>
      </c>
      <c r="F553">
        <v>35.741302490000002</v>
      </c>
      <c r="G553">
        <v>1344.8041992000001</v>
      </c>
      <c r="H553">
        <v>1340.5173339999999</v>
      </c>
      <c r="I553">
        <v>1319.9980469</v>
      </c>
      <c r="J553">
        <v>1313.8751221</v>
      </c>
      <c r="K553">
        <v>550</v>
      </c>
      <c r="L553">
        <v>0</v>
      </c>
      <c r="M553">
        <v>0</v>
      </c>
      <c r="N553">
        <v>550</v>
      </c>
    </row>
    <row r="554" spans="1:14" x14ac:dyDescent="0.25">
      <c r="A554">
        <v>493.25005800000002</v>
      </c>
      <c r="B554" s="1">
        <f>DATE(2011,9,6) + TIME(6,0,5)</f>
        <v>40792.250057870369</v>
      </c>
      <c r="C554">
        <v>80</v>
      </c>
      <c r="D554">
        <v>79.808364867999998</v>
      </c>
      <c r="E554">
        <v>40</v>
      </c>
      <c r="F554">
        <v>36.000434875000003</v>
      </c>
      <c r="G554">
        <v>1344.7802733999999</v>
      </c>
      <c r="H554">
        <v>1340.4991454999999</v>
      </c>
      <c r="I554">
        <v>1320.0051269999999</v>
      </c>
      <c r="J554">
        <v>1313.8786620999999</v>
      </c>
      <c r="K554">
        <v>550</v>
      </c>
      <c r="L554">
        <v>0</v>
      </c>
      <c r="M554">
        <v>0</v>
      </c>
      <c r="N554">
        <v>550</v>
      </c>
    </row>
    <row r="555" spans="1:14" x14ac:dyDescent="0.25">
      <c r="A555">
        <v>495.968569</v>
      </c>
      <c r="B555" s="1">
        <f>DATE(2011,9,8) + TIME(23,14,44)</f>
        <v>40794.968564814815</v>
      </c>
      <c r="C555">
        <v>80</v>
      </c>
      <c r="D555">
        <v>79.808616638000004</v>
      </c>
      <c r="E555">
        <v>40</v>
      </c>
      <c r="F555">
        <v>36.291027069000002</v>
      </c>
      <c r="G555">
        <v>1344.7559814000001</v>
      </c>
      <c r="H555">
        <v>1340.4804687999999</v>
      </c>
      <c r="I555">
        <v>1320.0134277</v>
      </c>
      <c r="J555">
        <v>1313.8859863</v>
      </c>
      <c r="K555">
        <v>550</v>
      </c>
      <c r="L555">
        <v>0</v>
      </c>
      <c r="M555">
        <v>0</v>
      </c>
      <c r="N555">
        <v>550</v>
      </c>
    </row>
    <row r="556" spans="1:14" x14ac:dyDescent="0.25">
      <c r="A556">
        <v>498.74736300000001</v>
      </c>
      <c r="B556" s="1">
        <f>DATE(2011,9,11) + TIME(17,56,12)</f>
        <v>40797.747361111113</v>
      </c>
      <c r="C556">
        <v>80</v>
      </c>
      <c r="D556">
        <v>79.808868407999995</v>
      </c>
      <c r="E556">
        <v>40</v>
      </c>
      <c r="F556">
        <v>36.612155913999999</v>
      </c>
      <c r="G556">
        <v>1344.7315673999999</v>
      </c>
      <c r="H556">
        <v>1340.4617920000001</v>
      </c>
      <c r="I556">
        <v>1320.0233154</v>
      </c>
      <c r="J556">
        <v>1313.8975829999999</v>
      </c>
      <c r="K556">
        <v>550</v>
      </c>
      <c r="L556">
        <v>0</v>
      </c>
      <c r="M556">
        <v>0</v>
      </c>
      <c r="N556">
        <v>550</v>
      </c>
    </row>
    <row r="557" spans="1:14" x14ac:dyDescent="0.25">
      <c r="A557">
        <v>501.558153</v>
      </c>
      <c r="B557" s="1">
        <f>DATE(2011,9,14) + TIME(13,23,44)</f>
        <v>40800.558148148149</v>
      </c>
      <c r="C557">
        <v>80</v>
      </c>
      <c r="D557">
        <v>79.809127808</v>
      </c>
      <c r="E557">
        <v>40</v>
      </c>
      <c r="F557">
        <v>36.961067200000002</v>
      </c>
      <c r="G557">
        <v>1344.7069091999999</v>
      </c>
      <c r="H557">
        <v>1340.442749</v>
      </c>
      <c r="I557">
        <v>1320.0349120999999</v>
      </c>
      <c r="J557">
        <v>1313.9133300999999</v>
      </c>
      <c r="K557">
        <v>550</v>
      </c>
      <c r="L557">
        <v>0</v>
      </c>
      <c r="M557">
        <v>0</v>
      </c>
      <c r="N557">
        <v>550</v>
      </c>
    </row>
    <row r="558" spans="1:14" x14ac:dyDescent="0.25">
      <c r="A558">
        <v>504.411225</v>
      </c>
      <c r="B558" s="1">
        <f>DATE(2011,9,17) + TIME(9,52,9)</f>
        <v>40803.411215277774</v>
      </c>
      <c r="C558">
        <v>80</v>
      </c>
      <c r="D558">
        <v>79.809387207</v>
      </c>
      <c r="E558">
        <v>40</v>
      </c>
      <c r="F558">
        <v>37.336277008000003</v>
      </c>
      <c r="G558">
        <v>1344.6824951000001</v>
      </c>
      <c r="H558">
        <v>1340.4239502</v>
      </c>
      <c r="I558">
        <v>1320.0478516000001</v>
      </c>
      <c r="J558">
        <v>1313.9333495999999</v>
      </c>
      <c r="K558">
        <v>550</v>
      </c>
      <c r="L558">
        <v>0</v>
      </c>
      <c r="M558">
        <v>0</v>
      </c>
      <c r="N558">
        <v>550</v>
      </c>
    </row>
    <row r="559" spans="1:14" x14ac:dyDescent="0.25">
      <c r="A559">
        <v>507.31110200000001</v>
      </c>
      <c r="B559" s="1">
        <f>DATE(2011,9,20) + TIME(7,27,59)</f>
        <v>40806.311099537037</v>
      </c>
      <c r="C559">
        <v>80</v>
      </c>
      <c r="D559">
        <v>79.809661864999995</v>
      </c>
      <c r="E559">
        <v>40</v>
      </c>
      <c r="F559">
        <v>37.736381530999999</v>
      </c>
      <c r="G559">
        <v>1344.6579589999999</v>
      </c>
      <c r="H559">
        <v>1340.4050293</v>
      </c>
      <c r="I559">
        <v>1320.0625</v>
      </c>
      <c r="J559">
        <v>1313.9576416</v>
      </c>
      <c r="K559">
        <v>550</v>
      </c>
      <c r="L559">
        <v>0</v>
      </c>
      <c r="M559">
        <v>0</v>
      </c>
      <c r="N559">
        <v>550</v>
      </c>
    </row>
    <row r="560" spans="1:14" x14ac:dyDescent="0.25">
      <c r="A560">
        <v>510.23393499999997</v>
      </c>
      <c r="B560" s="1">
        <f>DATE(2011,9,23) + TIME(5,36,52)</f>
        <v>40809.233935185184</v>
      </c>
      <c r="C560">
        <v>80</v>
      </c>
      <c r="D560">
        <v>79.809928893999995</v>
      </c>
      <c r="E560">
        <v>40</v>
      </c>
      <c r="F560">
        <v>38.157798767000003</v>
      </c>
      <c r="G560">
        <v>1344.6334228999999</v>
      </c>
      <c r="H560">
        <v>1340.3861084</v>
      </c>
      <c r="I560">
        <v>1320.0788574000001</v>
      </c>
      <c r="J560">
        <v>1313.9862060999999</v>
      </c>
      <c r="K560">
        <v>550</v>
      </c>
      <c r="L560">
        <v>0</v>
      </c>
      <c r="M560">
        <v>0</v>
      </c>
      <c r="N560">
        <v>550</v>
      </c>
    </row>
    <row r="561" spans="1:14" x14ac:dyDescent="0.25">
      <c r="A561">
        <v>513.18447300000003</v>
      </c>
      <c r="B561" s="1">
        <f>DATE(2011,9,26) + TIME(4,25,38)</f>
        <v>40812.184467592589</v>
      </c>
      <c r="C561">
        <v>80</v>
      </c>
      <c r="D561">
        <v>79.810203552000004</v>
      </c>
      <c r="E561">
        <v>40</v>
      </c>
      <c r="F561">
        <v>38.597824097</v>
      </c>
      <c r="G561">
        <v>1344.6092529</v>
      </c>
      <c r="H561">
        <v>1340.3673096</v>
      </c>
      <c r="I561">
        <v>1320.0968018000001</v>
      </c>
      <c r="J561">
        <v>1314.0187988</v>
      </c>
      <c r="K561">
        <v>550</v>
      </c>
      <c r="L561">
        <v>0</v>
      </c>
      <c r="M561">
        <v>0</v>
      </c>
      <c r="N561">
        <v>550</v>
      </c>
    </row>
    <row r="562" spans="1:14" x14ac:dyDescent="0.25">
      <c r="A562">
        <v>516.17904099999998</v>
      </c>
      <c r="B562" s="1">
        <f>DATE(2011,9,29) + TIME(4,17,49)</f>
        <v>40815.179039351853</v>
      </c>
      <c r="C562">
        <v>80</v>
      </c>
      <c r="D562">
        <v>79.810485839999998</v>
      </c>
      <c r="E562">
        <v>40</v>
      </c>
      <c r="F562">
        <v>39.055023192999997</v>
      </c>
      <c r="G562">
        <v>1344.5852050999999</v>
      </c>
      <c r="H562">
        <v>1340.3487548999999</v>
      </c>
      <c r="I562">
        <v>1320.1163329999999</v>
      </c>
      <c r="J562">
        <v>1314.0551757999999</v>
      </c>
      <c r="K562">
        <v>550</v>
      </c>
      <c r="L562">
        <v>0</v>
      </c>
      <c r="M562">
        <v>0</v>
      </c>
      <c r="N562">
        <v>550</v>
      </c>
    </row>
    <row r="563" spans="1:14" x14ac:dyDescent="0.25">
      <c r="A563">
        <v>518</v>
      </c>
      <c r="B563" s="1">
        <f>DATE(2011,10,1) + TIME(0,0,0)</f>
        <v>40817</v>
      </c>
      <c r="C563">
        <v>80</v>
      </c>
      <c r="D563">
        <v>79.810615540000001</v>
      </c>
      <c r="E563">
        <v>40</v>
      </c>
      <c r="F563">
        <v>39.406826019</v>
      </c>
      <c r="G563">
        <v>1344.5612793</v>
      </c>
      <c r="H563">
        <v>1340.3304443</v>
      </c>
      <c r="I563">
        <v>1320.1442870999999</v>
      </c>
      <c r="J563">
        <v>1314.0933838000001</v>
      </c>
      <c r="K563">
        <v>550</v>
      </c>
      <c r="L563">
        <v>0</v>
      </c>
      <c r="M563">
        <v>0</v>
      </c>
      <c r="N563">
        <v>550</v>
      </c>
    </row>
    <row r="564" spans="1:14" x14ac:dyDescent="0.25">
      <c r="A564">
        <v>521.04781000000003</v>
      </c>
      <c r="B564" s="1">
        <f>DATE(2011,10,4) + TIME(1,8,50)</f>
        <v>40820.047800925924</v>
      </c>
      <c r="C564">
        <v>80</v>
      </c>
      <c r="D564">
        <v>79.810928344999994</v>
      </c>
      <c r="E564">
        <v>40</v>
      </c>
      <c r="F564">
        <v>39.851852417000003</v>
      </c>
      <c r="G564">
        <v>1344.546875</v>
      </c>
      <c r="H564">
        <v>1340.3192139</v>
      </c>
      <c r="I564">
        <v>1320.1506348</v>
      </c>
      <c r="J564">
        <v>1314.1246338000001</v>
      </c>
      <c r="K564">
        <v>550</v>
      </c>
      <c r="L564">
        <v>0</v>
      </c>
      <c r="M564">
        <v>0</v>
      </c>
      <c r="N564">
        <v>550</v>
      </c>
    </row>
    <row r="565" spans="1:14" x14ac:dyDescent="0.25">
      <c r="A565">
        <v>524.20265700000004</v>
      </c>
      <c r="B565" s="1">
        <f>DATE(2011,10,7) + TIME(4,51,49)</f>
        <v>40823.202650462961</v>
      </c>
      <c r="C565">
        <v>80</v>
      </c>
      <c r="D565">
        <v>79.811248778999996</v>
      </c>
      <c r="E565">
        <v>40</v>
      </c>
      <c r="F565">
        <v>40.328804015999999</v>
      </c>
      <c r="G565">
        <v>1344.5233154</v>
      </c>
      <c r="H565">
        <v>1340.3010254000001</v>
      </c>
      <c r="I565">
        <v>1320.1745605000001</v>
      </c>
      <c r="J565">
        <v>1314.1691894999999</v>
      </c>
      <c r="K565">
        <v>550</v>
      </c>
      <c r="L565">
        <v>0</v>
      </c>
      <c r="M565">
        <v>0</v>
      </c>
      <c r="N565">
        <v>550</v>
      </c>
    </row>
    <row r="566" spans="1:14" x14ac:dyDescent="0.25">
      <c r="A566">
        <v>527.43767700000001</v>
      </c>
      <c r="B566" s="1">
        <f>DATE(2011,10,10) + TIME(10,30,15)</f>
        <v>40826.437673611108</v>
      </c>
      <c r="C566">
        <v>80</v>
      </c>
      <c r="D566">
        <v>79.811561584000003</v>
      </c>
      <c r="E566">
        <v>40</v>
      </c>
      <c r="F566">
        <v>40.828250885000003</v>
      </c>
      <c r="G566">
        <v>1344.4993896000001</v>
      </c>
      <c r="H566">
        <v>1340.2825928</v>
      </c>
      <c r="I566">
        <v>1320.2006836</v>
      </c>
      <c r="J566">
        <v>1314.2185059000001</v>
      </c>
      <c r="K566">
        <v>550</v>
      </c>
      <c r="L566">
        <v>0</v>
      </c>
      <c r="M566">
        <v>0</v>
      </c>
      <c r="N566">
        <v>550</v>
      </c>
    </row>
    <row r="567" spans="1:14" x14ac:dyDescent="0.25">
      <c r="A567">
        <v>530.7654</v>
      </c>
      <c r="B567" s="1">
        <f>DATE(2011,10,13) + TIME(18,22,10)</f>
        <v>40829.765393518515</v>
      </c>
      <c r="C567">
        <v>80</v>
      </c>
      <c r="D567">
        <v>79.811882018999995</v>
      </c>
      <c r="E567">
        <v>40</v>
      </c>
      <c r="F567">
        <v>41.344684600999997</v>
      </c>
      <c r="G567">
        <v>1344.4753418</v>
      </c>
      <c r="H567">
        <v>1340.2641602000001</v>
      </c>
      <c r="I567">
        <v>1320.2287598</v>
      </c>
      <c r="J567">
        <v>1314.2720947</v>
      </c>
      <c r="K567">
        <v>550</v>
      </c>
      <c r="L567">
        <v>0</v>
      </c>
      <c r="M567">
        <v>0</v>
      </c>
      <c r="N567">
        <v>550</v>
      </c>
    </row>
    <row r="568" spans="1:14" x14ac:dyDescent="0.25">
      <c r="A568">
        <v>534.11669600000005</v>
      </c>
      <c r="B568" s="1">
        <f>DATE(2011,10,17) + TIME(2,48,2)</f>
        <v>40833.116689814815</v>
      </c>
      <c r="C568">
        <v>80</v>
      </c>
      <c r="D568">
        <v>79.812202454000001</v>
      </c>
      <c r="E568">
        <v>40</v>
      </c>
      <c r="F568">
        <v>41.868782043000003</v>
      </c>
      <c r="G568">
        <v>1344.4511719</v>
      </c>
      <c r="H568">
        <v>1340.2456055</v>
      </c>
      <c r="I568">
        <v>1320.2592772999999</v>
      </c>
      <c r="J568">
        <v>1314.3294678</v>
      </c>
      <c r="K568">
        <v>550</v>
      </c>
      <c r="L568">
        <v>0</v>
      </c>
      <c r="M568">
        <v>0</v>
      </c>
      <c r="N568">
        <v>550</v>
      </c>
    </row>
    <row r="569" spans="1:14" x14ac:dyDescent="0.25">
      <c r="A569">
        <v>537.47232799999995</v>
      </c>
      <c r="B569" s="1">
        <f>DATE(2011,10,20) + TIME(11,20,9)</f>
        <v>40836.472326388888</v>
      </c>
      <c r="C569">
        <v>80</v>
      </c>
      <c r="D569">
        <v>79.812522888000004</v>
      </c>
      <c r="E569">
        <v>40</v>
      </c>
      <c r="F569">
        <v>42.392852783000002</v>
      </c>
      <c r="G569">
        <v>1344.4274902</v>
      </c>
      <c r="H569">
        <v>1340.2274170000001</v>
      </c>
      <c r="I569">
        <v>1320.2911377</v>
      </c>
      <c r="J569">
        <v>1314.3896483999999</v>
      </c>
      <c r="K569">
        <v>550</v>
      </c>
      <c r="L569">
        <v>0</v>
      </c>
      <c r="M569">
        <v>0</v>
      </c>
      <c r="N569">
        <v>550</v>
      </c>
    </row>
    <row r="570" spans="1:14" x14ac:dyDescent="0.25">
      <c r="A570">
        <v>540.85203100000001</v>
      </c>
      <c r="B570" s="1">
        <f>DATE(2011,10,23) + TIME(20,26,55)</f>
        <v>40839.852025462962</v>
      </c>
      <c r="C570">
        <v>80</v>
      </c>
      <c r="D570">
        <v>79.812843322999996</v>
      </c>
      <c r="E570">
        <v>40</v>
      </c>
      <c r="F570">
        <v>42.913574218999997</v>
      </c>
      <c r="G570">
        <v>1344.4042969</v>
      </c>
      <c r="H570">
        <v>1340.2097168</v>
      </c>
      <c r="I570">
        <v>1320.3240966999999</v>
      </c>
      <c r="J570">
        <v>1314.4519043</v>
      </c>
      <c r="K570">
        <v>550</v>
      </c>
      <c r="L570">
        <v>0</v>
      </c>
      <c r="M570">
        <v>0</v>
      </c>
      <c r="N570">
        <v>550</v>
      </c>
    </row>
    <row r="571" spans="1:14" x14ac:dyDescent="0.25">
      <c r="A571">
        <v>544.26749700000005</v>
      </c>
      <c r="B571" s="1">
        <f>DATE(2011,10,27) + TIME(6,25,11)</f>
        <v>40843.267488425925</v>
      </c>
      <c r="C571">
        <v>80</v>
      </c>
      <c r="D571">
        <v>79.813163756999998</v>
      </c>
      <c r="E571">
        <v>40</v>
      </c>
      <c r="F571">
        <v>43.429344176999997</v>
      </c>
      <c r="G571">
        <v>1344.3814697</v>
      </c>
      <c r="H571">
        <v>1340.1923827999999</v>
      </c>
      <c r="I571">
        <v>1320.3582764</v>
      </c>
      <c r="J571">
        <v>1314.5159911999999</v>
      </c>
      <c r="K571">
        <v>550</v>
      </c>
      <c r="L571">
        <v>0</v>
      </c>
      <c r="M571">
        <v>0</v>
      </c>
      <c r="N571">
        <v>550</v>
      </c>
    </row>
    <row r="572" spans="1:14" x14ac:dyDescent="0.25">
      <c r="A572">
        <v>547.74633700000004</v>
      </c>
      <c r="B572" s="1">
        <f>DATE(2011,10,30) + TIME(17,54,43)</f>
        <v>40846.746331018519</v>
      </c>
      <c r="C572">
        <v>80</v>
      </c>
      <c r="D572">
        <v>79.813499450999998</v>
      </c>
      <c r="E572">
        <v>40</v>
      </c>
      <c r="F572">
        <v>43.940570831000002</v>
      </c>
      <c r="G572">
        <v>1344.3590088000001</v>
      </c>
      <c r="H572">
        <v>1340.175293</v>
      </c>
      <c r="I572">
        <v>1320.3936768000001</v>
      </c>
      <c r="J572">
        <v>1314.5819091999999</v>
      </c>
      <c r="K572">
        <v>550</v>
      </c>
      <c r="L572">
        <v>0</v>
      </c>
      <c r="M572">
        <v>0</v>
      </c>
      <c r="N572">
        <v>550</v>
      </c>
    </row>
    <row r="573" spans="1:14" x14ac:dyDescent="0.25">
      <c r="A573">
        <v>549</v>
      </c>
      <c r="B573" s="1">
        <f>DATE(2011,11,1) + TIME(0,0,0)</f>
        <v>40848</v>
      </c>
      <c r="C573">
        <v>80</v>
      </c>
      <c r="D573">
        <v>79.813560486</v>
      </c>
      <c r="E573">
        <v>40</v>
      </c>
      <c r="F573">
        <v>44.215213775999999</v>
      </c>
      <c r="G573">
        <v>1344.3367920000001</v>
      </c>
      <c r="H573">
        <v>1340.1588135</v>
      </c>
      <c r="I573">
        <v>1320.4393310999999</v>
      </c>
      <c r="J573">
        <v>1314.6409911999999</v>
      </c>
      <c r="K573">
        <v>550</v>
      </c>
      <c r="L573">
        <v>0</v>
      </c>
      <c r="M573">
        <v>0</v>
      </c>
      <c r="N573">
        <v>550</v>
      </c>
    </row>
    <row r="574" spans="1:14" x14ac:dyDescent="0.25">
      <c r="A574">
        <v>549.000001</v>
      </c>
      <c r="B574" s="1">
        <f>DATE(2011,11,1) + TIME(0,0,0)</f>
        <v>40848</v>
      </c>
      <c r="C574">
        <v>80</v>
      </c>
      <c r="D574">
        <v>79.813529967999997</v>
      </c>
      <c r="E574">
        <v>40</v>
      </c>
      <c r="F574">
        <v>44.215244292999998</v>
      </c>
      <c r="G574">
        <v>1339.9591064000001</v>
      </c>
      <c r="H574">
        <v>1338.3288574000001</v>
      </c>
      <c r="I574">
        <v>1326.5073242000001</v>
      </c>
      <c r="J574">
        <v>1320.6807861</v>
      </c>
      <c r="K574">
        <v>0</v>
      </c>
      <c r="L574">
        <v>550</v>
      </c>
      <c r="M574">
        <v>550</v>
      </c>
      <c r="N574">
        <v>0</v>
      </c>
    </row>
    <row r="575" spans="1:14" x14ac:dyDescent="0.25">
      <c r="A575">
        <v>549.00000399999999</v>
      </c>
      <c r="B575" s="1">
        <f>DATE(2011,11,1) + TIME(0,0,0)</f>
        <v>40848</v>
      </c>
      <c r="C575">
        <v>80</v>
      </c>
      <c r="D575">
        <v>79.813461304</v>
      </c>
      <c r="E575">
        <v>40</v>
      </c>
      <c r="F575">
        <v>44.215320587000001</v>
      </c>
      <c r="G575">
        <v>1339.4543457</v>
      </c>
      <c r="H575">
        <v>1337.8238524999999</v>
      </c>
      <c r="I575">
        <v>1327.0701904</v>
      </c>
      <c r="J575">
        <v>1321.3305664</v>
      </c>
      <c r="K575">
        <v>0</v>
      </c>
      <c r="L575">
        <v>550</v>
      </c>
      <c r="M575">
        <v>550</v>
      </c>
      <c r="N575">
        <v>0</v>
      </c>
    </row>
    <row r="576" spans="1:14" x14ac:dyDescent="0.25">
      <c r="A576">
        <v>549.00001299999997</v>
      </c>
      <c r="B576" s="1">
        <f>DATE(2011,11,1) + TIME(0,0,1)</f>
        <v>40848.000011574077</v>
      </c>
      <c r="C576">
        <v>80</v>
      </c>
      <c r="D576">
        <v>79.813316345000004</v>
      </c>
      <c r="E576">
        <v>40</v>
      </c>
      <c r="F576">
        <v>44.215496063000003</v>
      </c>
      <c r="G576">
        <v>1338.4345702999999</v>
      </c>
      <c r="H576">
        <v>1336.8018798999999</v>
      </c>
      <c r="I576">
        <v>1328.4075928</v>
      </c>
      <c r="J576">
        <v>1322.817749</v>
      </c>
      <c r="K576">
        <v>0</v>
      </c>
      <c r="L576">
        <v>550</v>
      </c>
      <c r="M576">
        <v>550</v>
      </c>
      <c r="N576">
        <v>0</v>
      </c>
    </row>
    <row r="577" spans="1:14" x14ac:dyDescent="0.25">
      <c r="A577">
        <v>549.00004000000001</v>
      </c>
      <c r="B577" s="1">
        <f>DATE(2011,11,1) + TIME(0,0,3)</f>
        <v>40848.000034722223</v>
      </c>
      <c r="C577">
        <v>80</v>
      </c>
      <c r="D577">
        <v>79.813095093000001</v>
      </c>
      <c r="E577">
        <v>40</v>
      </c>
      <c r="F577">
        <v>44.215766907000003</v>
      </c>
      <c r="G577">
        <v>1336.9387207</v>
      </c>
      <c r="H577">
        <v>1335.2961425999999</v>
      </c>
      <c r="I577">
        <v>1330.8209228999999</v>
      </c>
      <c r="J577">
        <v>1325.3259277</v>
      </c>
      <c r="K577">
        <v>0</v>
      </c>
      <c r="L577">
        <v>550</v>
      </c>
      <c r="M577">
        <v>550</v>
      </c>
      <c r="N577">
        <v>0</v>
      </c>
    </row>
    <row r="578" spans="1:14" x14ac:dyDescent="0.25">
      <c r="A578">
        <v>549.00012100000004</v>
      </c>
      <c r="B578" s="1">
        <f>DATE(2011,11,1) + TIME(0,0,10)</f>
        <v>40848.000115740739</v>
      </c>
      <c r="C578">
        <v>80</v>
      </c>
      <c r="D578">
        <v>79.812850952000005</v>
      </c>
      <c r="E578">
        <v>40</v>
      </c>
      <c r="F578">
        <v>44.216049194</v>
      </c>
      <c r="G578">
        <v>1335.2508545000001</v>
      </c>
      <c r="H578">
        <v>1333.5828856999999</v>
      </c>
      <c r="I578">
        <v>1334.0146483999999</v>
      </c>
      <c r="J578">
        <v>1328.5186768000001</v>
      </c>
      <c r="K578">
        <v>0</v>
      </c>
      <c r="L578">
        <v>550</v>
      </c>
      <c r="M578">
        <v>550</v>
      </c>
      <c r="N578">
        <v>0</v>
      </c>
    </row>
    <row r="579" spans="1:14" x14ac:dyDescent="0.25">
      <c r="A579">
        <v>549.00036399999999</v>
      </c>
      <c r="B579" s="1">
        <f>DATE(2011,11,1) + TIME(0,0,31)</f>
        <v>40848.000358796293</v>
      </c>
      <c r="C579">
        <v>80</v>
      </c>
      <c r="D579">
        <v>79.812561035000002</v>
      </c>
      <c r="E579">
        <v>40</v>
      </c>
      <c r="F579">
        <v>44.216136931999998</v>
      </c>
      <c r="G579">
        <v>1333.4898682</v>
      </c>
      <c r="H579">
        <v>1331.7508545000001</v>
      </c>
      <c r="I579">
        <v>1337.453125</v>
      </c>
      <c r="J579">
        <v>1331.9381103999999</v>
      </c>
      <c r="K579">
        <v>0</v>
      </c>
      <c r="L579">
        <v>550</v>
      </c>
      <c r="M579">
        <v>550</v>
      </c>
      <c r="N579">
        <v>0</v>
      </c>
    </row>
    <row r="580" spans="1:14" x14ac:dyDescent="0.25">
      <c r="A580">
        <v>549.00109299999997</v>
      </c>
      <c r="B580" s="1">
        <f>DATE(2011,11,1) + TIME(0,1,34)</f>
        <v>40848.001087962963</v>
      </c>
      <c r="C580">
        <v>80</v>
      </c>
      <c r="D580">
        <v>79.812171935999999</v>
      </c>
      <c r="E580">
        <v>40</v>
      </c>
      <c r="F580">
        <v>44.215560912999997</v>
      </c>
      <c r="G580">
        <v>1331.652832</v>
      </c>
      <c r="H580">
        <v>1329.7733154</v>
      </c>
      <c r="I580">
        <v>1340.8511963000001</v>
      </c>
      <c r="J580">
        <v>1335.3139647999999</v>
      </c>
      <c r="K580">
        <v>0</v>
      </c>
      <c r="L580">
        <v>550</v>
      </c>
      <c r="M580">
        <v>550</v>
      </c>
      <c r="N580">
        <v>0</v>
      </c>
    </row>
    <row r="581" spans="1:14" x14ac:dyDescent="0.25">
      <c r="A581">
        <v>549.00328000000002</v>
      </c>
      <c r="B581" s="1">
        <f>DATE(2011,11,1) + TIME(0,4,43)</f>
        <v>40848.003275462965</v>
      </c>
      <c r="C581">
        <v>80</v>
      </c>
      <c r="D581">
        <v>79.811538696</v>
      </c>
      <c r="E581">
        <v>40</v>
      </c>
      <c r="F581">
        <v>44.212913512999997</v>
      </c>
      <c r="G581">
        <v>1329.9075928</v>
      </c>
      <c r="H581">
        <v>1327.8785399999999</v>
      </c>
      <c r="I581">
        <v>1343.7569579999999</v>
      </c>
      <c r="J581">
        <v>1338.1688231999999</v>
      </c>
      <c r="K581">
        <v>0</v>
      </c>
      <c r="L581">
        <v>550</v>
      </c>
      <c r="M581">
        <v>550</v>
      </c>
      <c r="N581">
        <v>0</v>
      </c>
    </row>
    <row r="582" spans="1:14" x14ac:dyDescent="0.25">
      <c r="A582">
        <v>549.00984100000005</v>
      </c>
      <c r="B582" s="1">
        <f>DATE(2011,11,1) + TIME(0,14,10)</f>
        <v>40848.009837962964</v>
      </c>
      <c r="C582">
        <v>80</v>
      </c>
      <c r="D582">
        <v>79.810142517000003</v>
      </c>
      <c r="E582">
        <v>40</v>
      </c>
      <c r="F582">
        <v>44.204074859999999</v>
      </c>
      <c r="G582">
        <v>1328.5611572</v>
      </c>
      <c r="H582">
        <v>1326.4584961</v>
      </c>
      <c r="I582">
        <v>1345.6475829999999</v>
      </c>
      <c r="J582">
        <v>1340.0003661999999</v>
      </c>
      <c r="K582">
        <v>0</v>
      </c>
      <c r="L582">
        <v>550</v>
      </c>
      <c r="M582">
        <v>550</v>
      </c>
      <c r="N582">
        <v>0</v>
      </c>
    </row>
    <row r="583" spans="1:14" x14ac:dyDescent="0.25">
      <c r="A583">
        <v>549.02952400000004</v>
      </c>
      <c r="B583" s="1">
        <f>DATE(2011,11,1) + TIME(0,42,30)</f>
        <v>40848.029513888891</v>
      </c>
      <c r="C583">
        <v>80</v>
      </c>
      <c r="D583">
        <v>79.806427002000007</v>
      </c>
      <c r="E583">
        <v>40</v>
      </c>
      <c r="F583">
        <v>44.176990508999999</v>
      </c>
      <c r="G583">
        <v>1327.7562256000001</v>
      </c>
      <c r="H583">
        <v>1325.6361084</v>
      </c>
      <c r="I583">
        <v>1346.5255127</v>
      </c>
      <c r="J583">
        <v>1340.8383789</v>
      </c>
      <c r="K583">
        <v>0</v>
      </c>
      <c r="L583">
        <v>550</v>
      </c>
      <c r="M583">
        <v>550</v>
      </c>
      <c r="N583">
        <v>0</v>
      </c>
    </row>
    <row r="584" spans="1:14" x14ac:dyDescent="0.25">
      <c r="A584">
        <v>549.088573</v>
      </c>
      <c r="B584" s="1">
        <f>DATE(2011,11,1) + TIME(2,7,32)</f>
        <v>40848.088564814818</v>
      </c>
      <c r="C584">
        <v>80</v>
      </c>
      <c r="D584">
        <v>79.795677185000002</v>
      </c>
      <c r="E584">
        <v>40</v>
      </c>
      <c r="F584">
        <v>44.096897124999998</v>
      </c>
      <c r="G584">
        <v>1327.3880615</v>
      </c>
      <c r="H584">
        <v>1325.2657471</v>
      </c>
      <c r="I584">
        <v>1346.7733154</v>
      </c>
      <c r="J584">
        <v>1341.0712891000001</v>
      </c>
      <c r="K584">
        <v>0</v>
      </c>
      <c r="L584">
        <v>550</v>
      </c>
      <c r="M584">
        <v>550</v>
      </c>
      <c r="N584">
        <v>0</v>
      </c>
    </row>
    <row r="585" spans="1:14" x14ac:dyDescent="0.25">
      <c r="A585">
        <v>549.26571999999999</v>
      </c>
      <c r="B585" s="1">
        <f>DATE(2011,11,1) + TIME(6,22,38)</f>
        <v>40848.265717592592</v>
      </c>
      <c r="C585">
        <v>80</v>
      </c>
      <c r="D585">
        <v>79.764472960999996</v>
      </c>
      <c r="E585">
        <v>40</v>
      </c>
      <c r="F585">
        <v>43.870441436999997</v>
      </c>
      <c r="G585">
        <v>1327.2745361</v>
      </c>
      <c r="H585">
        <v>1325.1518555</v>
      </c>
      <c r="I585">
        <v>1346.7573242000001</v>
      </c>
      <c r="J585">
        <v>1341.0555420000001</v>
      </c>
      <c r="K585">
        <v>0</v>
      </c>
      <c r="L585">
        <v>550</v>
      </c>
      <c r="M585">
        <v>550</v>
      </c>
      <c r="N585">
        <v>0</v>
      </c>
    </row>
    <row r="586" spans="1:14" x14ac:dyDescent="0.25">
      <c r="A586">
        <v>549.55378599999995</v>
      </c>
      <c r="B586" s="1">
        <f>DATE(2011,11,1) + TIME(13,17,27)</f>
        <v>40848.553784722222</v>
      </c>
      <c r="C586">
        <v>80</v>
      </c>
      <c r="D586">
        <v>79.715423584000007</v>
      </c>
      <c r="E586">
        <v>40</v>
      </c>
      <c r="F586">
        <v>43.535602570000002</v>
      </c>
      <c r="G586">
        <v>1327.2514647999999</v>
      </c>
      <c r="H586">
        <v>1325.1278076000001</v>
      </c>
      <c r="I586">
        <v>1346.697876</v>
      </c>
      <c r="J586">
        <v>1341.0013428</v>
      </c>
      <c r="K586">
        <v>0</v>
      </c>
      <c r="L586">
        <v>550</v>
      </c>
      <c r="M586">
        <v>550</v>
      </c>
      <c r="N586">
        <v>0</v>
      </c>
    </row>
    <row r="587" spans="1:14" x14ac:dyDescent="0.25">
      <c r="A587">
        <v>549.85708</v>
      </c>
      <c r="B587" s="1">
        <f>DATE(2011,11,1) + TIME(20,34,11)</f>
        <v>40848.857071759259</v>
      </c>
      <c r="C587">
        <v>80</v>
      </c>
      <c r="D587">
        <v>79.664779663000004</v>
      </c>
      <c r="E587">
        <v>40</v>
      </c>
      <c r="F587">
        <v>43.216220856</v>
      </c>
      <c r="G587">
        <v>1327.2399902</v>
      </c>
      <c r="H587">
        <v>1325.1147461</v>
      </c>
      <c r="I587">
        <v>1346.6448975000001</v>
      </c>
      <c r="J587">
        <v>1340.9534911999999</v>
      </c>
      <c r="K587">
        <v>0</v>
      </c>
      <c r="L587">
        <v>550</v>
      </c>
      <c r="M587">
        <v>550</v>
      </c>
      <c r="N587">
        <v>0</v>
      </c>
    </row>
    <row r="588" spans="1:14" x14ac:dyDescent="0.25">
      <c r="A588">
        <v>550.17775700000004</v>
      </c>
      <c r="B588" s="1">
        <f>DATE(2011,11,2) + TIME(4,15,58)</f>
        <v>40849.177754629629</v>
      </c>
      <c r="C588">
        <v>80</v>
      </c>
      <c r="D588">
        <v>79.612297057999996</v>
      </c>
      <c r="E588">
        <v>40</v>
      </c>
      <c r="F588">
        <v>42.911560059000003</v>
      </c>
      <c r="G588">
        <v>1327.2296143000001</v>
      </c>
      <c r="H588">
        <v>1325.1025391000001</v>
      </c>
      <c r="I588">
        <v>1346.5946045000001</v>
      </c>
      <c r="J588">
        <v>1340.9084473</v>
      </c>
      <c r="K588">
        <v>0</v>
      </c>
      <c r="L588">
        <v>550</v>
      </c>
      <c r="M588">
        <v>550</v>
      </c>
      <c r="N588">
        <v>0</v>
      </c>
    </row>
    <row r="589" spans="1:14" x14ac:dyDescent="0.25">
      <c r="A589">
        <v>550.51826000000005</v>
      </c>
      <c r="B589" s="1">
        <f>DATE(2011,11,2) + TIME(12,26,17)</f>
        <v>40849.518252314818</v>
      </c>
      <c r="C589">
        <v>80</v>
      </c>
      <c r="D589">
        <v>79.557708739999995</v>
      </c>
      <c r="E589">
        <v>40</v>
      </c>
      <c r="F589">
        <v>42.621097564999999</v>
      </c>
      <c r="G589">
        <v>1327.21875</v>
      </c>
      <c r="H589">
        <v>1325.0898437999999</v>
      </c>
      <c r="I589">
        <v>1346.5461425999999</v>
      </c>
      <c r="J589">
        <v>1340.8651123</v>
      </c>
      <c r="K589">
        <v>0</v>
      </c>
      <c r="L589">
        <v>550</v>
      </c>
      <c r="M589">
        <v>550</v>
      </c>
      <c r="N589">
        <v>0</v>
      </c>
    </row>
    <row r="590" spans="1:14" x14ac:dyDescent="0.25">
      <c r="A590">
        <v>550.88172599999996</v>
      </c>
      <c r="B590" s="1">
        <f>DATE(2011,11,2) + TIME(21,9,41)</f>
        <v>40849.881724537037</v>
      </c>
      <c r="C590">
        <v>80</v>
      </c>
      <c r="D590">
        <v>79.500671386999997</v>
      </c>
      <c r="E590">
        <v>40</v>
      </c>
      <c r="F590">
        <v>42.344261168999999</v>
      </c>
      <c r="G590">
        <v>1327.2073975000001</v>
      </c>
      <c r="H590">
        <v>1325.0761719</v>
      </c>
      <c r="I590">
        <v>1346.4992675999999</v>
      </c>
      <c r="J590">
        <v>1340.8234863</v>
      </c>
      <c r="K590">
        <v>0</v>
      </c>
      <c r="L590">
        <v>550</v>
      </c>
      <c r="M590">
        <v>550</v>
      </c>
      <c r="N590">
        <v>0</v>
      </c>
    </row>
    <row r="591" spans="1:14" x14ac:dyDescent="0.25">
      <c r="A591">
        <v>551.27185799999995</v>
      </c>
      <c r="B591" s="1">
        <f>DATE(2011,11,3) + TIME(6,31,28)</f>
        <v>40850.271851851852</v>
      </c>
      <c r="C591">
        <v>80</v>
      </c>
      <c r="D591">
        <v>79.440803528000004</v>
      </c>
      <c r="E591">
        <v>40</v>
      </c>
      <c r="F591">
        <v>42.080680846999996</v>
      </c>
      <c r="G591">
        <v>1327.1954346</v>
      </c>
      <c r="H591">
        <v>1325.0616454999999</v>
      </c>
      <c r="I591">
        <v>1346.4538574000001</v>
      </c>
      <c r="J591">
        <v>1340.7833252</v>
      </c>
      <c r="K591">
        <v>0</v>
      </c>
      <c r="L591">
        <v>550</v>
      </c>
      <c r="M591">
        <v>550</v>
      </c>
      <c r="N591">
        <v>0</v>
      </c>
    </row>
    <row r="592" spans="1:14" x14ac:dyDescent="0.25">
      <c r="A592">
        <v>551.693265</v>
      </c>
      <c r="B592" s="1">
        <f>DATE(2011,11,3) + TIME(16,38,18)</f>
        <v>40850.69326388889</v>
      </c>
      <c r="C592">
        <v>80</v>
      </c>
      <c r="D592">
        <v>79.377624511999997</v>
      </c>
      <c r="E592">
        <v>40</v>
      </c>
      <c r="F592">
        <v>41.830062865999999</v>
      </c>
      <c r="G592">
        <v>1327.1824951000001</v>
      </c>
      <c r="H592">
        <v>1325.0458983999999</v>
      </c>
      <c r="I592">
        <v>1346.4100341999999</v>
      </c>
      <c r="J592">
        <v>1340.744751</v>
      </c>
      <c r="K592">
        <v>0</v>
      </c>
      <c r="L592">
        <v>550</v>
      </c>
      <c r="M592">
        <v>550</v>
      </c>
      <c r="N592">
        <v>0</v>
      </c>
    </row>
    <row r="593" spans="1:14" x14ac:dyDescent="0.25">
      <c r="A593">
        <v>552.13535000000002</v>
      </c>
      <c r="B593" s="1">
        <f>DATE(2011,11,4) + TIME(3,14,54)</f>
        <v>40851.135347222225</v>
      </c>
      <c r="C593">
        <v>80</v>
      </c>
      <c r="D593">
        <v>79.312751770000006</v>
      </c>
      <c r="E593">
        <v>40</v>
      </c>
      <c r="F593">
        <v>41.599681854000004</v>
      </c>
      <c r="G593">
        <v>1327.1688231999999</v>
      </c>
      <c r="H593">
        <v>1325.0290527</v>
      </c>
      <c r="I593">
        <v>1346.3690185999999</v>
      </c>
      <c r="J593">
        <v>1340.7088623</v>
      </c>
      <c r="K593">
        <v>0</v>
      </c>
      <c r="L593">
        <v>550</v>
      </c>
      <c r="M593">
        <v>550</v>
      </c>
      <c r="N593">
        <v>0</v>
      </c>
    </row>
    <row r="594" spans="1:14" x14ac:dyDescent="0.25">
      <c r="A594">
        <v>552.59279100000003</v>
      </c>
      <c r="B594" s="1">
        <f>DATE(2011,11,4) + TIME(14,13,37)</f>
        <v>40851.592789351853</v>
      </c>
      <c r="C594">
        <v>80</v>
      </c>
      <c r="D594">
        <v>79.246948242000002</v>
      </c>
      <c r="E594">
        <v>40</v>
      </c>
      <c r="F594">
        <v>41.391429901000002</v>
      </c>
      <c r="G594">
        <v>1327.1544189000001</v>
      </c>
      <c r="H594">
        <v>1325.0113524999999</v>
      </c>
      <c r="I594">
        <v>1346.3312988</v>
      </c>
      <c r="J594">
        <v>1340.6759033000001</v>
      </c>
      <c r="K594">
        <v>0</v>
      </c>
      <c r="L594">
        <v>550</v>
      </c>
      <c r="M594">
        <v>550</v>
      </c>
      <c r="N594">
        <v>0</v>
      </c>
    </row>
    <row r="595" spans="1:14" x14ac:dyDescent="0.25">
      <c r="A595">
        <v>553.06664699999999</v>
      </c>
      <c r="B595" s="1">
        <f>DATE(2011,11,5) + TIME(1,35,58)</f>
        <v>40852.066643518519</v>
      </c>
      <c r="C595">
        <v>80</v>
      </c>
      <c r="D595">
        <v>79.180122374999996</v>
      </c>
      <c r="E595">
        <v>40</v>
      </c>
      <c r="F595">
        <v>41.203605652</v>
      </c>
      <c r="G595">
        <v>1327.1397704999999</v>
      </c>
      <c r="H595">
        <v>1324.9929199000001</v>
      </c>
      <c r="I595">
        <v>1346.2965088000001</v>
      </c>
      <c r="J595">
        <v>1340.6457519999999</v>
      </c>
      <c r="K595">
        <v>0</v>
      </c>
      <c r="L595">
        <v>550</v>
      </c>
      <c r="M595">
        <v>550</v>
      </c>
      <c r="N595">
        <v>0</v>
      </c>
    </row>
    <row r="596" spans="1:14" x14ac:dyDescent="0.25">
      <c r="A596">
        <v>553.55785700000001</v>
      </c>
      <c r="B596" s="1">
        <f>DATE(2011,11,5) + TIME(13,23,18)</f>
        <v>40852.557847222219</v>
      </c>
      <c r="C596">
        <v>80</v>
      </c>
      <c r="D596">
        <v>79.112190247000001</v>
      </c>
      <c r="E596">
        <v>40</v>
      </c>
      <c r="F596">
        <v>41.034702301000003</v>
      </c>
      <c r="G596">
        <v>1327.1245117000001</v>
      </c>
      <c r="H596">
        <v>1324.9737548999999</v>
      </c>
      <c r="I596">
        <v>1346.2645264</v>
      </c>
      <c r="J596">
        <v>1340.6181641000001</v>
      </c>
      <c r="K596">
        <v>0</v>
      </c>
      <c r="L596">
        <v>550</v>
      </c>
      <c r="M596">
        <v>550</v>
      </c>
      <c r="N596">
        <v>0</v>
      </c>
    </row>
    <row r="597" spans="1:14" x14ac:dyDescent="0.25">
      <c r="A597">
        <v>554.06712000000005</v>
      </c>
      <c r="B597" s="1">
        <f>DATE(2011,11,6) + TIME(1,36,39)</f>
        <v>40853.067118055558</v>
      </c>
      <c r="C597">
        <v>80</v>
      </c>
      <c r="D597">
        <v>79.043090820000003</v>
      </c>
      <c r="E597">
        <v>40</v>
      </c>
      <c r="F597">
        <v>40.883369446000003</v>
      </c>
      <c r="G597">
        <v>1327.1086425999999</v>
      </c>
      <c r="H597">
        <v>1324.9538574000001</v>
      </c>
      <c r="I597">
        <v>1346.2351074000001</v>
      </c>
      <c r="J597">
        <v>1340.5928954999999</v>
      </c>
      <c r="K597">
        <v>0</v>
      </c>
      <c r="L597">
        <v>550</v>
      </c>
      <c r="M597">
        <v>550</v>
      </c>
      <c r="N597">
        <v>0</v>
      </c>
    </row>
    <row r="598" spans="1:14" x14ac:dyDescent="0.25">
      <c r="A598">
        <v>554.59579099999996</v>
      </c>
      <c r="B598" s="1">
        <f>DATE(2011,11,6) + TIME(14,17,56)</f>
        <v>40853.59578703704</v>
      </c>
      <c r="C598">
        <v>80</v>
      </c>
      <c r="D598">
        <v>78.972709656000006</v>
      </c>
      <c r="E598">
        <v>40</v>
      </c>
      <c r="F598">
        <v>40.748172760000003</v>
      </c>
      <c r="G598">
        <v>1327.0924072</v>
      </c>
      <c r="H598">
        <v>1324.9332274999999</v>
      </c>
      <c r="I598">
        <v>1346.2078856999999</v>
      </c>
      <c r="J598">
        <v>1340.5697021000001</v>
      </c>
      <c r="K598">
        <v>0</v>
      </c>
      <c r="L598">
        <v>550</v>
      </c>
      <c r="M598">
        <v>550</v>
      </c>
      <c r="N598">
        <v>0</v>
      </c>
    </row>
    <row r="599" spans="1:14" x14ac:dyDescent="0.25">
      <c r="A599">
        <v>555.14507700000001</v>
      </c>
      <c r="B599" s="1">
        <f>DATE(2011,11,7) + TIME(3,28,54)</f>
        <v>40854.145069444443</v>
      </c>
      <c r="C599">
        <v>80</v>
      </c>
      <c r="D599">
        <v>78.900939941000004</v>
      </c>
      <c r="E599">
        <v>40</v>
      </c>
      <c r="F599">
        <v>40.627830504999999</v>
      </c>
      <c r="G599">
        <v>1327.0754394999999</v>
      </c>
      <c r="H599">
        <v>1324.9116211</v>
      </c>
      <c r="I599">
        <v>1346.1828613</v>
      </c>
      <c r="J599">
        <v>1340.5484618999999</v>
      </c>
      <c r="K599">
        <v>0</v>
      </c>
      <c r="L599">
        <v>550</v>
      </c>
      <c r="M599">
        <v>550</v>
      </c>
      <c r="N599">
        <v>0</v>
      </c>
    </row>
    <row r="600" spans="1:14" x14ac:dyDescent="0.25">
      <c r="A600">
        <v>555.71625800000004</v>
      </c>
      <c r="B600" s="1">
        <f>DATE(2011,11,7) + TIME(17,11,24)</f>
        <v>40854.716249999998</v>
      </c>
      <c r="C600">
        <v>80</v>
      </c>
      <c r="D600">
        <v>78.827667235999996</v>
      </c>
      <c r="E600">
        <v>40</v>
      </c>
      <c r="F600">
        <v>40.521141051999997</v>
      </c>
      <c r="G600">
        <v>1327.0578613</v>
      </c>
      <c r="H600">
        <v>1324.8891602000001</v>
      </c>
      <c r="I600">
        <v>1346.1599120999999</v>
      </c>
      <c r="J600">
        <v>1340.5290527</v>
      </c>
      <c r="K600">
        <v>0</v>
      </c>
      <c r="L600">
        <v>550</v>
      </c>
      <c r="M600">
        <v>550</v>
      </c>
      <c r="N600">
        <v>0</v>
      </c>
    </row>
    <row r="601" spans="1:14" x14ac:dyDescent="0.25">
      <c r="A601">
        <v>556.31072300000005</v>
      </c>
      <c r="B601" s="1">
        <f>DATE(2011,11,8) + TIME(7,27,26)</f>
        <v>40855.310717592591</v>
      </c>
      <c r="C601">
        <v>80</v>
      </c>
      <c r="D601">
        <v>78.752777100000003</v>
      </c>
      <c r="E601">
        <v>40</v>
      </c>
      <c r="F601">
        <v>40.426956177000001</v>
      </c>
      <c r="G601">
        <v>1327.0396728999999</v>
      </c>
      <c r="H601">
        <v>1324.8657227000001</v>
      </c>
      <c r="I601">
        <v>1346.1386719</v>
      </c>
      <c r="J601">
        <v>1340.5113524999999</v>
      </c>
      <c r="K601">
        <v>0</v>
      </c>
      <c r="L601">
        <v>550</v>
      </c>
      <c r="M601">
        <v>550</v>
      </c>
      <c r="N601">
        <v>0</v>
      </c>
    </row>
    <row r="602" spans="1:14" x14ac:dyDescent="0.25">
      <c r="A602">
        <v>556.92998299999999</v>
      </c>
      <c r="B602" s="1">
        <f>DATE(2011,11,8) + TIME(22,19,10)</f>
        <v>40855.929976851854</v>
      </c>
      <c r="C602">
        <v>80</v>
      </c>
      <c r="D602">
        <v>78.676155089999995</v>
      </c>
      <c r="E602">
        <v>40</v>
      </c>
      <c r="F602">
        <v>40.344200133999998</v>
      </c>
      <c r="G602">
        <v>1327.0206298999999</v>
      </c>
      <c r="H602">
        <v>1324.8413086</v>
      </c>
      <c r="I602">
        <v>1346.1192627</v>
      </c>
      <c r="J602">
        <v>1340.4951172000001</v>
      </c>
      <c r="K602">
        <v>0</v>
      </c>
      <c r="L602">
        <v>550</v>
      </c>
      <c r="M602">
        <v>550</v>
      </c>
      <c r="N602">
        <v>0</v>
      </c>
    </row>
    <row r="603" spans="1:14" x14ac:dyDescent="0.25">
      <c r="A603">
        <v>557.57568500000002</v>
      </c>
      <c r="B603" s="1">
        <f>DATE(2011,11,9) + TIME(13,48,59)</f>
        <v>40856.575682870367</v>
      </c>
      <c r="C603">
        <v>80</v>
      </c>
      <c r="D603">
        <v>78.59765625</v>
      </c>
      <c r="E603">
        <v>40</v>
      </c>
      <c r="F603">
        <v>40.271846771</v>
      </c>
      <c r="G603">
        <v>1327.0009766000001</v>
      </c>
      <c r="H603">
        <v>1324.8156738</v>
      </c>
      <c r="I603">
        <v>1346.1013184000001</v>
      </c>
      <c r="J603">
        <v>1340.4803466999999</v>
      </c>
      <c r="K603">
        <v>0</v>
      </c>
      <c r="L603">
        <v>550</v>
      </c>
      <c r="M603">
        <v>550</v>
      </c>
      <c r="N603">
        <v>0</v>
      </c>
    </row>
    <row r="604" spans="1:14" x14ac:dyDescent="0.25">
      <c r="A604">
        <v>558.24961199999996</v>
      </c>
      <c r="B604" s="1">
        <f>DATE(2011,11,10) + TIME(5,59,26)</f>
        <v>40857.249606481484</v>
      </c>
      <c r="C604">
        <v>80</v>
      </c>
      <c r="D604">
        <v>78.517150878999999</v>
      </c>
      <c r="E604">
        <v>40</v>
      </c>
      <c r="F604">
        <v>40.208927154999998</v>
      </c>
      <c r="G604">
        <v>1326.9803466999999</v>
      </c>
      <c r="H604">
        <v>1324.7890625</v>
      </c>
      <c r="I604">
        <v>1346.0847168</v>
      </c>
      <c r="J604">
        <v>1340.4666748</v>
      </c>
      <c r="K604">
        <v>0</v>
      </c>
      <c r="L604">
        <v>550</v>
      </c>
      <c r="M604">
        <v>550</v>
      </c>
      <c r="N604">
        <v>0</v>
      </c>
    </row>
    <row r="605" spans="1:14" x14ac:dyDescent="0.25">
      <c r="A605">
        <v>558.95374600000002</v>
      </c>
      <c r="B605" s="1">
        <f>DATE(2011,11,10) + TIME(22,53,23)</f>
        <v>40857.953738425924</v>
      </c>
      <c r="C605">
        <v>80</v>
      </c>
      <c r="D605">
        <v>78.434478760000005</v>
      </c>
      <c r="E605">
        <v>40</v>
      </c>
      <c r="F605">
        <v>40.154521942000002</v>
      </c>
      <c r="G605">
        <v>1326.9588623</v>
      </c>
      <c r="H605">
        <v>1324.7611084</v>
      </c>
      <c r="I605">
        <v>1346.0695800999999</v>
      </c>
      <c r="J605">
        <v>1340.4543457</v>
      </c>
      <c r="K605">
        <v>0</v>
      </c>
      <c r="L605">
        <v>550</v>
      </c>
      <c r="M605">
        <v>550</v>
      </c>
      <c r="N605">
        <v>0</v>
      </c>
    </row>
    <row r="606" spans="1:14" x14ac:dyDescent="0.25">
      <c r="A606">
        <v>559.690245</v>
      </c>
      <c r="B606" s="1">
        <f>DATE(2011,11,11) + TIME(16,33,57)</f>
        <v>40858.690243055556</v>
      </c>
      <c r="C606">
        <v>80</v>
      </c>
      <c r="D606">
        <v>78.349487304999997</v>
      </c>
      <c r="E606">
        <v>40</v>
      </c>
      <c r="F606">
        <v>40.107769011999999</v>
      </c>
      <c r="G606">
        <v>1326.9364014</v>
      </c>
      <c r="H606">
        <v>1324.7318115</v>
      </c>
      <c r="I606">
        <v>1346.0555420000001</v>
      </c>
      <c r="J606">
        <v>1340.4428711</v>
      </c>
      <c r="K606">
        <v>0</v>
      </c>
      <c r="L606">
        <v>550</v>
      </c>
      <c r="M606">
        <v>550</v>
      </c>
      <c r="N606">
        <v>0</v>
      </c>
    </row>
    <row r="607" spans="1:14" x14ac:dyDescent="0.25">
      <c r="A607">
        <v>560.46131000000003</v>
      </c>
      <c r="B607" s="1">
        <f>DATE(2011,11,12) + TIME(11,4,17)</f>
        <v>40859.46130787037</v>
      </c>
      <c r="C607">
        <v>80</v>
      </c>
      <c r="D607">
        <v>78.262001037999994</v>
      </c>
      <c r="E607">
        <v>40</v>
      </c>
      <c r="F607">
        <v>40.067867278999998</v>
      </c>
      <c r="G607">
        <v>1326.9128418</v>
      </c>
      <c r="H607">
        <v>1324.7011719</v>
      </c>
      <c r="I607">
        <v>1346.0424805</v>
      </c>
      <c r="J607">
        <v>1340.4323730000001</v>
      </c>
      <c r="K607">
        <v>0</v>
      </c>
      <c r="L607">
        <v>550</v>
      </c>
      <c r="M607">
        <v>550</v>
      </c>
      <c r="N607">
        <v>0</v>
      </c>
    </row>
    <row r="608" spans="1:14" x14ac:dyDescent="0.25">
      <c r="A608">
        <v>561.26950499999998</v>
      </c>
      <c r="B608" s="1">
        <f>DATE(2011,11,13) + TIME(6,28,5)</f>
        <v>40860.269502314812</v>
      </c>
      <c r="C608">
        <v>80</v>
      </c>
      <c r="D608">
        <v>78.171844481999997</v>
      </c>
      <c r="E608">
        <v>40</v>
      </c>
      <c r="F608">
        <v>40.034053802000003</v>
      </c>
      <c r="G608">
        <v>1326.8881836</v>
      </c>
      <c r="H608">
        <v>1324.6689452999999</v>
      </c>
      <c r="I608">
        <v>1346.0305175999999</v>
      </c>
      <c r="J608">
        <v>1340.4227295000001</v>
      </c>
      <c r="K608">
        <v>0</v>
      </c>
      <c r="L608">
        <v>550</v>
      </c>
      <c r="M608">
        <v>550</v>
      </c>
      <c r="N608">
        <v>0</v>
      </c>
    </row>
    <row r="609" spans="1:14" x14ac:dyDescent="0.25">
      <c r="A609">
        <v>562.11786700000005</v>
      </c>
      <c r="B609" s="1">
        <f>DATE(2011,11,14) + TIME(2,49,43)</f>
        <v>40861.117858796293</v>
      </c>
      <c r="C609">
        <v>80</v>
      </c>
      <c r="D609">
        <v>78.078804016000007</v>
      </c>
      <c r="E609">
        <v>40</v>
      </c>
      <c r="F609">
        <v>40.005611420000001</v>
      </c>
      <c r="G609">
        <v>1326.8624268000001</v>
      </c>
      <c r="H609">
        <v>1324.6351318</v>
      </c>
      <c r="I609">
        <v>1346.0194091999999</v>
      </c>
      <c r="J609">
        <v>1340.4138184000001</v>
      </c>
      <c r="K609">
        <v>0</v>
      </c>
      <c r="L609">
        <v>550</v>
      </c>
      <c r="M609">
        <v>550</v>
      </c>
      <c r="N609">
        <v>0</v>
      </c>
    </row>
    <row r="610" spans="1:14" x14ac:dyDescent="0.25">
      <c r="A610">
        <v>563.00956900000006</v>
      </c>
      <c r="B610" s="1">
        <f>DATE(2011,11,15) + TIME(0,13,46)</f>
        <v>40862.009560185186</v>
      </c>
      <c r="C610">
        <v>80</v>
      </c>
      <c r="D610">
        <v>77.982643127000003</v>
      </c>
      <c r="E610">
        <v>40</v>
      </c>
      <c r="F610">
        <v>39.981891632</v>
      </c>
      <c r="G610">
        <v>1326.8352050999999</v>
      </c>
      <c r="H610">
        <v>1324.5994873</v>
      </c>
      <c r="I610">
        <v>1346.0091553</v>
      </c>
      <c r="J610">
        <v>1340.4053954999999</v>
      </c>
      <c r="K610">
        <v>0</v>
      </c>
      <c r="L610">
        <v>550</v>
      </c>
      <c r="M610">
        <v>550</v>
      </c>
      <c r="N610">
        <v>0</v>
      </c>
    </row>
    <row r="611" spans="1:14" x14ac:dyDescent="0.25">
      <c r="A611">
        <v>563.94812200000001</v>
      </c>
      <c r="B611" s="1">
        <f>DATE(2011,11,15) + TIME(22,45,17)</f>
        <v>40862.948113425926</v>
      </c>
      <c r="C611">
        <v>80</v>
      </c>
      <c r="D611">
        <v>77.883148192999997</v>
      </c>
      <c r="E611">
        <v>40</v>
      </c>
      <c r="F611">
        <v>39.962280272999998</v>
      </c>
      <c r="G611">
        <v>1326.8066406</v>
      </c>
      <c r="H611">
        <v>1324.5618896000001</v>
      </c>
      <c r="I611">
        <v>1345.9996338000001</v>
      </c>
      <c r="J611">
        <v>1340.3977050999999</v>
      </c>
      <c r="K611">
        <v>0</v>
      </c>
      <c r="L611">
        <v>550</v>
      </c>
      <c r="M611">
        <v>550</v>
      </c>
      <c r="N611">
        <v>0</v>
      </c>
    </row>
    <row r="612" spans="1:14" x14ac:dyDescent="0.25">
      <c r="A612">
        <v>564.93744700000002</v>
      </c>
      <c r="B612" s="1">
        <f>DATE(2011,11,16) + TIME(22,29,55)</f>
        <v>40863.937442129631</v>
      </c>
      <c r="C612">
        <v>80</v>
      </c>
      <c r="D612">
        <v>77.780036925999994</v>
      </c>
      <c r="E612">
        <v>40</v>
      </c>
      <c r="F612">
        <v>39.946228026999997</v>
      </c>
      <c r="G612">
        <v>1326.7764893000001</v>
      </c>
      <c r="H612">
        <v>1324.5222168</v>
      </c>
      <c r="I612">
        <v>1345.9906006000001</v>
      </c>
      <c r="J612">
        <v>1340.3903809000001</v>
      </c>
      <c r="K612">
        <v>0</v>
      </c>
      <c r="L612">
        <v>550</v>
      </c>
      <c r="M612">
        <v>550</v>
      </c>
      <c r="N612">
        <v>0</v>
      </c>
    </row>
    <row r="613" spans="1:14" x14ac:dyDescent="0.25">
      <c r="A613">
        <v>565.97490700000003</v>
      </c>
      <c r="B613" s="1">
        <f>DATE(2011,11,17) + TIME(23,23,52)</f>
        <v>40864.974907407406</v>
      </c>
      <c r="C613">
        <v>80</v>
      </c>
      <c r="D613">
        <v>77.673637389999996</v>
      </c>
      <c r="E613">
        <v>40</v>
      </c>
      <c r="F613">
        <v>39.933288574000002</v>
      </c>
      <c r="G613">
        <v>1326.744751</v>
      </c>
      <c r="H613">
        <v>1324.4803466999999</v>
      </c>
      <c r="I613">
        <v>1345.9822998</v>
      </c>
      <c r="J613">
        <v>1340.3835449000001</v>
      </c>
      <c r="K613">
        <v>0</v>
      </c>
      <c r="L613">
        <v>550</v>
      </c>
      <c r="M613">
        <v>550</v>
      </c>
      <c r="N613">
        <v>0</v>
      </c>
    </row>
    <row r="614" spans="1:14" x14ac:dyDescent="0.25">
      <c r="A614">
        <v>567.03862200000003</v>
      </c>
      <c r="B614" s="1">
        <f>DATE(2011,11,19) + TIME(0,55,36)</f>
        <v>40866.038611111115</v>
      </c>
      <c r="C614">
        <v>80</v>
      </c>
      <c r="D614">
        <v>77.565811156999999</v>
      </c>
      <c r="E614">
        <v>40</v>
      </c>
      <c r="F614">
        <v>39.923149109000001</v>
      </c>
      <c r="G614">
        <v>1326.7114257999999</v>
      </c>
      <c r="H614">
        <v>1324.4365233999999</v>
      </c>
      <c r="I614">
        <v>1345.9744873</v>
      </c>
      <c r="J614">
        <v>1340.3771973</v>
      </c>
      <c r="K614">
        <v>0</v>
      </c>
      <c r="L614">
        <v>550</v>
      </c>
      <c r="M614">
        <v>550</v>
      </c>
      <c r="N614">
        <v>0</v>
      </c>
    </row>
    <row r="615" spans="1:14" x14ac:dyDescent="0.25">
      <c r="A615">
        <v>568.13150399999995</v>
      </c>
      <c r="B615" s="1">
        <f>DATE(2011,11,20) + TIME(3,9,21)</f>
        <v>40867.131493055553</v>
      </c>
      <c r="C615">
        <v>80</v>
      </c>
      <c r="D615">
        <v>77.456413268999995</v>
      </c>
      <c r="E615">
        <v>40</v>
      </c>
      <c r="F615">
        <v>39.915245056000003</v>
      </c>
      <c r="G615">
        <v>1326.6770019999999</v>
      </c>
      <c r="H615">
        <v>1324.3912353999999</v>
      </c>
      <c r="I615">
        <v>1345.9674072</v>
      </c>
      <c r="J615">
        <v>1340.3710937999999</v>
      </c>
      <c r="K615">
        <v>0</v>
      </c>
      <c r="L615">
        <v>550</v>
      </c>
      <c r="M615">
        <v>550</v>
      </c>
      <c r="N615">
        <v>0</v>
      </c>
    </row>
    <row r="616" spans="1:14" x14ac:dyDescent="0.25">
      <c r="A616">
        <v>569.25570100000004</v>
      </c>
      <c r="B616" s="1">
        <f>DATE(2011,11,21) + TIME(6,8,12)</f>
        <v>40868.255694444444</v>
      </c>
      <c r="C616">
        <v>80</v>
      </c>
      <c r="D616">
        <v>77.345329285000005</v>
      </c>
      <c r="E616">
        <v>40</v>
      </c>
      <c r="F616">
        <v>39.909122467000003</v>
      </c>
      <c r="G616">
        <v>1326.6416016000001</v>
      </c>
      <c r="H616">
        <v>1324.3444824000001</v>
      </c>
      <c r="I616">
        <v>1345.9608154</v>
      </c>
      <c r="J616">
        <v>1340.3654785000001</v>
      </c>
      <c r="K616">
        <v>0</v>
      </c>
      <c r="L616">
        <v>550</v>
      </c>
      <c r="M616">
        <v>550</v>
      </c>
      <c r="N616">
        <v>0</v>
      </c>
    </row>
    <row r="617" spans="1:14" x14ac:dyDescent="0.25">
      <c r="A617">
        <v>570.41350299999999</v>
      </c>
      <c r="B617" s="1">
        <f>DATE(2011,11,22) + TIME(9,55,26)</f>
        <v>40869.413495370369</v>
      </c>
      <c r="C617">
        <v>80</v>
      </c>
      <c r="D617">
        <v>77.232467650999993</v>
      </c>
      <c r="E617">
        <v>40</v>
      </c>
      <c r="F617">
        <v>39.904411316000001</v>
      </c>
      <c r="G617">
        <v>1326.6051024999999</v>
      </c>
      <c r="H617">
        <v>1324.2961425999999</v>
      </c>
      <c r="I617">
        <v>1345.9545897999999</v>
      </c>
      <c r="J617">
        <v>1340.3601074000001</v>
      </c>
      <c r="K617">
        <v>0</v>
      </c>
      <c r="L617">
        <v>550</v>
      </c>
      <c r="M617">
        <v>550</v>
      </c>
      <c r="N617">
        <v>0</v>
      </c>
    </row>
    <row r="618" spans="1:14" x14ac:dyDescent="0.25">
      <c r="A618">
        <v>571.60734200000002</v>
      </c>
      <c r="B618" s="1">
        <f>DATE(2011,11,23) + TIME(14,34,34)</f>
        <v>40870.60733796296</v>
      </c>
      <c r="C618">
        <v>80</v>
      </c>
      <c r="D618">
        <v>77.117698669000006</v>
      </c>
      <c r="E618">
        <v>40</v>
      </c>
      <c r="F618">
        <v>39.900817871000001</v>
      </c>
      <c r="G618">
        <v>1326.5673827999999</v>
      </c>
      <c r="H618">
        <v>1324.2460937999999</v>
      </c>
      <c r="I618">
        <v>1345.9488524999999</v>
      </c>
      <c r="J618">
        <v>1340.3549805</v>
      </c>
      <c r="K618">
        <v>0</v>
      </c>
      <c r="L618">
        <v>550</v>
      </c>
      <c r="M618">
        <v>550</v>
      </c>
      <c r="N618">
        <v>0</v>
      </c>
    </row>
    <row r="619" spans="1:14" x14ac:dyDescent="0.25">
      <c r="A619">
        <v>572.83982100000003</v>
      </c>
      <c r="B619" s="1">
        <f>DATE(2011,11,24) + TIME(20,9,20)</f>
        <v>40871.839814814812</v>
      </c>
      <c r="C619">
        <v>80</v>
      </c>
      <c r="D619">
        <v>77.000915527000004</v>
      </c>
      <c r="E619">
        <v>40</v>
      </c>
      <c r="F619">
        <v>39.898109435999999</v>
      </c>
      <c r="G619">
        <v>1326.5283202999999</v>
      </c>
      <c r="H619">
        <v>1324.1943358999999</v>
      </c>
      <c r="I619">
        <v>1345.9433594</v>
      </c>
      <c r="J619">
        <v>1340.3500977000001</v>
      </c>
      <c r="K619">
        <v>0</v>
      </c>
      <c r="L619">
        <v>550</v>
      </c>
      <c r="M619">
        <v>550</v>
      </c>
      <c r="N619">
        <v>0</v>
      </c>
    </row>
    <row r="620" spans="1:14" x14ac:dyDescent="0.25">
      <c r="A620">
        <v>574.11373500000002</v>
      </c>
      <c r="B620" s="1">
        <f>DATE(2011,11,26) + TIME(2,43,46)</f>
        <v>40873.113726851851</v>
      </c>
      <c r="C620">
        <v>80</v>
      </c>
      <c r="D620">
        <v>76.881965636999993</v>
      </c>
      <c r="E620">
        <v>40</v>
      </c>
      <c r="F620">
        <v>39.896095275999997</v>
      </c>
      <c r="G620">
        <v>1326.4879149999999</v>
      </c>
      <c r="H620">
        <v>1324.140625</v>
      </c>
      <c r="I620">
        <v>1345.9382324000001</v>
      </c>
      <c r="J620">
        <v>1340.3453368999999</v>
      </c>
      <c r="K620">
        <v>0</v>
      </c>
      <c r="L620">
        <v>550</v>
      </c>
      <c r="M620">
        <v>550</v>
      </c>
      <c r="N620">
        <v>0</v>
      </c>
    </row>
    <row r="621" spans="1:14" x14ac:dyDescent="0.25">
      <c r="A621">
        <v>575.432097</v>
      </c>
      <c r="B621" s="1">
        <f>DATE(2011,11,27) + TIME(10,22,13)</f>
        <v>40874.43209490741</v>
      </c>
      <c r="C621">
        <v>80</v>
      </c>
      <c r="D621">
        <v>76.760704040999997</v>
      </c>
      <c r="E621">
        <v>40</v>
      </c>
      <c r="F621">
        <v>39.894618987999998</v>
      </c>
      <c r="G621">
        <v>1326.4460449000001</v>
      </c>
      <c r="H621">
        <v>1324.0849608999999</v>
      </c>
      <c r="I621">
        <v>1345.9333495999999</v>
      </c>
      <c r="J621">
        <v>1340.3408202999999</v>
      </c>
      <c r="K621">
        <v>0</v>
      </c>
      <c r="L621">
        <v>550</v>
      </c>
      <c r="M621">
        <v>550</v>
      </c>
      <c r="N621">
        <v>0</v>
      </c>
    </row>
    <row r="622" spans="1:14" x14ac:dyDescent="0.25">
      <c r="A622">
        <v>576.79816300000005</v>
      </c>
      <c r="B622" s="1">
        <f>DATE(2011,11,28) + TIME(19,9,21)</f>
        <v>40875.798159722224</v>
      </c>
      <c r="C622">
        <v>80</v>
      </c>
      <c r="D622">
        <v>76.636978149000001</v>
      </c>
      <c r="E622">
        <v>40</v>
      </c>
      <c r="F622">
        <v>39.893566131999997</v>
      </c>
      <c r="G622">
        <v>1326.4027100000001</v>
      </c>
      <c r="H622">
        <v>1324.0270995999999</v>
      </c>
      <c r="I622">
        <v>1345.9287108999999</v>
      </c>
      <c r="J622">
        <v>1340.3363036999999</v>
      </c>
      <c r="K622">
        <v>0</v>
      </c>
      <c r="L622">
        <v>550</v>
      </c>
      <c r="M622">
        <v>550</v>
      </c>
      <c r="N622">
        <v>0</v>
      </c>
    </row>
    <row r="623" spans="1:14" x14ac:dyDescent="0.25">
      <c r="A623">
        <v>578.215373</v>
      </c>
      <c r="B623" s="1">
        <f>DATE(2011,11,30) + TIME(5,10,8)</f>
        <v>40877.215370370373</v>
      </c>
      <c r="C623">
        <v>80</v>
      </c>
      <c r="D623">
        <v>76.510620117000002</v>
      </c>
      <c r="E623">
        <v>40</v>
      </c>
      <c r="F623">
        <v>39.892837524000001</v>
      </c>
      <c r="G623">
        <v>1326.3575439000001</v>
      </c>
      <c r="H623">
        <v>1323.9670410000001</v>
      </c>
      <c r="I623">
        <v>1345.9243164</v>
      </c>
      <c r="J623">
        <v>1340.3319091999999</v>
      </c>
      <c r="K623">
        <v>0</v>
      </c>
      <c r="L623">
        <v>550</v>
      </c>
      <c r="M623">
        <v>550</v>
      </c>
      <c r="N623">
        <v>0</v>
      </c>
    </row>
    <row r="624" spans="1:14" x14ac:dyDescent="0.25">
      <c r="A624">
        <v>579</v>
      </c>
      <c r="B624" s="1">
        <f>DATE(2011,12,1) + TIME(0,0,0)</f>
        <v>40878</v>
      </c>
      <c r="C624">
        <v>80</v>
      </c>
      <c r="D624">
        <v>76.432693481000001</v>
      </c>
      <c r="E624">
        <v>40</v>
      </c>
      <c r="F624">
        <v>39.892528534</v>
      </c>
      <c r="G624">
        <v>1326.3133545000001</v>
      </c>
      <c r="H624">
        <v>1323.9099120999999</v>
      </c>
      <c r="I624">
        <v>1345.9199219</v>
      </c>
      <c r="J624">
        <v>1340.3275146000001</v>
      </c>
      <c r="K624">
        <v>0</v>
      </c>
      <c r="L624">
        <v>550</v>
      </c>
      <c r="M624">
        <v>550</v>
      </c>
      <c r="N624">
        <v>0</v>
      </c>
    </row>
    <row r="625" spans="1:14" x14ac:dyDescent="0.25">
      <c r="A625">
        <v>580.47170700000004</v>
      </c>
      <c r="B625" s="1">
        <f>DATE(2011,12,2) + TIME(11,19,15)</f>
        <v>40879.471701388888</v>
      </c>
      <c r="C625">
        <v>80</v>
      </c>
      <c r="D625">
        <v>76.306190490999995</v>
      </c>
      <c r="E625">
        <v>40</v>
      </c>
      <c r="F625">
        <v>39.892173767000003</v>
      </c>
      <c r="G625">
        <v>1326.2830810999999</v>
      </c>
      <c r="H625">
        <v>1323.8671875</v>
      </c>
      <c r="I625">
        <v>1345.9179687999999</v>
      </c>
      <c r="J625">
        <v>1340.3253173999999</v>
      </c>
      <c r="K625">
        <v>0</v>
      </c>
      <c r="L625">
        <v>550</v>
      </c>
      <c r="M625">
        <v>550</v>
      </c>
      <c r="N625">
        <v>0</v>
      </c>
    </row>
    <row r="626" spans="1:14" x14ac:dyDescent="0.25">
      <c r="A626">
        <v>582.03647799999999</v>
      </c>
      <c r="B626" s="1">
        <f>DATE(2011,12,4) + TIME(0,52,31)</f>
        <v>40881.036469907405</v>
      </c>
      <c r="C626">
        <v>80</v>
      </c>
      <c r="D626">
        <v>76.174163817999997</v>
      </c>
      <c r="E626">
        <v>40</v>
      </c>
      <c r="F626">
        <v>39.891983031999999</v>
      </c>
      <c r="G626">
        <v>1326.2344971</v>
      </c>
      <c r="H626">
        <v>1323.8022461</v>
      </c>
      <c r="I626">
        <v>1345.9140625</v>
      </c>
      <c r="J626">
        <v>1340.3211670000001</v>
      </c>
      <c r="K626">
        <v>0</v>
      </c>
      <c r="L626">
        <v>550</v>
      </c>
      <c r="M626">
        <v>550</v>
      </c>
      <c r="N626">
        <v>0</v>
      </c>
    </row>
    <row r="627" spans="1:14" x14ac:dyDescent="0.25">
      <c r="A627">
        <v>583.66621399999997</v>
      </c>
      <c r="B627" s="1">
        <f>DATE(2011,12,5) + TIME(15,59,20)</f>
        <v>40882.666203703702</v>
      </c>
      <c r="C627">
        <v>80</v>
      </c>
      <c r="D627">
        <v>76.038360596000004</v>
      </c>
      <c r="E627">
        <v>40</v>
      </c>
      <c r="F627">
        <v>39.891914368000002</v>
      </c>
      <c r="G627">
        <v>1326.1828613</v>
      </c>
      <c r="H627">
        <v>1323.7332764</v>
      </c>
      <c r="I627">
        <v>1345.9102783000001</v>
      </c>
      <c r="J627">
        <v>1340.3170166</v>
      </c>
      <c r="K627">
        <v>0</v>
      </c>
      <c r="L627">
        <v>550</v>
      </c>
      <c r="M627">
        <v>550</v>
      </c>
      <c r="N627">
        <v>0</v>
      </c>
    </row>
    <row r="628" spans="1:14" x14ac:dyDescent="0.25">
      <c r="A628">
        <v>585.36408800000004</v>
      </c>
      <c r="B628" s="1">
        <f>DATE(2011,12,7) + TIME(8,44,17)</f>
        <v>40884.364085648151</v>
      </c>
      <c r="C628">
        <v>80</v>
      </c>
      <c r="D628">
        <v>75.898742675999998</v>
      </c>
      <c r="E628">
        <v>40</v>
      </c>
      <c r="F628">
        <v>39.891944885000001</v>
      </c>
      <c r="G628">
        <v>1326.1287841999999</v>
      </c>
      <c r="H628">
        <v>1323.6608887</v>
      </c>
      <c r="I628">
        <v>1345.9066161999999</v>
      </c>
      <c r="J628">
        <v>1340.3128661999999</v>
      </c>
      <c r="K628">
        <v>0</v>
      </c>
      <c r="L628">
        <v>550</v>
      </c>
      <c r="M628">
        <v>550</v>
      </c>
      <c r="N628">
        <v>0</v>
      </c>
    </row>
    <row r="629" spans="1:14" x14ac:dyDescent="0.25">
      <c r="A629">
        <v>587.10372700000005</v>
      </c>
      <c r="B629" s="1">
        <f>DATE(2011,12,9) + TIME(2,29,22)</f>
        <v>40886.103726851848</v>
      </c>
      <c r="C629">
        <v>80</v>
      </c>
      <c r="D629">
        <v>75.756980896000002</v>
      </c>
      <c r="E629">
        <v>40</v>
      </c>
      <c r="F629">
        <v>39.892044067</v>
      </c>
      <c r="G629">
        <v>1326.0722656</v>
      </c>
      <c r="H629">
        <v>1323.5853271000001</v>
      </c>
      <c r="I629">
        <v>1345.9030762</v>
      </c>
      <c r="J629">
        <v>1340.3088379000001</v>
      </c>
      <c r="K629">
        <v>0</v>
      </c>
      <c r="L629">
        <v>550</v>
      </c>
      <c r="M629">
        <v>550</v>
      </c>
      <c r="N629">
        <v>0</v>
      </c>
    </row>
    <row r="630" spans="1:14" x14ac:dyDescent="0.25">
      <c r="A630">
        <v>588.88930200000004</v>
      </c>
      <c r="B630" s="1">
        <f>DATE(2011,12,10) + TIME(21,20,35)</f>
        <v>40887.889293981483</v>
      </c>
      <c r="C630">
        <v>80</v>
      </c>
      <c r="D630">
        <v>75.613044739000003</v>
      </c>
      <c r="E630">
        <v>40</v>
      </c>
      <c r="F630">
        <v>39.892200469999999</v>
      </c>
      <c r="G630">
        <v>1326.0140381000001</v>
      </c>
      <c r="H630">
        <v>1323.5073242000001</v>
      </c>
      <c r="I630">
        <v>1345.8997803</v>
      </c>
      <c r="J630">
        <v>1340.3049315999999</v>
      </c>
      <c r="K630">
        <v>0</v>
      </c>
      <c r="L630">
        <v>550</v>
      </c>
      <c r="M630">
        <v>550</v>
      </c>
      <c r="N630">
        <v>0</v>
      </c>
    </row>
    <row r="631" spans="1:14" x14ac:dyDescent="0.25">
      <c r="A631">
        <v>590.72451999999998</v>
      </c>
      <c r="B631" s="1">
        <f>DATE(2011,12,12) + TIME(17,23,18)</f>
        <v>40889.72451388889</v>
      </c>
      <c r="C631">
        <v>80</v>
      </c>
      <c r="D631">
        <v>75.466896057</v>
      </c>
      <c r="E631">
        <v>40</v>
      </c>
      <c r="F631">
        <v>39.892391205000003</v>
      </c>
      <c r="G631">
        <v>1325.9541016000001</v>
      </c>
      <c r="H631">
        <v>1323.4267577999999</v>
      </c>
      <c r="I631">
        <v>1345.8966064000001</v>
      </c>
      <c r="J631">
        <v>1340.3010254000001</v>
      </c>
      <c r="K631">
        <v>0</v>
      </c>
      <c r="L631">
        <v>550</v>
      </c>
      <c r="M631">
        <v>550</v>
      </c>
      <c r="N631">
        <v>0</v>
      </c>
    </row>
    <row r="632" spans="1:14" x14ac:dyDescent="0.25">
      <c r="A632">
        <v>592.61337200000003</v>
      </c>
      <c r="B632" s="1">
        <f>DATE(2011,12,14) + TIME(14,43,15)</f>
        <v>40891.613368055558</v>
      </c>
      <c r="C632">
        <v>80</v>
      </c>
      <c r="D632">
        <v>75.318412781000006</v>
      </c>
      <c r="E632">
        <v>40</v>
      </c>
      <c r="F632">
        <v>39.892608643000003</v>
      </c>
      <c r="G632">
        <v>1325.8922118999999</v>
      </c>
      <c r="H632">
        <v>1323.3435059000001</v>
      </c>
      <c r="I632">
        <v>1345.8936768000001</v>
      </c>
      <c r="J632">
        <v>1340.2972411999999</v>
      </c>
      <c r="K632">
        <v>0</v>
      </c>
      <c r="L632">
        <v>550</v>
      </c>
      <c r="M632">
        <v>550</v>
      </c>
      <c r="N632">
        <v>0</v>
      </c>
    </row>
    <row r="633" spans="1:14" x14ac:dyDescent="0.25">
      <c r="A633">
        <v>594.56005700000003</v>
      </c>
      <c r="B633" s="1">
        <f>DATE(2011,12,16) + TIME(13,26,28)</f>
        <v>40893.560046296298</v>
      </c>
      <c r="C633">
        <v>80</v>
      </c>
      <c r="D633">
        <v>75.167419433999996</v>
      </c>
      <c r="E633">
        <v>40</v>
      </c>
      <c r="F633">
        <v>39.892848968999999</v>
      </c>
      <c r="G633">
        <v>1325.8283690999999</v>
      </c>
      <c r="H633">
        <v>1323.2575684000001</v>
      </c>
      <c r="I633">
        <v>1345.8908690999999</v>
      </c>
      <c r="J633">
        <v>1340.2935791</v>
      </c>
      <c r="K633">
        <v>0</v>
      </c>
      <c r="L633">
        <v>550</v>
      </c>
      <c r="M633">
        <v>550</v>
      </c>
      <c r="N633">
        <v>0</v>
      </c>
    </row>
    <row r="634" spans="1:14" x14ac:dyDescent="0.25">
      <c r="A634">
        <v>596.56906200000003</v>
      </c>
      <c r="B634" s="1">
        <f>DATE(2011,12,18) + TIME(13,39,26)</f>
        <v>40895.569050925929</v>
      </c>
      <c r="C634">
        <v>80</v>
      </c>
      <c r="D634">
        <v>75.013702393000003</v>
      </c>
      <c r="E634">
        <v>40</v>
      </c>
      <c r="F634">
        <v>39.893108368</v>
      </c>
      <c r="G634">
        <v>1325.7624512</v>
      </c>
      <c r="H634">
        <v>1323.1685791</v>
      </c>
      <c r="I634">
        <v>1345.8881836</v>
      </c>
      <c r="J634">
        <v>1340.2900391000001</v>
      </c>
      <c r="K634">
        <v>0</v>
      </c>
      <c r="L634">
        <v>550</v>
      </c>
      <c r="M634">
        <v>550</v>
      </c>
      <c r="N634">
        <v>0</v>
      </c>
    </row>
    <row r="635" spans="1:14" x14ac:dyDescent="0.25">
      <c r="A635">
        <v>598.64521300000001</v>
      </c>
      <c r="B635" s="1">
        <f>DATE(2011,12,20) + TIME(15,29,6)</f>
        <v>40897.645208333335</v>
      </c>
      <c r="C635">
        <v>80</v>
      </c>
      <c r="D635">
        <v>74.856826781999999</v>
      </c>
      <c r="E635">
        <v>40</v>
      </c>
      <c r="F635">
        <v>39.893375397</v>
      </c>
      <c r="G635">
        <v>1325.6942139</v>
      </c>
      <c r="H635">
        <v>1323.0765381000001</v>
      </c>
      <c r="I635">
        <v>1345.8856201000001</v>
      </c>
      <c r="J635">
        <v>1340.286499</v>
      </c>
      <c r="K635">
        <v>0</v>
      </c>
      <c r="L635">
        <v>550</v>
      </c>
      <c r="M635">
        <v>550</v>
      </c>
      <c r="N635">
        <v>0</v>
      </c>
    </row>
    <row r="636" spans="1:14" x14ac:dyDescent="0.25">
      <c r="A636">
        <v>600.79307400000005</v>
      </c>
      <c r="B636" s="1">
        <f>DATE(2011,12,22) + TIME(19,2,1)</f>
        <v>40899.793067129627</v>
      </c>
      <c r="C636">
        <v>80</v>
      </c>
      <c r="D636">
        <v>74.696594238000003</v>
      </c>
      <c r="E636">
        <v>40</v>
      </c>
      <c r="F636">
        <v>39.893653870000001</v>
      </c>
      <c r="G636">
        <v>1325.6236572</v>
      </c>
      <c r="H636">
        <v>1322.9810791</v>
      </c>
      <c r="I636">
        <v>1345.8831786999999</v>
      </c>
      <c r="J636">
        <v>1340.2829589999999</v>
      </c>
      <c r="K636">
        <v>0</v>
      </c>
      <c r="L636">
        <v>550</v>
      </c>
      <c r="M636">
        <v>550</v>
      </c>
      <c r="N636">
        <v>0</v>
      </c>
    </row>
    <row r="637" spans="1:14" x14ac:dyDescent="0.25">
      <c r="A637">
        <v>603.01844500000004</v>
      </c>
      <c r="B637" s="1">
        <f>DATE(2011,12,25) + TIME(0,26,33)</f>
        <v>40902.018437500003</v>
      </c>
      <c r="C637">
        <v>80</v>
      </c>
      <c r="D637">
        <v>74.532608031999999</v>
      </c>
      <c r="E637">
        <v>40</v>
      </c>
      <c r="F637">
        <v>39.893939971999998</v>
      </c>
      <c r="G637">
        <v>1325.5505370999999</v>
      </c>
      <c r="H637">
        <v>1322.8819579999999</v>
      </c>
      <c r="I637">
        <v>1345.8808594</v>
      </c>
      <c r="J637">
        <v>1340.2796631000001</v>
      </c>
      <c r="K637">
        <v>0</v>
      </c>
      <c r="L637">
        <v>550</v>
      </c>
      <c r="M637">
        <v>550</v>
      </c>
      <c r="N637">
        <v>0</v>
      </c>
    </row>
    <row r="638" spans="1:14" x14ac:dyDescent="0.25">
      <c r="A638">
        <v>605.32770400000004</v>
      </c>
      <c r="B638" s="1">
        <f>DATE(2011,12,27) + TIME(7,51,53)</f>
        <v>40904.327696759261</v>
      </c>
      <c r="C638">
        <v>80</v>
      </c>
      <c r="D638">
        <v>74.364402771000002</v>
      </c>
      <c r="E638">
        <v>40</v>
      </c>
      <c r="F638">
        <v>39.894237517999997</v>
      </c>
      <c r="G638">
        <v>1325.4746094</v>
      </c>
      <c r="H638">
        <v>1322.7791748</v>
      </c>
      <c r="I638">
        <v>1345.8786620999999</v>
      </c>
      <c r="J638">
        <v>1340.2762451000001</v>
      </c>
      <c r="K638">
        <v>0</v>
      </c>
      <c r="L638">
        <v>550</v>
      </c>
      <c r="M638">
        <v>550</v>
      </c>
      <c r="N638">
        <v>0</v>
      </c>
    </row>
    <row r="639" spans="1:14" x14ac:dyDescent="0.25">
      <c r="A639">
        <v>607.71450800000002</v>
      </c>
      <c r="B639" s="1">
        <f>DATE(2011,12,29) + TIME(17,8,53)</f>
        <v>40906.714502314811</v>
      </c>
      <c r="C639">
        <v>80</v>
      </c>
      <c r="D639">
        <v>74.192054748999993</v>
      </c>
      <c r="E639">
        <v>40</v>
      </c>
      <c r="F639">
        <v>39.894535064999999</v>
      </c>
      <c r="G639">
        <v>1325.395874</v>
      </c>
      <c r="H639">
        <v>1322.6722411999999</v>
      </c>
      <c r="I639">
        <v>1345.8765868999999</v>
      </c>
      <c r="J639">
        <v>1340.2729492000001</v>
      </c>
      <c r="K639">
        <v>0</v>
      </c>
      <c r="L639">
        <v>550</v>
      </c>
      <c r="M639">
        <v>550</v>
      </c>
      <c r="N639">
        <v>0</v>
      </c>
    </row>
    <row r="640" spans="1:14" x14ac:dyDescent="0.25">
      <c r="A640">
        <v>610</v>
      </c>
      <c r="B640" s="1">
        <f>DATE(2012,1,1) + TIME(0,0,0)</f>
        <v>40909</v>
      </c>
      <c r="C640">
        <v>80</v>
      </c>
      <c r="D640">
        <v>74.023574828999998</v>
      </c>
      <c r="E640">
        <v>40</v>
      </c>
      <c r="F640">
        <v>39.894817351999997</v>
      </c>
      <c r="G640">
        <v>1325.3148193</v>
      </c>
      <c r="H640">
        <v>1322.5625</v>
      </c>
      <c r="I640">
        <v>1345.8743896000001</v>
      </c>
      <c r="J640">
        <v>1340.2697754000001</v>
      </c>
      <c r="K640">
        <v>0</v>
      </c>
      <c r="L640">
        <v>550</v>
      </c>
      <c r="M640">
        <v>550</v>
      </c>
      <c r="N640">
        <v>0</v>
      </c>
    </row>
    <row r="641" spans="1:14" x14ac:dyDescent="0.25">
      <c r="A641">
        <v>612.44419400000004</v>
      </c>
      <c r="B641" s="1">
        <f>DATE(2012,1,3) + TIME(10,39,38)</f>
        <v>40911.444189814814</v>
      </c>
      <c r="C641">
        <v>80</v>
      </c>
      <c r="D641">
        <v>73.848495482999994</v>
      </c>
      <c r="E641">
        <v>40</v>
      </c>
      <c r="F641">
        <v>39.895114898999999</v>
      </c>
      <c r="G641">
        <v>1325.2354736</v>
      </c>
      <c r="H641">
        <v>1322.4538574000001</v>
      </c>
      <c r="I641">
        <v>1345.8726807</v>
      </c>
      <c r="J641">
        <v>1340.2668457</v>
      </c>
      <c r="K641">
        <v>0</v>
      </c>
      <c r="L641">
        <v>550</v>
      </c>
      <c r="M641">
        <v>550</v>
      </c>
      <c r="N641">
        <v>0</v>
      </c>
    </row>
    <row r="642" spans="1:14" x14ac:dyDescent="0.25">
      <c r="A642">
        <v>615.015311</v>
      </c>
      <c r="B642" s="1">
        <f>DATE(2012,1,6) + TIME(0,22,2)</f>
        <v>40914.015300925923</v>
      </c>
      <c r="C642">
        <v>80</v>
      </c>
      <c r="D642">
        <v>73.666770935000002</v>
      </c>
      <c r="E642">
        <v>40</v>
      </c>
      <c r="F642">
        <v>39.895423889</v>
      </c>
      <c r="G642">
        <v>1325.1514893000001</v>
      </c>
      <c r="H642">
        <v>1322.3392334</v>
      </c>
      <c r="I642">
        <v>1345.8708495999999</v>
      </c>
      <c r="J642">
        <v>1340.2637939000001</v>
      </c>
      <c r="K642">
        <v>0</v>
      </c>
      <c r="L642">
        <v>550</v>
      </c>
      <c r="M642">
        <v>550</v>
      </c>
      <c r="N642">
        <v>0</v>
      </c>
    </row>
    <row r="643" spans="1:14" x14ac:dyDescent="0.25">
      <c r="A643">
        <v>617.65118199999995</v>
      </c>
      <c r="B643" s="1">
        <f>DATE(2012,1,8) + TIME(15,37,42)</f>
        <v>40916.651180555556</v>
      </c>
      <c r="C643">
        <v>80</v>
      </c>
      <c r="D643">
        <v>73.480148314999994</v>
      </c>
      <c r="E643">
        <v>40</v>
      </c>
      <c r="F643">
        <v>39.895729064999998</v>
      </c>
      <c r="G643">
        <v>1325.0635986</v>
      </c>
      <c r="H643">
        <v>1322.2194824000001</v>
      </c>
      <c r="I643">
        <v>1345.8691406</v>
      </c>
      <c r="J643">
        <v>1340.2608643000001</v>
      </c>
      <c r="K643">
        <v>0</v>
      </c>
      <c r="L643">
        <v>550</v>
      </c>
      <c r="M643">
        <v>550</v>
      </c>
      <c r="N643">
        <v>0</v>
      </c>
    </row>
    <row r="644" spans="1:14" x14ac:dyDescent="0.25">
      <c r="A644">
        <v>620.34845800000005</v>
      </c>
      <c r="B644" s="1">
        <f>DATE(2012,1,11) + TIME(8,21,46)</f>
        <v>40919.348449074074</v>
      </c>
      <c r="C644">
        <v>80</v>
      </c>
      <c r="D644">
        <v>73.288681030000006</v>
      </c>
      <c r="E644">
        <v>40</v>
      </c>
      <c r="F644">
        <v>39.896038054999998</v>
      </c>
      <c r="G644">
        <v>1324.9732666</v>
      </c>
      <c r="H644">
        <v>1322.0960693</v>
      </c>
      <c r="I644">
        <v>1345.8674315999999</v>
      </c>
      <c r="J644">
        <v>1340.2580565999999</v>
      </c>
      <c r="K644">
        <v>0</v>
      </c>
      <c r="L644">
        <v>550</v>
      </c>
      <c r="M644">
        <v>550</v>
      </c>
      <c r="N644">
        <v>0</v>
      </c>
    </row>
    <row r="645" spans="1:14" x14ac:dyDescent="0.25">
      <c r="A645">
        <v>623.11375499999997</v>
      </c>
      <c r="B645" s="1">
        <f>DATE(2012,1,14) + TIME(2,43,48)</f>
        <v>40922.113749999997</v>
      </c>
      <c r="C645">
        <v>80</v>
      </c>
      <c r="D645">
        <v>73.091888428000004</v>
      </c>
      <c r="E645">
        <v>40</v>
      </c>
      <c r="F645">
        <v>39.896350861000002</v>
      </c>
      <c r="G645">
        <v>1324.8807373</v>
      </c>
      <c r="H645">
        <v>1321.9692382999999</v>
      </c>
      <c r="I645">
        <v>1345.8657227000001</v>
      </c>
      <c r="J645">
        <v>1340.255249</v>
      </c>
      <c r="K645">
        <v>0</v>
      </c>
      <c r="L645">
        <v>550</v>
      </c>
      <c r="M645">
        <v>550</v>
      </c>
      <c r="N645">
        <v>0</v>
      </c>
    </row>
    <row r="646" spans="1:14" x14ac:dyDescent="0.25">
      <c r="A646">
        <v>625.953622</v>
      </c>
      <c r="B646" s="1">
        <f>DATE(2012,1,16) + TIME(22,53,12)</f>
        <v>40924.953611111108</v>
      </c>
      <c r="C646">
        <v>80</v>
      </c>
      <c r="D646">
        <v>72.889099121000001</v>
      </c>
      <c r="E646">
        <v>40</v>
      </c>
      <c r="F646">
        <v>39.896663666000002</v>
      </c>
      <c r="G646">
        <v>1324.7857666</v>
      </c>
      <c r="H646">
        <v>1321.8388672000001</v>
      </c>
      <c r="I646">
        <v>1345.8641356999999</v>
      </c>
      <c r="J646">
        <v>1340.2525635</v>
      </c>
      <c r="K646">
        <v>0</v>
      </c>
      <c r="L646">
        <v>550</v>
      </c>
      <c r="M646">
        <v>550</v>
      </c>
      <c r="N646">
        <v>0</v>
      </c>
    </row>
    <row r="647" spans="1:14" x14ac:dyDescent="0.25">
      <c r="A647">
        <v>628.86470199999997</v>
      </c>
      <c r="B647" s="1">
        <f>DATE(2012,1,19) + TIME(20,45,10)</f>
        <v>40927.864699074074</v>
      </c>
      <c r="C647">
        <v>80</v>
      </c>
      <c r="D647">
        <v>72.679862975999995</v>
      </c>
      <c r="E647">
        <v>40</v>
      </c>
      <c r="F647">
        <v>39.896976471000002</v>
      </c>
      <c r="G647">
        <v>1324.6883545000001</v>
      </c>
      <c r="H647">
        <v>1321.7049560999999</v>
      </c>
      <c r="I647">
        <v>1345.8625488</v>
      </c>
      <c r="J647">
        <v>1340.25</v>
      </c>
      <c r="K647">
        <v>0</v>
      </c>
      <c r="L647">
        <v>550</v>
      </c>
      <c r="M647">
        <v>550</v>
      </c>
      <c r="N647">
        <v>0</v>
      </c>
    </row>
    <row r="648" spans="1:14" x14ac:dyDescent="0.25">
      <c r="A648">
        <v>631.85108200000002</v>
      </c>
      <c r="B648" s="1">
        <f>DATE(2012,1,22) + TIME(20,25,33)</f>
        <v>40930.851076388892</v>
      </c>
      <c r="C648">
        <v>80</v>
      </c>
      <c r="D648">
        <v>72.463432311999995</v>
      </c>
      <c r="E648">
        <v>40</v>
      </c>
      <c r="F648">
        <v>39.897293091000002</v>
      </c>
      <c r="G648">
        <v>1324.5886230000001</v>
      </c>
      <c r="H648">
        <v>1321.5673827999999</v>
      </c>
      <c r="I648">
        <v>1345.8609618999999</v>
      </c>
      <c r="J648">
        <v>1340.2474365</v>
      </c>
      <c r="K648">
        <v>0</v>
      </c>
      <c r="L648">
        <v>550</v>
      </c>
      <c r="M648">
        <v>550</v>
      </c>
      <c r="N648">
        <v>0</v>
      </c>
    </row>
    <row r="649" spans="1:14" x14ac:dyDescent="0.25">
      <c r="A649">
        <v>634.89178700000002</v>
      </c>
      <c r="B649" s="1">
        <f>DATE(2012,1,25) + TIME(21,24,10)</f>
        <v>40933.891782407409</v>
      </c>
      <c r="C649">
        <v>80</v>
      </c>
      <c r="D649">
        <v>72.239967346</v>
      </c>
      <c r="E649">
        <v>40</v>
      </c>
      <c r="F649">
        <v>39.897609711000001</v>
      </c>
      <c r="G649">
        <v>1324.4864502</v>
      </c>
      <c r="H649">
        <v>1321.4263916</v>
      </c>
      <c r="I649">
        <v>1345.8594971</v>
      </c>
      <c r="J649">
        <v>1340.2449951000001</v>
      </c>
      <c r="K649">
        <v>0</v>
      </c>
      <c r="L649">
        <v>550</v>
      </c>
      <c r="M649">
        <v>550</v>
      </c>
      <c r="N649">
        <v>0</v>
      </c>
    </row>
    <row r="650" spans="1:14" x14ac:dyDescent="0.25">
      <c r="A650">
        <v>637.99432100000001</v>
      </c>
      <c r="B650" s="1">
        <f>DATE(2012,1,28) + TIME(23,51,49)</f>
        <v>40936.994317129633</v>
      </c>
      <c r="C650">
        <v>80</v>
      </c>
      <c r="D650">
        <v>72.008750915999997</v>
      </c>
      <c r="E650">
        <v>40</v>
      </c>
      <c r="F650">
        <v>39.897926331000001</v>
      </c>
      <c r="G650">
        <v>1324.3824463000001</v>
      </c>
      <c r="H650">
        <v>1321.2824707</v>
      </c>
      <c r="I650">
        <v>1345.8579102000001</v>
      </c>
      <c r="J650">
        <v>1340.2425536999999</v>
      </c>
      <c r="K650">
        <v>0</v>
      </c>
      <c r="L650">
        <v>550</v>
      </c>
      <c r="M650">
        <v>550</v>
      </c>
      <c r="N650">
        <v>0</v>
      </c>
    </row>
    <row r="651" spans="1:14" x14ac:dyDescent="0.25">
      <c r="A651">
        <v>641</v>
      </c>
      <c r="B651" s="1">
        <f>DATE(2012,2,1) + TIME(0,0,0)</f>
        <v>40940</v>
      </c>
      <c r="C651">
        <v>80</v>
      </c>
      <c r="D651">
        <v>71.775741577000005</v>
      </c>
      <c r="E651">
        <v>40</v>
      </c>
      <c r="F651">
        <v>39.898227691999999</v>
      </c>
      <c r="G651">
        <v>1324.2769774999999</v>
      </c>
      <c r="H651">
        <v>1321.1367187999999</v>
      </c>
      <c r="I651">
        <v>1345.8563231999999</v>
      </c>
      <c r="J651">
        <v>1340.2402344</v>
      </c>
      <c r="K651">
        <v>0</v>
      </c>
      <c r="L651">
        <v>550</v>
      </c>
      <c r="M651">
        <v>550</v>
      </c>
      <c r="N651">
        <v>0</v>
      </c>
    </row>
    <row r="652" spans="1:14" x14ac:dyDescent="0.25">
      <c r="A652">
        <v>644.17196100000001</v>
      </c>
      <c r="B652" s="1">
        <f>DATE(2012,2,4) + TIME(4,7,37)</f>
        <v>40943.171956018516</v>
      </c>
      <c r="C652">
        <v>80</v>
      </c>
      <c r="D652">
        <v>71.531997681000007</v>
      </c>
      <c r="E652">
        <v>40</v>
      </c>
      <c r="F652">
        <v>39.898544311999999</v>
      </c>
      <c r="G652">
        <v>1324.1733397999999</v>
      </c>
      <c r="H652">
        <v>1320.9920654</v>
      </c>
      <c r="I652">
        <v>1345.8548584</v>
      </c>
      <c r="J652">
        <v>1340.2381591999999</v>
      </c>
      <c r="K652">
        <v>0</v>
      </c>
      <c r="L652">
        <v>550</v>
      </c>
      <c r="M652">
        <v>550</v>
      </c>
      <c r="N652">
        <v>0</v>
      </c>
    </row>
    <row r="653" spans="1:14" x14ac:dyDescent="0.25">
      <c r="A653">
        <v>647.50270999999998</v>
      </c>
      <c r="B653" s="1">
        <f>DATE(2012,2,7) + TIME(12,3,54)</f>
        <v>40946.502708333333</v>
      </c>
      <c r="C653">
        <v>80</v>
      </c>
      <c r="D653">
        <v>71.274230957</v>
      </c>
      <c r="E653">
        <v>40</v>
      </c>
      <c r="F653">
        <v>39.898864746000001</v>
      </c>
      <c r="G653">
        <v>1324.0656738</v>
      </c>
      <c r="H653">
        <v>1320.8419189000001</v>
      </c>
      <c r="I653">
        <v>1345.8533935999999</v>
      </c>
      <c r="J653">
        <v>1340.2359618999999</v>
      </c>
      <c r="K653">
        <v>0</v>
      </c>
      <c r="L653">
        <v>550</v>
      </c>
      <c r="M653">
        <v>550</v>
      </c>
      <c r="N653">
        <v>0</v>
      </c>
    </row>
    <row r="654" spans="1:14" x14ac:dyDescent="0.25">
      <c r="A654">
        <v>650.89674300000001</v>
      </c>
      <c r="B654" s="1">
        <f>DATE(2012,2,10) + TIME(21,31,18)</f>
        <v>40949.896736111114</v>
      </c>
      <c r="C654">
        <v>80</v>
      </c>
      <c r="D654">
        <v>71.003677367999998</v>
      </c>
      <c r="E654">
        <v>40</v>
      </c>
      <c r="F654">
        <v>39.899188995000003</v>
      </c>
      <c r="G654">
        <v>1323.9538574000001</v>
      </c>
      <c r="H654">
        <v>1320.6860352000001</v>
      </c>
      <c r="I654">
        <v>1345.8516846</v>
      </c>
      <c r="J654">
        <v>1340.2338867000001</v>
      </c>
      <c r="K654">
        <v>0</v>
      </c>
      <c r="L654">
        <v>550</v>
      </c>
      <c r="M654">
        <v>550</v>
      </c>
      <c r="N654">
        <v>0</v>
      </c>
    </row>
    <row r="655" spans="1:14" x14ac:dyDescent="0.25">
      <c r="A655">
        <v>654.34804099999997</v>
      </c>
      <c r="B655" s="1">
        <f>DATE(2012,2,14) + TIME(8,21,10)</f>
        <v>40953.348032407404</v>
      </c>
      <c r="C655">
        <v>80</v>
      </c>
      <c r="D655">
        <v>70.720611571999996</v>
      </c>
      <c r="E655">
        <v>40</v>
      </c>
      <c r="F655">
        <v>39.899513245000001</v>
      </c>
      <c r="G655">
        <v>1323.8400879000001</v>
      </c>
      <c r="H655">
        <v>1320.5268555</v>
      </c>
      <c r="I655">
        <v>1345.8500977000001</v>
      </c>
      <c r="J655">
        <v>1340.2318115</v>
      </c>
      <c r="K655">
        <v>0</v>
      </c>
      <c r="L655">
        <v>550</v>
      </c>
      <c r="M655">
        <v>550</v>
      </c>
      <c r="N655">
        <v>0</v>
      </c>
    </row>
    <row r="656" spans="1:14" x14ac:dyDescent="0.25">
      <c r="A656">
        <v>657.86624099999995</v>
      </c>
      <c r="B656" s="1">
        <f>DATE(2012,2,17) + TIME(20,47,23)</f>
        <v>40956.866238425922</v>
      </c>
      <c r="C656">
        <v>80</v>
      </c>
      <c r="D656">
        <v>70.424438476999995</v>
      </c>
      <c r="E656">
        <v>40</v>
      </c>
      <c r="F656">
        <v>39.899837494000003</v>
      </c>
      <c r="G656">
        <v>1323.7248535000001</v>
      </c>
      <c r="H656">
        <v>1320.3651123</v>
      </c>
      <c r="I656">
        <v>1345.8482666</v>
      </c>
      <c r="J656">
        <v>1340.2297363</v>
      </c>
      <c r="K656">
        <v>0</v>
      </c>
      <c r="L656">
        <v>550</v>
      </c>
      <c r="M656">
        <v>550</v>
      </c>
      <c r="N656">
        <v>0</v>
      </c>
    </row>
    <row r="657" spans="1:14" x14ac:dyDescent="0.25">
      <c r="A657">
        <v>661.46085300000004</v>
      </c>
      <c r="B657" s="1">
        <f>DATE(2012,2,21) + TIME(11,3,37)</f>
        <v>40960.460844907408</v>
      </c>
      <c r="C657">
        <v>80</v>
      </c>
      <c r="D657">
        <v>70.114006042</v>
      </c>
      <c r="E657">
        <v>40</v>
      </c>
      <c r="F657">
        <v>39.900161742999998</v>
      </c>
      <c r="G657">
        <v>1323.6080322</v>
      </c>
      <c r="H657">
        <v>1320.2006836</v>
      </c>
      <c r="I657">
        <v>1345.8465576000001</v>
      </c>
      <c r="J657">
        <v>1340.2277832</v>
      </c>
      <c r="K657">
        <v>0</v>
      </c>
      <c r="L657">
        <v>550</v>
      </c>
      <c r="M657">
        <v>550</v>
      </c>
      <c r="N657">
        <v>0</v>
      </c>
    </row>
    <row r="658" spans="1:14" x14ac:dyDescent="0.25">
      <c r="A658">
        <v>665.14191800000003</v>
      </c>
      <c r="B658" s="1">
        <f>DATE(2012,2,25) + TIME(3,24,21)</f>
        <v>40964.141909722224</v>
      </c>
      <c r="C658">
        <v>80</v>
      </c>
      <c r="D658">
        <v>69.787590026999993</v>
      </c>
      <c r="E658">
        <v>40</v>
      </c>
      <c r="F658">
        <v>39.900485992</v>
      </c>
      <c r="G658">
        <v>1323.489624</v>
      </c>
      <c r="H658">
        <v>1320.0333252</v>
      </c>
      <c r="I658">
        <v>1345.8446045000001</v>
      </c>
      <c r="J658">
        <v>1340.2258300999999</v>
      </c>
      <c r="K658">
        <v>0</v>
      </c>
      <c r="L658">
        <v>550</v>
      </c>
      <c r="M658">
        <v>550</v>
      </c>
      <c r="N658">
        <v>0</v>
      </c>
    </row>
    <row r="659" spans="1:14" x14ac:dyDescent="0.25">
      <c r="A659">
        <v>668.90042300000005</v>
      </c>
      <c r="B659" s="1">
        <f>DATE(2012,2,28) + TIME(21,36,36)</f>
        <v>40967.900416666664</v>
      </c>
      <c r="C659">
        <v>80</v>
      </c>
      <c r="D659">
        <v>69.444389342999997</v>
      </c>
      <c r="E659">
        <v>40</v>
      </c>
      <c r="F659">
        <v>39.900814056000002</v>
      </c>
      <c r="G659">
        <v>1323.3693848</v>
      </c>
      <c r="H659">
        <v>1319.8629149999999</v>
      </c>
      <c r="I659">
        <v>1345.8425293</v>
      </c>
      <c r="J659">
        <v>1340.2238769999999</v>
      </c>
      <c r="K659">
        <v>0</v>
      </c>
      <c r="L659">
        <v>550</v>
      </c>
      <c r="M659">
        <v>550</v>
      </c>
      <c r="N659">
        <v>0</v>
      </c>
    </row>
    <row r="660" spans="1:14" x14ac:dyDescent="0.25">
      <c r="A660">
        <v>670</v>
      </c>
      <c r="B660" s="1">
        <f>DATE(2012,3,1) + TIME(0,0,0)</f>
        <v>40969</v>
      </c>
      <c r="C660">
        <v>80</v>
      </c>
      <c r="D660">
        <v>69.277900696000003</v>
      </c>
      <c r="E660">
        <v>40</v>
      </c>
      <c r="F660">
        <v>39.900909423999998</v>
      </c>
      <c r="G660">
        <v>1323.2562256000001</v>
      </c>
      <c r="H660">
        <v>1319.7136230000001</v>
      </c>
      <c r="I660">
        <v>1345.8397216999999</v>
      </c>
      <c r="J660">
        <v>1340.2214355000001</v>
      </c>
      <c r="K660">
        <v>0</v>
      </c>
      <c r="L660">
        <v>550</v>
      </c>
      <c r="M660">
        <v>550</v>
      </c>
      <c r="N660">
        <v>0</v>
      </c>
    </row>
    <row r="661" spans="1:14" x14ac:dyDescent="0.25">
      <c r="A661">
        <v>673.81447700000001</v>
      </c>
      <c r="B661" s="1">
        <f>DATE(2012,3,4) + TIME(19,32,50)</f>
        <v>40972.814467592594</v>
      </c>
      <c r="C661">
        <v>80</v>
      </c>
      <c r="D661">
        <v>68.947509765999996</v>
      </c>
      <c r="E661">
        <v>40</v>
      </c>
      <c r="F661">
        <v>39.901237488</v>
      </c>
      <c r="G661">
        <v>1323.2041016000001</v>
      </c>
      <c r="H661">
        <v>1319.6243896000001</v>
      </c>
      <c r="I661">
        <v>1345.8398437999999</v>
      </c>
      <c r="J661">
        <v>1340.2211914</v>
      </c>
      <c r="K661">
        <v>0</v>
      </c>
      <c r="L661">
        <v>550</v>
      </c>
      <c r="M661">
        <v>550</v>
      </c>
      <c r="N661">
        <v>0</v>
      </c>
    </row>
    <row r="662" spans="1:14" x14ac:dyDescent="0.25">
      <c r="A662">
        <v>677.71817399999998</v>
      </c>
      <c r="B662" s="1">
        <f>DATE(2012,3,8) + TIME(17,14,10)</f>
        <v>40976.718171296299</v>
      </c>
      <c r="C662">
        <v>80</v>
      </c>
      <c r="D662">
        <v>68.581863403</v>
      </c>
      <c r="E662">
        <v>40</v>
      </c>
      <c r="F662">
        <v>39.901565552000001</v>
      </c>
      <c r="G662">
        <v>1323.0864257999999</v>
      </c>
      <c r="H662">
        <v>1319.4582519999999</v>
      </c>
      <c r="I662">
        <v>1345.8375243999999</v>
      </c>
      <c r="J662">
        <v>1340.2193603999999</v>
      </c>
      <c r="K662">
        <v>0</v>
      </c>
      <c r="L662">
        <v>550</v>
      </c>
      <c r="M662">
        <v>550</v>
      </c>
      <c r="N662">
        <v>0</v>
      </c>
    </row>
    <row r="663" spans="1:14" x14ac:dyDescent="0.25">
      <c r="A663">
        <v>681.70583199999999</v>
      </c>
      <c r="B663" s="1">
        <f>DATE(2012,3,12) + TIME(16,56,23)</f>
        <v>40980.705821759257</v>
      </c>
      <c r="C663">
        <v>80</v>
      </c>
      <c r="D663">
        <v>68.188896178999997</v>
      </c>
      <c r="E663">
        <v>40</v>
      </c>
      <c r="F663">
        <v>39.901893616000002</v>
      </c>
      <c r="G663">
        <v>1322.9650879000001</v>
      </c>
      <c r="H663">
        <v>1319.2852783000001</v>
      </c>
      <c r="I663">
        <v>1345.8350829999999</v>
      </c>
      <c r="J663">
        <v>1340.2175293</v>
      </c>
      <c r="K663">
        <v>0</v>
      </c>
      <c r="L663">
        <v>550</v>
      </c>
      <c r="M663">
        <v>550</v>
      </c>
      <c r="N663">
        <v>0</v>
      </c>
    </row>
    <row r="664" spans="1:14" x14ac:dyDescent="0.25">
      <c r="A664">
        <v>685.74324000000001</v>
      </c>
      <c r="B664" s="1">
        <f>DATE(2012,3,16) + TIME(17,50,15)</f>
        <v>40984.74322916667</v>
      </c>
      <c r="C664">
        <v>80</v>
      </c>
      <c r="D664">
        <v>67.773834229000002</v>
      </c>
      <c r="E664">
        <v>40</v>
      </c>
      <c r="F664">
        <v>39.902217864999997</v>
      </c>
      <c r="G664">
        <v>1322.8417969</v>
      </c>
      <c r="H664">
        <v>1319.1082764</v>
      </c>
      <c r="I664">
        <v>1345.8323975000001</v>
      </c>
      <c r="J664">
        <v>1340.2155762</v>
      </c>
      <c r="K664">
        <v>0</v>
      </c>
      <c r="L664">
        <v>550</v>
      </c>
      <c r="M664">
        <v>550</v>
      </c>
      <c r="N664">
        <v>0</v>
      </c>
    </row>
    <row r="665" spans="1:14" x14ac:dyDescent="0.25">
      <c r="A665">
        <v>689.83184500000004</v>
      </c>
      <c r="B665" s="1">
        <f>DATE(2012,3,20) + TIME(19,57,51)</f>
        <v>40988.83184027778</v>
      </c>
      <c r="C665">
        <v>80</v>
      </c>
      <c r="D665">
        <v>67.339454650999997</v>
      </c>
      <c r="E665">
        <v>40</v>
      </c>
      <c r="F665">
        <v>39.902542113999999</v>
      </c>
      <c r="G665">
        <v>1322.7178954999999</v>
      </c>
      <c r="H665">
        <v>1318.9295654</v>
      </c>
      <c r="I665">
        <v>1345.8297118999999</v>
      </c>
      <c r="J665">
        <v>1340.213501</v>
      </c>
      <c r="K665">
        <v>0</v>
      </c>
      <c r="L665">
        <v>550</v>
      </c>
      <c r="M665">
        <v>550</v>
      </c>
      <c r="N665">
        <v>0</v>
      </c>
    </row>
    <row r="666" spans="1:14" x14ac:dyDescent="0.25">
      <c r="A666">
        <v>693.98955799999999</v>
      </c>
      <c r="B666" s="1">
        <f>DATE(2012,3,24) + TIME(23,44,57)</f>
        <v>40992.989548611113</v>
      </c>
      <c r="C666">
        <v>80</v>
      </c>
      <c r="D666">
        <v>66.886199950999995</v>
      </c>
      <c r="E666">
        <v>40</v>
      </c>
      <c r="F666">
        <v>39.902866363999998</v>
      </c>
      <c r="G666">
        <v>1322.5938721</v>
      </c>
      <c r="H666">
        <v>1318.75</v>
      </c>
      <c r="I666">
        <v>1345.8266602000001</v>
      </c>
      <c r="J666">
        <v>1340.2115478999999</v>
      </c>
      <c r="K666">
        <v>0</v>
      </c>
      <c r="L666">
        <v>550</v>
      </c>
      <c r="M666">
        <v>550</v>
      </c>
      <c r="N666">
        <v>0</v>
      </c>
    </row>
    <row r="667" spans="1:14" x14ac:dyDescent="0.25">
      <c r="A667">
        <v>698.23389599999996</v>
      </c>
      <c r="B667" s="1">
        <f>DATE(2012,3,29) + TIME(5,36,48)</f>
        <v>40997.233888888892</v>
      </c>
      <c r="C667">
        <v>80</v>
      </c>
      <c r="D667">
        <v>66.413208007999998</v>
      </c>
      <c r="E667">
        <v>40</v>
      </c>
      <c r="F667">
        <v>39.903194427000003</v>
      </c>
      <c r="G667">
        <v>1322.4698486</v>
      </c>
      <c r="H667">
        <v>1318.5693358999999</v>
      </c>
      <c r="I667">
        <v>1345.8236084</v>
      </c>
      <c r="J667">
        <v>1340.2094727000001</v>
      </c>
      <c r="K667">
        <v>0</v>
      </c>
      <c r="L667">
        <v>550</v>
      </c>
      <c r="M667">
        <v>550</v>
      </c>
      <c r="N667">
        <v>0</v>
      </c>
    </row>
    <row r="668" spans="1:14" x14ac:dyDescent="0.25">
      <c r="A668">
        <v>701</v>
      </c>
      <c r="B668" s="1">
        <f>DATE(2012,4,1) + TIME(0,0,0)</f>
        <v>41000</v>
      </c>
      <c r="C668">
        <v>80</v>
      </c>
      <c r="D668">
        <v>66.015243530000006</v>
      </c>
      <c r="E668">
        <v>40</v>
      </c>
      <c r="F668">
        <v>39.903400421000001</v>
      </c>
      <c r="G668">
        <v>1322.3479004000001</v>
      </c>
      <c r="H668">
        <v>1318.3972168</v>
      </c>
      <c r="I668">
        <v>1345.8199463000001</v>
      </c>
      <c r="J668">
        <v>1340.2070312000001</v>
      </c>
      <c r="K668">
        <v>0</v>
      </c>
      <c r="L668">
        <v>550</v>
      </c>
      <c r="M668">
        <v>550</v>
      </c>
      <c r="N668">
        <v>0</v>
      </c>
    </row>
    <row r="669" spans="1:14" x14ac:dyDescent="0.25">
      <c r="A669">
        <v>705.306241</v>
      </c>
      <c r="B669" s="1">
        <f>DATE(2012,4,5) + TIME(7,20,59)</f>
        <v>41004.306238425925</v>
      </c>
      <c r="C669">
        <v>80</v>
      </c>
      <c r="D669">
        <v>65.560478209999999</v>
      </c>
      <c r="E669">
        <v>40</v>
      </c>
      <c r="F669">
        <v>39.903724670000003</v>
      </c>
      <c r="G669">
        <v>1322.2583007999999</v>
      </c>
      <c r="H669">
        <v>1318.2563477000001</v>
      </c>
      <c r="I669">
        <v>1345.8181152</v>
      </c>
      <c r="J669">
        <v>1340.2058105000001</v>
      </c>
      <c r="K669">
        <v>0</v>
      </c>
      <c r="L669">
        <v>550</v>
      </c>
      <c r="M669">
        <v>550</v>
      </c>
      <c r="N669">
        <v>0</v>
      </c>
    </row>
    <row r="670" spans="1:14" x14ac:dyDescent="0.25">
      <c r="A670">
        <v>709.69498199999998</v>
      </c>
      <c r="B670" s="1">
        <f>DATE(2012,4,9) + TIME(16,40,46)</f>
        <v>41008.694976851853</v>
      </c>
      <c r="C670">
        <v>80</v>
      </c>
      <c r="D670">
        <v>65.061462402000004</v>
      </c>
      <c r="E670">
        <v>40</v>
      </c>
      <c r="F670">
        <v>39.904048920000001</v>
      </c>
      <c r="G670">
        <v>1322.1398925999999</v>
      </c>
      <c r="H670">
        <v>1318.0838623</v>
      </c>
      <c r="I670">
        <v>1345.8143310999999</v>
      </c>
      <c r="J670">
        <v>1340.2034911999999</v>
      </c>
      <c r="K670">
        <v>0</v>
      </c>
      <c r="L670">
        <v>550</v>
      </c>
      <c r="M670">
        <v>550</v>
      </c>
      <c r="N670">
        <v>0</v>
      </c>
    </row>
    <row r="671" spans="1:14" x14ac:dyDescent="0.25">
      <c r="A671">
        <v>714.15818400000001</v>
      </c>
      <c r="B671" s="1">
        <f>DATE(2012,4,14) + TIME(3,47,47)</f>
        <v>41013.158182870371</v>
      </c>
      <c r="C671">
        <v>80</v>
      </c>
      <c r="D671">
        <v>64.533409118999998</v>
      </c>
      <c r="E671">
        <v>40</v>
      </c>
      <c r="F671">
        <v>39.904369354000004</v>
      </c>
      <c r="G671">
        <v>1322.0195312000001</v>
      </c>
      <c r="H671">
        <v>1317.9067382999999</v>
      </c>
      <c r="I671">
        <v>1345.8105469</v>
      </c>
      <c r="J671">
        <v>1340.2011719</v>
      </c>
      <c r="K671">
        <v>0</v>
      </c>
      <c r="L671">
        <v>550</v>
      </c>
      <c r="M671">
        <v>550</v>
      </c>
      <c r="N671">
        <v>0</v>
      </c>
    </row>
    <row r="672" spans="1:14" x14ac:dyDescent="0.25">
      <c r="A672">
        <v>718.714023</v>
      </c>
      <c r="B672" s="1">
        <f>DATE(2012,4,18) + TIME(17,8,11)</f>
        <v>41017.714016203703</v>
      </c>
      <c r="C672">
        <v>80</v>
      </c>
      <c r="D672">
        <v>63.982372284</v>
      </c>
      <c r="E672">
        <v>40</v>
      </c>
      <c r="F672">
        <v>39.904693604000002</v>
      </c>
      <c r="G672">
        <v>1321.8988036999999</v>
      </c>
      <c r="H672">
        <v>1317.7276611</v>
      </c>
      <c r="I672">
        <v>1345.8063964999999</v>
      </c>
      <c r="J672">
        <v>1340.1987305</v>
      </c>
      <c r="K672">
        <v>0</v>
      </c>
      <c r="L672">
        <v>550</v>
      </c>
      <c r="M672">
        <v>550</v>
      </c>
      <c r="N672">
        <v>0</v>
      </c>
    </row>
    <row r="673" spans="1:14" x14ac:dyDescent="0.25">
      <c r="A673">
        <v>723.35084099999995</v>
      </c>
      <c r="B673" s="1">
        <f>DATE(2012,4,23) + TIME(8,25,12)</f>
        <v>41022.35083333333</v>
      </c>
      <c r="C673">
        <v>80</v>
      </c>
      <c r="D673">
        <v>63.411567687999998</v>
      </c>
      <c r="E673">
        <v>40</v>
      </c>
      <c r="F673">
        <v>39.905017852999997</v>
      </c>
      <c r="G673">
        <v>1321.7780762</v>
      </c>
      <c r="H673">
        <v>1317.5478516000001</v>
      </c>
      <c r="I673">
        <v>1345.8020019999999</v>
      </c>
      <c r="J673">
        <v>1340.1960449000001</v>
      </c>
      <c r="K673">
        <v>0</v>
      </c>
      <c r="L673">
        <v>550</v>
      </c>
      <c r="M673">
        <v>550</v>
      </c>
      <c r="N673">
        <v>0</v>
      </c>
    </row>
    <row r="674" spans="1:14" x14ac:dyDescent="0.25">
      <c r="A674">
        <v>728.05507599999999</v>
      </c>
      <c r="B674" s="1">
        <f>DATE(2012,4,28) + TIME(1,19,18)</f>
        <v>41027.055069444446</v>
      </c>
      <c r="C674">
        <v>80</v>
      </c>
      <c r="D674">
        <v>62.823875426999997</v>
      </c>
      <c r="E674">
        <v>40</v>
      </c>
      <c r="F674">
        <v>39.905342101999999</v>
      </c>
      <c r="G674">
        <v>1321.6580810999999</v>
      </c>
      <c r="H674">
        <v>1317.3681641000001</v>
      </c>
      <c r="I674">
        <v>1345.7973632999999</v>
      </c>
      <c r="J674">
        <v>1340.1933594</v>
      </c>
      <c r="K674">
        <v>0</v>
      </c>
      <c r="L674">
        <v>550</v>
      </c>
      <c r="M674">
        <v>550</v>
      </c>
      <c r="N674">
        <v>0</v>
      </c>
    </row>
    <row r="675" spans="1:14" x14ac:dyDescent="0.25">
      <c r="A675">
        <v>731</v>
      </c>
      <c r="B675" s="1">
        <f>DATE(2012,5,1) + TIME(0,0,0)</f>
        <v>41030</v>
      </c>
      <c r="C675">
        <v>80</v>
      </c>
      <c r="D675">
        <v>62.338832855</v>
      </c>
      <c r="E675">
        <v>40</v>
      </c>
      <c r="F675">
        <v>39.905536652000002</v>
      </c>
      <c r="G675">
        <v>1321.5410156</v>
      </c>
      <c r="H675">
        <v>1317.199707</v>
      </c>
      <c r="I675">
        <v>1345.7922363</v>
      </c>
      <c r="J675">
        <v>1340.1901855000001</v>
      </c>
      <c r="K675">
        <v>0</v>
      </c>
      <c r="L675">
        <v>550</v>
      </c>
      <c r="M675">
        <v>550</v>
      </c>
      <c r="N675">
        <v>0</v>
      </c>
    </row>
    <row r="676" spans="1:14" x14ac:dyDescent="0.25">
      <c r="A676">
        <v>731.000001</v>
      </c>
      <c r="B676" s="1">
        <f>DATE(2012,5,1) + TIME(0,0,0)</f>
        <v>41030</v>
      </c>
      <c r="C676">
        <v>80</v>
      </c>
      <c r="D676">
        <v>62.338874816999997</v>
      </c>
      <c r="E676">
        <v>40</v>
      </c>
      <c r="F676">
        <v>39.905509948999999</v>
      </c>
      <c r="G676">
        <v>1327.1307373</v>
      </c>
      <c r="H676">
        <v>1321.8066406</v>
      </c>
      <c r="I676">
        <v>1339.9898682</v>
      </c>
      <c r="J676">
        <v>1335.1486815999999</v>
      </c>
      <c r="K676">
        <v>550</v>
      </c>
      <c r="L676">
        <v>0</v>
      </c>
      <c r="M676">
        <v>0</v>
      </c>
      <c r="N676">
        <v>550</v>
      </c>
    </row>
    <row r="677" spans="1:14" x14ac:dyDescent="0.25">
      <c r="A677">
        <v>731.00000399999999</v>
      </c>
      <c r="B677" s="1">
        <f>DATE(2012,5,1) + TIME(0,0,0)</f>
        <v>41030</v>
      </c>
      <c r="C677">
        <v>80</v>
      </c>
      <c r="D677">
        <v>62.338985442999999</v>
      </c>
      <c r="E677">
        <v>40</v>
      </c>
      <c r="F677">
        <v>39.905445098999998</v>
      </c>
      <c r="G677">
        <v>1327.6982422000001</v>
      </c>
      <c r="H677">
        <v>1322.4918213000001</v>
      </c>
      <c r="I677">
        <v>1339.4460449000001</v>
      </c>
      <c r="J677">
        <v>1334.6042480000001</v>
      </c>
      <c r="K677">
        <v>550</v>
      </c>
      <c r="L677">
        <v>0</v>
      </c>
      <c r="M677">
        <v>0</v>
      </c>
      <c r="N677">
        <v>550</v>
      </c>
    </row>
    <row r="678" spans="1:14" x14ac:dyDescent="0.25">
      <c r="A678">
        <v>731.00001299999997</v>
      </c>
      <c r="B678" s="1">
        <f>DATE(2012,5,1) + TIME(0,0,1)</f>
        <v>41030.000011574077</v>
      </c>
      <c r="C678">
        <v>80</v>
      </c>
      <c r="D678">
        <v>62.339237212999997</v>
      </c>
      <c r="E678">
        <v>40</v>
      </c>
      <c r="F678">
        <v>39.905292510999999</v>
      </c>
      <c r="G678">
        <v>1328.9759521000001</v>
      </c>
      <c r="H678">
        <v>1323.9349365</v>
      </c>
      <c r="I678">
        <v>1338.1794434000001</v>
      </c>
      <c r="J678">
        <v>1333.3366699000001</v>
      </c>
      <c r="K678">
        <v>550</v>
      </c>
      <c r="L678">
        <v>0</v>
      </c>
      <c r="M678">
        <v>0</v>
      </c>
      <c r="N678">
        <v>550</v>
      </c>
    </row>
    <row r="679" spans="1:14" x14ac:dyDescent="0.25">
      <c r="A679">
        <v>731.00004000000001</v>
      </c>
      <c r="B679" s="1">
        <f>DATE(2012,5,1) + TIME(0,0,3)</f>
        <v>41030.000034722223</v>
      </c>
      <c r="C679">
        <v>80</v>
      </c>
      <c r="D679">
        <v>62.339717864999997</v>
      </c>
      <c r="E679">
        <v>40</v>
      </c>
      <c r="F679">
        <v>39.905025481999999</v>
      </c>
      <c r="G679">
        <v>1331.1470947</v>
      </c>
      <c r="H679">
        <v>1326.1845702999999</v>
      </c>
      <c r="I679">
        <v>1335.9426269999999</v>
      </c>
      <c r="J679">
        <v>1331.1000977000001</v>
      </c>
      <c r="K679">
        <v>550</v>
      </c>
      <c r="L679">
        <v>0</v>
      </c>
      <c r="M679">
        <v>0</v>
      </c>
      <c r="N679">
        <v>550</v>
      </c>
    </row>
    <row r="680" spans="1:14" x14ac:dyDescent="0.25">
      <c r="A680">
        <v>731.00012100000004</v>
      </c>
      <c r="B680" s="1">
        <f>DATE(2012,5,1) + TIME(0,0,10)</f>
        <v>41030.000115740739</v>
      </c>
      <c r="C680">
        <v>80</v>
      </c>
      <c r="D680">
        <v>62.340618134000003</v>
      </c>
      <c r="E680">
        <v>40</v>
      </c>
      <c r="F680">
        <v>39.904674530000001</v>
      </c>
      <c r="G680">
        <v>1333.8779297000001</v>
      </c>
      <c r="H680">
        <v>1328.8621826000001</v>
      </c>
      <c r="I680">
        <v>1333.0792236</v>
      </c>
      <c r="J680">
        <v>1328.2412108999999</v>
      </c>
      <c r="K680">
        <v>550</v>
      </c>
      <c r="L680">
        <v>0</v>
      </c>
      <c r="M680">
        <v>0</v>
      </c>
      <c r="N680">
        <v>550</v>
      </c>
    </row>
    <row r="681" spans="1:14" x14ac:dyDescent="0.25">
      <c r="A681">
        <v>731.00036399999999</v>
      </c>
      <c r="B681" s="1">
        <f>DATE(2012,5,1) + TIME(0,0,31)</f>
        <v>41030.000358796293</v>
      </c>
      <c r="C681">
        <v>80</v>
      </c>
      <c r="D681">
        <v>62.342655182000001</v>
      </c>
      <c r="E681">
        <v>40</v>
      </c>
      <c r="F681">
        <v>39.904293060000001</v>
      </c>
      <c r="G681">
        <v>1336.786499</v>
      </c>
      <c r="H681">
        <v>1331.6882324000001</v>
      </c>
      <c r="I681">
        <v>1330.0714111</v>
      </c>
      <c r="J681">
        <v>1325.2368164</v>
      </c>
      <c r="K681">
        <v>550</v>
      </c>
      <c r="L681">
        <v>0</v>
      </c>
      <c r="M681">
        <v>0</v>
      </c>
      <c r="N681">
        <v>550</v>
      </c>
    </row>
    <row r="682" spans="1:14" x14ac:dyDescent="0.25">
      <c r="A682">
        <v>731.00109299999997</v>
      </c>
      <c r="B682" s="1">
        <f>DATE(2012,5,1) + TIME(0,1,34)</f>
        <v>41030.001087962963</v>
      </c>
      <c r="C682">
        <v>80</v>
      </c>
      <c r="D682">
        <v>62.348091125000003</v>
      </c>
      <c r="E682">
        <v>40</v>
      </c>
      <c r="F682">
        <v>39.903865814</v>
      </c>
      <c r="G682">
        <v>1339.7593993999999</v>
      </c>
      <c r="H682">
        <v>1334.5906981999999</v>
      </c>
      <c r="I682">
        <v>1327.0739745999999</v>
      </c>
      <c r="J682">
        <v>1322.2149658000001</v>
      </c>
      <c r="K682">
        <v>550</v>
      </c>
      <c r="L682">
        <v>0</v>
      </c>
      <c r="M682">
        <v>0</v>
      </c>
      <c r="N682">
        <v>550</v>
      </c>
    </row>
    <row r="683" spans="1:14" x14ac:dyDescent="0.25">
      <c r="A683">
        <v>731.00328000000002</v>
      </c>
      <c r="B683" s="1">
        <f>DATE(2012,5,1) + TIME(0,4,43)</f>
        <v>41030.003275462965</v>
      </c>
      <c r="C683">
        <v>80</v>
      </c>
      <c r="D683">
        <v>62.363712311</v>
      </c>
      <c r="E683">
        <v>40</v>
      </c>
      <c r="F683">
        <v>39.903324126999998</v>
      </c>
      <c r="G683">
        <v>1342.4980469</v>
      </c>
      <c r="H683">
        <v>1337.2884521000001</v>
      </c>
      <c r="I683">
        <v>1324.3438721</v>
      </c>
      <c r="J683">
        <v>1319.4077147999999</v>
      </c>
      <c r="K683">
        <v>550</v>
      </c>
      <c r="L683">
        <v>0</v>
      </c>
      <c r="M683">
        <v>0</v>
      </c>
      <c r="N683">
        <v>550</v>
      </c>
    </row>
    <row r="684" spans="1:14" x14ac:dyDescent="0.25">
      <c r="A684">
        <v>731.00984100000005</v>
      </c>
      <c r="B684" s="1">
        <f>DATE(2012,5,1) + TIME(0,14,10)</f>
        <v>41030.009837962964</v>
      </c>
      <c r="C684">
        <v>80</v>
      </c>
      <c r="D684">
        <v>62.409706116000002</v>
      </c>
      <c r="E684">
        <v>40</v>
      </c>
      <c r="F684">
        <v>39.902435302999997</v>
      </c>
      <c r="G684">
        <v>1344.4848632999999</v>
      </c>
      <c r="H684">
        <v>1339.2725829999999</v>
      </c>
      <c r="I684">
        <v>1322.3640137</v>
      </c>
      <c r="J684">
        <v>1317.3400879000001</v>
      </c>
      <c r="K684">
        <v>550</v>
      </c>
      <c r="L684">
        <v>0</v>
      </c>
      <c r="M684">
        <v>0</v>
      </c>
      <c r="N684">
        <v>550</v>
      </c>
    </row>
    <row r="685" spans="1:14" x14ac:dyDescent="0.25">
      <c r="A685">
        <v>731.02952400000004</v>
      </c>
      <c r="B685" s="1">
        <f>DATE(2012,5,1) + TIME(0,42,30)</f>
        <v>41030.029513888891</v>
      </c>
      <c r="C685">
        <v>80</v>
      </c>
      <c r="D685">
        <v>62.545852660999998</v>
      </c>
      <c r="E685">
        <v>40</v>
      </c>
      <c r="F685">
        <v>39.900360106999997</v>
      </c>
      <c r="G685">
        <v>1345.5607910000001</v>
      </c>
      <c r="H685">
        <v>1340.362793</v>
      </c>
      <c r="I685">
        <v>1321.3055420000001</v>
      </c>
      <c r="J685">
        <v>1316.2351074000001</v>
      </c>
      <c r="K685">
        <v>550</v>
      </c>
      <c r="L685">
        <v>0</v>
      </c>
      <c r="M685">
        <v>0</v>
      </c>
      <c r="N685">
        <v>550</v>
      </c>
    </row>
    <row r="686" spans="1:14" x14ac:dyDescent="0.25">
      <c r="A686">
        <v>731.088573</v>
      </c>
      <c r="B686" s="1">
        <f>DATE(2012,5,1) + TIME(2,7,32)</f>
        <v>41030.088564814818</v>
      </c>
      <c r="C686">
        <v>80</v>
      </c>
      <c r="D686">
        <v>62.944286345999998</v>
      </c>
      <c r="E686">
        <v>40</v>
      </c>
      <c r="F686">
        <v>39.894542694000002</v>
      </c>
      <c r="G686">
        <v>1345.9667969</v>
      </c>
      <c r="H686">
        <v>1340.8012695</v>
      </c>
      <c r="I686">
        <v>1320.9423827999999</v>
      </c>
      <c r="J686">
        <v>1315.8583983999999</v>
      </c>
      <c r="K686">
        <v>550</v>
      </c>
      <c r="L686">
        <v>0</v>
      </c>
      <c r="M686">
        <v>0</v>
      </c>
      <c r="N686">
        <v>550</v>
      </c>
    </row>
    <row r="687" spans="1:14" x14ac:dyDescent="0.25">
      <c r="A687">
        <v>731.19164999999998</v>
      </c>
      <c r="B687" s="1">
        <f>DATE(2012,5,1) + TIME(4,35,58)</f>
        <v>41030.191643518519</v>
      </c>
      <c r="C687">
        <v>80</v>
      </c>
      <c r="D687">
        <v>63.612724303999997</v>
      </c>
      <c r="E687">
        <v>40</v>
      </c>
      <c r="F687">
        <v>39.884632111000002</v>
      </c>
      <c r="G687">
        <v>1346.0180664</v>
      </c>
      <c r="H687">
        <v>1340.8975829999999</v>
      </c>
      <c r="I687">
        <v>1320.8980713000001</v>
      </c>
      <c r="J687">
        <v>1315.8114014</v>
      </c>
      <c r="K687">
        <v>550</v>
      </c>
      <c r="L687">
        <v>0</v>
      </c>
      <c r="M687">
        <v>0</v>
      </c>
      <c r="N687">
        <v>550</v>
      </c>
    </row>
    <row r="688" spans="1:14" x14ac:dyDescent="0.25">
      <c r="A688">
        <v>731.29690800000003</v>
      </c>
      <c r="B688" s="1">
        <f>DATE(2012,5,1) + TIME(7,7,32)</f>
        <v>41030.296898148146</v>
      </c>
      <c r="C688">
        <v>80</v>
      </c>
      <c r="D688">
        <v>64.269813537999994</v>
      </c>
      <c r="E688">
        <v>40</v>
      </c>
      <c r="F688">
        <v>39.874614716000004</v>
      </c>
      <c r="G688">
        <v>1346.0067139</v>
      </c>
      <c r="H688">
        <v>1340.9177245999999</v>
      </c>
      <c r="I688">
        <v>1320.901001</v>
      </c>
      <c r="J688">
        <v>1315.8132324000001</v>
      </c>
      <c r="K688">
        <v>550</v>
      </c>
      <c r="L688">
        <v>0</v>
      </c>
      <c r="M688">
        <v>0</v>
      </c>
      <c r="N688">
        <v>550</v>
      </c>
    </row>
    <row r="689" spans="1:14" x14ac:dyDescent="0.25">
      <c r="A689">
        <v>731.40450299999998</v>
      </c>
      <c r="B689" s="1">
        <f>DATE(2012,5,1) + TIME(9,42,29)</f>
        <v>41030.404502314814</v>
      </c>
      <c r="C689">
        <v>80</v>
      </c>
      <c r="D689">
        <v>64.915771484000004</v>
      </c>
      <c r="E689">
        <v>40</v>
      </c>
      <c r="F689">
        <v>39.864479064999998</v>
      </c>
      <c r="G689">
        <v>1345.9801024999999</v>
      </c>
      <c r="H689">
        <v>1340.9208983999999</v>
      </c>
      <c r="I689">
        <v>1320.9044189000001</v>
      </c>
      <c r="J689">
        <v>1315.8156738</v>
      </c>
      <c r="K689">
        <v>550</v>
      </c>
      <c r="L689">
        <v>0</v>
      </c>
      <c r="M689">
        <v>0</v>
      </c>
      <c r="N689">
        <v>550</v>
      </c>
    </row>
    <row r="690" spans="1:14" x14ac:dyDescent="0.25">
      <c r="A690">
        <v>731.51444200000003</v>
      </c>
      <c r="B690" s="1">
        <f>DATE(2012,5,1) + TIME(12,20,47)</f>
        <v>41030.514432870368</v>
      </c>
      <c r="C690">
        <v>80</v>
      </c>
      <c r="D690">
        <v>65.550064086999996</v>
      </c>
      <c r="E690">
        <v>40</v>
      </c>
      <c r="F690">
        <v>39.854221344000003</v>
      </c>
      <c r="G690">
        <v>1345.9525146000001</v>
      </c>
      <c r="H690">
        <v>1340.9213867000001</v>
      </c>
      <c r="I690">
        <v>1320.9063721</v>
      </c>
      <c r="J690">
        <v>1315.8165283000001</v>
      </c>
      <c r="K690">
        <v>550</v>
      </c>
      <c r="L690">
        <v>0</v>
      </c>
      <c r="M690">
        <v>0</v>
      </c>
      <c r="N690">
        <v>550</v>
      </c>
    </row>
    <row r="691" spans="1:14" x14ac:dyDescent="0.25">
      <c r="A691">
        <v>731.62684899999999</v>
      </c>
      <c r="B691" s="1">
        <f>DATE(2012,5,1) + TIME(15,2,39)</f>
        <v>41030.626840277779</v>
      </c>
      <c r="C691">
        <v>80</v>
      </c>
      <c r="D691">
        <v>66.172531128000003</v>
      </c>
      <c r="E691">
        <v>40</v>
      </c>
      <c r="F691">
        <v>39.843841552999997</v>
      </c>
      <c r="G691">
        <v>1345.9267577999999</v>
      </c>
      <c r="H691">
        <v>1340.9219971</v>
      </c>
      <c r="I691">
        <v>1320.9075928</v>
      </c>
      <c r="J691">
        <v>1315.8167725000001</v>
      </c>
      <c r="K691">
        <v>550</v>
      </c>
      <c r="L691">
        <v>0</v>
      </c>
      <c r="M691">
        <v>0</v>
      </c>
      <c r="N691">
        <v>550</v>
      </c>
    </row>
    <row r="692" spans="1:14" x14ac:dyDescent="0.25">
      <c r="A692">
        <v>731.74185599999998</v>
      </c>
      <c r="B692" s="1">
        <f>DATE(2012,5,1) + TIME(17,48,16)</f>
        <v>41030.741851851853</v>
      </c>
      <c r="C692">
        <v>80</v>
      </c>
      <c r="D692">
        <v>66.783096313000001</v>
      </c>
      <c r="E692">
        <v>40</v>
      </c>
      <c r="F692">
        <v>39.833324431999998</v>
      </c>
      <c r="G692">
        <v>1345.9036865</v>
      </c>
      <c r="H692">
        <v>1340.9237060999999</v>
      </c>
      <c r="I692">
        <v>1320.9085693</v>
      </c>
      <c r="J692">
        <v>1315.8166504000001</v>
      </c>
      <c r="K692">
        <v>550</v>
      </c>
      <c r="L692">
        <v>0</v>
      </c>
      <c r="M692">
        <v>0</v>
      </c>
      <c r="N692">
        <v>550</v>
      </c>
    </row>
    <row r="693" spans="1:14" x14ac:dyDescent="0.25">
      <c r="A693">
        <v>731.8596</v>
      </c>
      <c r="B693" s="1">
        <f>DATE(2012,5,1) + TIME(20,37,49)</f>
        <v>41030.859594907408</v>
      </c>
      <c r="C693">
        <v>80</v>
      </c>
      <c r="D693">
        <v>67.381675720000004</v>
      </c>
      <c r="E693">
        <v>40</v>
      </c>
      <c r="F693">
        <v>39.822669982999997</v>
      </c>
      <c r="G693">
        <v>1345.8833007999999</v>
      </c>
      <c r="H693">
        <v>1340.9266356999999</v>
      </c>
      <c r="I693">
        <v>1320.9094238</v>
      </c>
      <c r="J693">
        <v>1315.8164062000001</v>
      </c>
      <c r="K693">
        <v>550</v>
      </c>
      <c r="L693">
        <v>0</v>
      </c>
      <c r="M693">
        <v>0</v>
      </c>
      <c r="N693">
        <v>550</v>
      </c>
    </row>
    <row r="694" spans="1:14" x14ac:dyDescent="0.25">
      <c r="A694">
        <v>731.98023000000001</v>
      </c>
      <c r="B694" s="1">
        <f>DATE(2012,5,1) + TIME(23,31,31)</f>
        <v>41030.980219907404</v>
      </c>
      <c r="C694">
        <v>80</v>
      </c>
      <c r="D694">
        <v>67.968177795000003</v>
      </c>
      <c r="E694">
        <v>40</v>
      </c>
      <c r="F694">
        <v>39.811862945999998</v>
      </c>
      <c r="G694">
        <v>1345.8653564000001</v>
      </c>
      <c r="H694">
        <v>1340.9305420000001</v>
      </c>
      <c r="I694">
        <v>1320.9104004000001</v>
      </c>
      <c r="J694">
        <v>1315.8161620999999</v>
      </c>
      <c r="K694">
        <v>550</v>
      </c>
      <c r="L694">
        <v>0</v>
      </c>
      <c r="M694">
        <v>0</v>
      </c>
      <c r="N694">
        <v>550</v>
      </c>
    </row>
    <row r="695" spans="1:14" x14ac:dyDescent="0.25">
      <c r="A695">
        <v>732.10390299999995</v>
      </c>
      <c r="B695" s="1">
        <f>DATE(2012,5,2) + TIME(2,29,37)</f>
        <v>41031.103900462964</v>
      </c>
      <c r="C695">
        <v>80</v>
      </c>
      <c r="D695">
        <v>68.542472838999998</v>
      </c>
      <c r="E695">
        <v>40</v>
      </c>
      <c r="F695">
        <v>39.800895691000001</v>
      </c>
      <c r="G695">
        <v>1345.8499756000001</v>
      </c>
      <c r="H695">
        <v>1340.9355469</v>
      </c>
      <c r="I695">
        <v>1320.9112548999999</v>
      </c>
      <c r="J695">
        <v>1315.8157959</v>
      </c>
      <c r="K695">
        <v>550</v>
      </c>
      <c r="L695">
        <v>0</v>
      </c>
      <c r="M695">
        <v>0</v>
      </c>
      <c r="N695">
        <v>550</v>
      </c>
    </row>
    <row r="696" spans="1:14" x14ac:dyDescent="0.25">
      <c r="A696">
        <v>732.23078899999996</v>
      </c>
      <c r="B696" s="1">
        <f>DATE(2012,5,2) + TIME(5,32,20)</f>
        <v>41031.230787037035</v>
      </c>
      <c r="C696">
        <v>80</v>
      </c>
      <c r="D696">
        <v>69.104423522999994</v>
      </c>
      <c r="E696">
        <v>40</v>
      </c>
      <c r="F696">
        <v>39.78976059</v>
      </c>
      <c r="G696">
        <v>1345.8367920000001</v>
      </c>
      <c r="H696">
        <v>1340.9415283000001</v>
      </c>
      <c r="I696">
        <v>1320.9121094</v>
      </c>
      <c r="J696">
        <v>1315.8153076000001</v>
      </c>
      <c r="K696">
        <v>550</v>
      </c>
      <c r="L696">
        <v>0</v>
      </c>
      <c r="M696">
        <v>0</v>
      </c>
      <c r="N696">
        <v>550</v>
      </c>
    </row>
    <row r="697" spans="1:14" x14ac:dyDescent="0.25">
      <c r="A697">
        <v>732.36106400000006</v>
      </c>
      <c r="B697" s="1">
        <f>DATE(2012,5,2) + TIME(8,39,55)</f>
        <v>41031.36105324074</v>
      </c>
      <c r="C697">
        <v>80</v>
      </c>
      <c r="D697">
        <v>69.653869628999999</v>
      </c>
      <c r="E697">
        <v>40</v>
      </c>
      <c r="F697">
        <v>39.778450012</v>
      </c>
      <c r="G697">
        <v>1345.8258057</v>
      </c>
      <c r="H697">
        <v>1340.9484863</v>
      </c>
      <c r="I697">
        <v>1320.9129639</v>
      </c>
      <c r="J697">
        <v>1315.8149414</v>
      </c>
      <c r="K697">
        <v>550</v>
      </c>
      <c r="L697">
        <v>0</v>
      </c>
      <c r="M697">
        <v>0</v>
      </c>
      <c r="N697">
        <v>550</v>
      </c>
    </row>
    <row r="698" spans="1:14" x14ac:dyDescent="0.25">
      <c r="A698">
        <v>732.49484800000005</v>
      </c>
      <c r="B698" s="1">
        <f>DATE(2012,5,2) + TIME(11,52,34)</f>
        <v>41031.494837962964</v>
      </c>
      <c r="C698">
        <v>80</v>
      </c>
      <c r="D698">
        <v>70.190223693999997</v>
      </c>
      <c r="E698">
        <v>40</v>
      </c>
      <c r="F698">
        <v>39.766952515</v>
      </c>
      <c r="G698">
        <v>1345.8168945</v>
      </c>
      <c r="H698">
        <v>1340.9561768000001</v>
      </c>
      <c r="I698">
        <v>1320.9138184000001</v>
      </c>
      <c r="J698">
        <v>1315.8143310999999</v>
      </c>
      <c r="K698">
        <v>550</v>
      </c>
      <c r="L698">
        <v>0</v>
      </c>
      <c r="M698">
        <v>0</v>
      </c>
      <c r="N698">
        <v>550</v>
      </c>
    </row>
    <row r="699" spans="1:14" x14ac:dyDescent="0.25">
      <c r="A699">
        <v>732.63227199999994</v>
      </c>
      <c r="B699" s="1">
        <f>DATE(2012,5,2) + TIME(15,10,28)</f>
        <v>41031.632268518515</v>
      </c>
      <c r="C699">
        <v>80</v>
      </c>
      <c r="D699">
        <v>70.712944031000006</v>
      </c>
      <c r="E699">
        <v>40</v>
      </c>
      <c r="F699">
        <v>39.755268096999998</v>
      </c>
      <c r="G699">
        <v>1345.8100586</v>
      </c>
      <c r="H699">
        <v>1340.9648437999999</v>
      </c>
      <c r="I699">
        <v>1320.9145507999999</v>
      </c>
      <c r="J699">
        <v>1315.8138428</v>
      </c>
      <c r="K699">
        <v>550</v>
      </c>
      <c r="L699">
        <v>0</v>
      </c>
      <c r="M699">
        <v>0</v>
      </c>
      <c r="N699">
        <v>550</v>
      </c>
    </row>
    <row r="700" spans="1:14" x14ac:dyDescent="0.25">
      <c r="A700">
        <v>732.77354600000001</v>
      </c>
      <c r="B700" s="1">
        <f>DATE(2012,5,2) + TIME(18,33,54)</f>
        <v>41031.773541666669</v>
      </c>
      <c r="C700">
        <v>80</v>
      </c>
      <c r="D700">
        <v>71.222129821999999</v>
      </c>
      <c r="E700">
        <v>40</v>
      </c>
      <c r="F700">
        <v>39.743381499999998</v>
      </c>
      <c r="G700">
        <v>1345.8049315999999</v>
      </c>
      <c r="H700">
        <v>1340.973999</v>
      </c>
      <c r="I700">
        <v>1320.9154053</v>
      </c>
      <c r="J700">
        <v>1315.8132324000001</v>
      </c>
      <c r="K700">
        <v>550</v>
      </c>
      <c r="L700">
        <v>0</v>
      </c>
      <c r="M700">
        <v>0</v>
      </c>
      <c r="N700">
        <v>550</v>
      </c>
    </row>
    <row r="701" spans="1:14" x14ac:dyDescent="0.25">
      <c r="A701">
        <v>732.91889900000001</v>
      </c>
      <c r="B701" s="1">
        <f>DATE(2012,5,2) + TIME(22,3,12)</f>
        <v>41031.918888888889</v>
      </c>
      <c r="C701">
        <v>80</v>
      </c>
      <c r="D701">
        <v>71.717620850000003</v>
      </c>
      <c r="E701">
        <v>40</v>
      </c>
      <c r="F701">
        <v>39.731285094999997</v>
      </c>
      <c r="G701">
        <v>1345.8016356999999</v>
      </c>
      <c r="H701">
        <v>1340.9838867000001</v>
      </c>
      <c r="I701">
        <v>1320.9161377</v>
      </c>
      <c r="J701">
        <v>1315.8125</v>
      </c>
      <c r="K701">
        <v>550</v>
      </c>
      <c r="L701">
        <v>0</v>
      </c>
      <c r="M701">
        <v>0</v>
      </c>
      <c r="N701">
        <v>550</v>
      </c>
    </row>
    <row r="702" spans="1:14" x14ac:dyDescent="0.25">
      <c r="A702">
        <v>733.06855199999995</v>
      </c>
      <c r="B702" s="1">
        <f>DATE(2012,5,3) + TIME(1,38,42)</f>
        <v>41032.068541666667</v>
      </c>
      <c r="C702">
        <v>80</v>
      </c>
      <c r="D702">
        <v>72.199188231999997</v>
      </c>
      <c r="E702">
        <v>40</v>
      </c>
      <c r="F702">
        <v>39.718967438</v>
      </c>
      <c r="G702">
        <v>1345.7998047000001</v>
      </c>
      <c r="H702">
        <v>1340.9943848</v>
      </c>
      <c r="I702">
        <v>1320.9169922000001</v>
      </c>
      <c r="J702">
        <v>1315.8117675999999</v>
      </c>
      <c r="K702">
        <v>550</v>
      </c>
      <c r="L702">
        <v>0</v>
      </c>
      <c r="M702">
        <v>0</v>
      </c>
      <c r="N702">
        <v>550</v>
      </c>
    </row>
    <row r="703" spans="1:14" x14ac:dyDescent="0.25">
      <c r="A703">
        <v>733.22277699999995</v>
      </c>
      <c r="B703" s="1">
        <f>DATE(2012,5,3) + TIME(5,20,47)</f>
        <v>41032.222766203704</v>
      </c>
      <c r="C703">
        <v>80</v>
      </c>
      <c r="D703">
        <v>72.666679381999998</v>
      </c>
      <c r="E703">
        <v>40</v>
      </c>
      <c r="F703">
        <v>39.70640564</v>
      </c>
      <c r="G703">
        <v>1345.7995605000001</v>
      </c>
      <c r="H703">
        <v>1341.0053711</v>
      </c>
      <c r="I703">
        <v>1320.9177245999999</v>
      </c>
      <c r="J703">
        <v>1315.8110352000001</v>
      </c>
      <c r="K703">
        <v>550</v>
      </c>
      <c r="L703">
        <v>0</v>
      </c>
      <c r="M703">
        <v>0</v>
      </c>
      <c r="N703">
        <v>550</v>
      </c>
    </row>
    <row r="704" spans="1:14" x14ac:dyDescent="0.25">
      <c r="A704">
        <v>733.38186800000005</v>
      </c>
      <c r="B704" s="1">
        <f>DATE(2012,5,3) + TIME(9,9,53)</f>
        <v>41032.381863425922</v>
      </c>
      <c r="C704">
        <v>80</v>
      </c>
      <c r="D704">
        <v>73.119949340999995</v>
      </c>
      <c r="E704">
        <v>40</v>
      </c>
      <c r="F704">
        <v>39.693592072000001</v>
      </c>
      <c r="G704">
        <v>1345.8005370999999</v>
      </c>
      <c r="H704">
        <v>1341.0168457</v>
      </c>
      <c r="I704">
        <v>1320.918457</v>
      </c>
      <c r="J704">
        <v>1315.8103027</v>
      </c>
      <c r="K704">
        <v>550</v>
      </c>
      <c r="L704">
        <v>0</v>
      </c>
      <c r="M704">
        <v>0</v>
      </c>
      <c r="N704">
        <v>550</v>
      </c>
    </row>
    <row r="705" spans="1:14" x14ac:dyDescent="0.25">
      <c r="A705">
        <v>733.54612999999995</v>
      </c>
      <c r="B705" s="1">
        <f>DATE(2012,5,3) + TIME(13,6,25)</f>
        <v>41032.546122685184</v>
      </c>
      <c r="C705">
        <v>80</v>
      </c>
      <c r="D705">
        <v>73.558807372999993</v>
      </c>
      <c r="E705">
        <v>40</v>
      </c>
      <c r="F705">
        <v>39.680507660000004</v>
      </c>
      <c r="G705">
        <v>1345.8028564000001</v>
      </c>
      <c r="H705">
        <v>1341.0285644999999</v>
      </c>
      <c r="I705">
        <v>1320.9193115</v>
      </c>
      <c r="J705">
        <v>1315.8094481999999</v>
      </c>
      <c r="K705">
        <v>550</v>
      </c>
      <c r="L705">
        <v>0</v>
      </c>
      <c r="M705">
        <v>0</v>
      </c>
      <c r="N705">
        <v>550</v>
      </c>
    </row>
    <row r="706" spans="1:14" x14ac:dyDescent="0.25">
      <c r="A706">
        <v>733.71589400000005</v>
      </c>
      <c r="B706" s="1">
        <f>DATE(2012,5,3) + TIME(17,10,53)</f>
        <v>41032.715891203705</v>
      </c>
      <c r="C706">
        <v>80</v>
      </c>
      <c r="D706">
        <v>73.983062743999994</v>
      </c>
      <c r="E706">
        <v>40</v>
      </c>
      <c r="F706">
        <v>39.667137146000002</v>
      </c>
      <c r="G706">
        <v>1345.8062743999999</v>
      </c>
      <c r="H706">
        <v>1341.0406493999999</v>
      </c>
      <c r="I706">
        <v>1320.9200439000001</v>
      </c>
      <c r="J706">
        <v>1315.8084716999999</v>
      </c>
      <c r="K706">
        <v>550</v>
      </c>
      <c r="L706">
        <v>0</v>
      </c>
      <c r="M706">
        <v>0</v>
      </c>
      <c r="N706">
        <v>550</v>
      </c>
    </row>
    <row r="707" spans="1:14" x14ac:dyDescent="0.25">
      <c r="A707">
        <v>733.89151900000002</v>
      </c>
      <c r="B707" s="1">
        <f>DATE(2012,5,3) + TIME(21,23,47)</f>
        <v>41032.891516203701</v>
      </c>
      <c r="C707">
        <v>80</v>
      </c>
      <c r="D707">
        <v>74.392524718999994</v>
      </c>
      <c r="E707">
        <v>40</v>
      </c>
      <c r="F707">
        <v>39.653461456000002</v>
      </c>
      <c r="G707">
        <v>1345.8107910000001</v>
      </c>
      <c r="H707">
        <v>1341.0529785000001</v>
      </c>
      <c r="I707">
        <v>1320.9207764</v>
      </c>
      <c r="J707">
        <v>1315.8076172000001</v>
      </c>
      <c r="K707">
        <v>550</v>
      </c>
      <c r="L707">
        <v>0</v>
      </c>
      <c r="M707">
        <v>0</v>
      </c>
      <c r="N707">
        <v>550</v>
      </c>
    </row>
    <row r="708" spans="1:14" x14ac:dyDescent="0.25">
      <c r="A708">
        <v>734.07339300000001</v>
      </c>
      <c r="B708" s="1">
        <f>DATE(2012,5,4) + TIME(1,45,41)</f>
        <v>41033.073391203703</v>
      </c>
      <c r="C708">
        <v>80</v>
      </c>
      <c r="D708">
        <v>74.787002563000001</v>
      </c>
      <c r="E708">
        <v>40</v>
      </c>
      <c r="F708">
        <v>39.639457702999998</v>
      </c>
      <c r="G708">
        <v>1345.8162841999999</v>
      </c>
      <c r="H708">
        <v>1341.0654297000001</v>
      </c>
      <c r="I708">
        <v>1320.9213867000001</v>
      </c>
      <c r="J708">
        <v>1315.8065185999999</v>
      </c>
      <c r="K708">
        <v>550</v>
      </c>
      <c r="L708">
        <v>0</v>
      </c>
      <c r="M708">
        <v>0</v>
      </c>
      <c r="N708">
        <v>550</v>
      </c>
    </row>
    <row r="709" spans="1:14" x14ac:dyDescent="0.25">
      <c r="A709">
        <v>734.26194199999998</v>
      </c>
      <c r="B709" s="1">
        <f>DATE(2012,5,4) + TIME(6,17,11)</f>
        <v>41033.261932870373</v>
      </c>
      <c r="C709">
        <v>80</v>
      </c>
      <c r="D709">
        <v>75.166183472</v>
      </c>
      <c r="E709">
        <v>40</v>
      </c>
      <c r="F709">
        <v>39.625106811999999</v>
      </c>
      <c r="G709">
        <v>1345.8225098</v>
      </c>
      <c r="H709">
        <v>1341.0780029</v>
      </c>
      <c r="I709">
        <v>1320.9221190999999</v>
      </c>
      <c r="J709">
        <v>1315.8055420000001</v>
      </c>
      <c r="K709">
        <v>550</v>
      </c>
      <c r="L709">
        <v>0</v>
      </c>
      <c r="M709">
        <v>0</v>
      </c>
      <c r="N709">
        <v>550</v>
      </c>
    </row>
    <row r="710" spans="1:14" x14ac:dyDescent="0.25">
      <c r="A710">
        <v>734.457627</v>
      </c>
      <c r="B710" s="1">
        <f>DATE(2012,5,4) + TIME(10,58,58)</f>
        <v>41033.457615740743</v>
      </c>
      <c r="C710">
        <v>80</v>
      </c>
      <c r="D710">
        <v>75.529869079999997</v>
      </c>
      <c r="E710">
        <v>40</v>
      </c>
      <c r="F710">
        <v>39.610385895</v>
      </c>
      <c r="G710">
        <v>1345.8294678</v>
      </c>
      <c r="H710">
        <v>1341.0906981999999</v>
      </c>
      <c r="I710">
        <v>1320.9228516000001</v>
      </c>
      <c r="J710">
        <v>1315.8044434000001</v>
      </c>
      <c r="K710">
        <v>550</v>
      </c>
      <c r="L710">
        <v>0</v>
      </c>
      <c r="M710">
        <v>0</v>
      </c>
      <c r="N710">
        <v>550</v>
      </c>
    </row>
    <row r="711" spans="1:14" x14ac:dyDescent="0.25">
      <c r="A711">
        <v>734.66095299999995</v>
      </c>
      <c r="B711" s="1">
        <f>DATE(2012,5,4) + TIME(15,51,46)</f>
        <v>41033.660949074074</v>
      </c>
      <c r="C711">
        <v>80</v>
      </c>
      <c r="D711">
        <v>75.878051757999998</v>
      </c>
      <c r="E711">
        <v>40</v>
      </c>
      <c r="F711">
        <v>39.595268249999997</v>
      </c>
      <c r="G711">
        <v>1345.8371582</v>
      </c>
      <c r="H711">
        <v>1341.1032714999999</v>
      </c>
      <c r="I711">
        <v>1320.9234618999999</v>
      </c>
      <c r="J711">
        <v>1315.8032227000001</v>
      </c>
      <c r="K711">
        <v>550</v>
      </c>
      <c r="L711">
        <v>0</v>
      </c>
      <c r="M711">
        <v>0</v>
      </c>
      <c r="N711">
        <v>550</v>
      </c>
    </row>
    <row r="712" spans="1:14" x14ac:dyDescent="0.25">
      <c r="A712">
        <v>734.87251100000003</v>
      </c>
      <c r="B712" s="1">
        <f>DATE(2012,5,4) + TIME(20,56,24)</f>
        <v>41033.872499999998</v>
      </c>
      <c r="C712">
        <v>80</v>
      </c>
      <c r="D712">
        <v>76.210624695000007</v>
      </c>
      <c r="E712">
        <v>40</v>
      </c>
      <c r="F712">
        <v>39.579723358000003</v>
      </c>
      <c r="G712">
        <v>1345.8452147999999</v>
      </c>
      <c r="H712">
        <v>1341.1158447</v>
      </c>
      <c r="I712">
        <v>1320.9240723</v>
      </c>
      <c r="J712">
        <v>1315.8020019999999</v>
      </c>
      <c r="K712">
        <v>550</v>
      </c>
      <c r="L712">
        <v>0</v>
      </c>
      <c r="M712">
        <v>0</v>
      </c>
      <c r="N712">
        <v>550</v>
      </c>
    </row>
    <row r="713" spans="1:14" x14ac:dyDescent="0.25">
      <c r="A713">
        <v>735.09294999999997</v>
      </c>
      <c r="B713" s="1">
        <f>DATE(2012,5,5) + TIME(2,13,50)</f>
        <v>41034.092939814815</v>
      </c>
      <c r="C713">
        <v>80</v>
      </c>
      <c r="D713">
        <v>76.527519225999995</v>
      </c>
      <c r="E713">
        <v>40</v>
      </c>
      <c r="F713">
        <v>39.563720703000001</v>
      </c>
      <c r="G713">
        <v>1345.8537598</v>
      </c>
      <c r="H713">
        <v>1341.1281738</v>
      </c>
      <c r="I713">
        <v>1320.9248047000001</v>
      </c>
      <c r="J713">
        <v>1315.8007812000001</v>
      </c>
      <c r="K713">
        <v>550</v>
      </c>
      <c r="L713">
        <v>0</v>
      </c>
      <c r="M713">
        <v>0</v>
      </c>
      <c r="N713">
        <v>550</v>
      </c>
    </row>
    <row r="714" spans="1:14" x14ac:dyDescent="0.25">
      <c r="A714">
        <v>735.32288100000005</v>
      </c>
      <c r="B714" s="1">
        <f>DATE(2012,5,5) + TIME(7,44,56)</f>
        <v>41034.322870370372</v>
      </c>
      <c r="C714">
        <v>80</v>
      </c>
      <c r="D714">
        <v>76.828536987000007</v>
      </c>
      <c r="E714">
        <v>40</v>
      </c>
      <c r="F714">
        <v>39.547225951999998</v>
      </c>
      <c r="G714">
        <v>1345.8626709</v>
      </c>
      <c r="H714">
        <v>1341.1402588000001</v>
      </c>
      <c r="I714">
        <v>1320.9254149999999</v>
      </c>
      <c r="J714">
        <v>1315.7994385</v>
      </c>
      <c r="K714">
        <v>550</v>
      </c>
      <c r="L714">
        <v>0</v>
      </c>
      <c r="M714">
        <v>0</v>
      </c>
      <c r="N714">
        <v>550</v>
      </c>
    </row>
    <row r="715" spans="1:14" x14ac:dyDescent="0.25">
      <c r="A715">
        <v>735.56305199999997</v>
      </c>
      <c r="B715" s="1">
        <f>DATE(2012,5,5) + TIME(13,30,47)</f>
        <v>41034.563043981485</v>
      </c>
      <c r="C715">
        <v>80</v>
      </c>
      <c r="D715">
        <v>77.113609314000001</v>
      </c>
      <c r="E715">
        <v>40</v>
      </c>
      <c r="F715">
        <v>39.530212401999997</v>
      </c>
      <c r="G715">
        <v>1345.8717041</v>
      </c>
      <c r="H715">
        <v>1341.1520995999999</v>
      </c>
      <c r="I715">
        <v>1320.9259033000001</v>
      </c>
      <c r="J715">
        <v>1315.7980957</v>
      </c>
      <c r="K715">
        <v>550</v>
      </c>
      <c r="L715">
        <v>0</v>
      </c>
      <c r="M715">
        <v>0</v>
      </c>
      <c r="N715">
        <v>550</v>
      </c>
    </row>
    <row r="716" spans="1:14" x14ac:dyDescent="0.25">
      <c r="A716">
        <v>735.81428800000003</v>
      </c>
      <c r="B716" s="1">
        <f>DATE(2012,5,5) + TIME(19,32,34)</f>
        <v>41034.814282407409</v>
      </c>
      <c r="C716">
        <v>80</v>
      </c>
      <c r="D716">
        <v>77.382690429999997</v>
      </c>
      <c r="E716">
        <v>40</v>
      </c>
      <c r="F716">
        <v>39.512630463000001</v>
      </c>
      <c r="G716">
        <v>1345.8808594</v>
      </c>
      <c r="H716">
        <v>1341.1636963000001</v>
      </c>
      <c r="I716">
        <v>1320.9265137</v>
      </c>
      <c r="J716">
        <v>1315.7966309000001</v>
      </c>
      <c r="K716">
        <v>550</v>
      </c>
      <c r="L716">
        <v>0</v>
      </c>
      <c r="M716">
        <v>0</v>
      </c>
      <c r="N716">
        <v>550</v>
      </c>
    </row>
    <row r="717" spans="1:14" x14ac:dyDescent="0.25">
      <c r="A717">
        <v>736.07751299999995</v>
      </c>
      <c r="B717" s="1">
        <f>DATE(2012,5,6) + TIME(1,51,37)</f>
        <v>41035.077511574076</v>
      </c>
      <c r="C717">
        <v>80</v>
      </c>
      <c r="D717">
        <v>77.635787964000002</v>
      </c>
      <c r="E717">
        <v>40</v>
      </c>
      <c r="F717">
        <v>39.494441985999998</v>
      </c>
      <c r="G717">
        <v>1345.8900146000001</v>
      </c>
      <c r="H717">
        <v>1341.1746826000001</v>
      </c>
      <c r="I717">
        <v>1320.9270019999999</v>
      </c>
      <c r="J717">
        <v>1315.7950439000001</v>
      </c>
      <c r="K717">
        <v>550</v>
      </c>
      <c r="L717">
        <v>0</v>
      </c>
      <c r="M717">
        <v>0</v>
      </c>
      <c r="N717">
        <v>550</v>
      </c>
    </row>
    <row r="718" spans="1:14" x14ac:dyDescent="0.25">
      <c r="A718">
        <v>736.35375499999998</v>
      </c>
      <c r="B718" s="1">
        <f>DATE(2012,5,6) + TIME(8,29,24)</f>
        <v>41035.353750000002</v>
      </c>
      <c r="C718">
        <v>80</v>
      </c>
      <c r="D718">
        <v>77.872940063000001</v>
      </c>
      <c r="E718">
        <v>40</v>
      </c>
      <c r="F718">
        <v>39.475593566999997</v>
      </c>
      <c r="G718">
        <v>1345.8990478999999</v>
      </c>
      <c r="H718">
        <v>1341.1853027</v>
      </c>
      <c r="I718">
        <v>1320.9274902</v>
      </c>
      <c r="J718">
        <v>1315.793457</v>
      </c>
      <c r="K718">
        <v>550</v>
      </c>
      <c r="L718">
        <v>0</v>
      </c>
      <c r="M718">
        <v>0</v>
      </c>
      <c r="N718">
        <v>550</v>
      </c>
    </row>
    <row r="719" spans="1:14" x14ac:dyDescent="0.25">
      <c r="A719">
        <v>736.64416900000003</v>
      </c>
      <c r="B719" s="1">
        <f>DATE(2012,5,6) + TIME(15,27,36)</f>
        <v>41035.644166666665</v>
      </c>
      <c r="C719">
        <v>80</v>
      </c>
      <c r="D719">
        <v>78.094238281000003</v>
      </c>
      <c r="E719">
        <v>40</v>
      </c>
      <c r="F719">
        <v>39.456027984999999</v>
      </c>
      <c r="G719">
        <v>1345.9078368999999</v>
      </c>
      <c r="H719">
        <v>1341.1953125</v>
      </c>
      <c r="I719">
        <v>1320.9279785000001</v>
      </c>
      <c r="J719">
        <v>1315.7917480000001</v>
      </c>
      <c r="K719">
        <v>550</v>
      </c>
      <c r="L719">
        <v>0</v>
      </c>
      <c r="M719">
        <v>0</v>
      </c>
      <c r="N719">
        <v>550</v>
      </c>
    </row>
    <row r="720" spans="1:14" x14ac:dyDescent="0.25">
      <c r="A720">
        <v>736.95005900000001</v>
      </c>
      <c r="B720" s="1">
        <f>DATE(2012,5,6) + TIME(22,48,5)</f>
        <v>41035.950057870374</v>
      </c>
      <c r="C720">
        <v>80</v>
      </c>
      <c r="D720">
        <v>78.299804687999995</v>
      </c>
      <c r="E720">
        <v>40</v>
      </c>
      <c r="F720">
        <v>39.435691833</v>
      </c>
      <c r="G720">
        <v>1345.9163818</v>
      </c>
      <c r="H720">
        <v>1341.2045897999999</v>
      </c>
      <c r="I720">
        <v>1320.9284668</v>
      </c>
      <c r="J720">
        <v>1315.7900391000001</v>
      </c>
      <c r="K720">
        <v>550</v>
      </c>
      <c r="L720">
        <v>0</v>
      </c>
      <c r="M720">
        <v>0</v>
      </c>
      <c r="N720">
        <v>550</v>
      </c>
    </row>
    <row r="721" spans="1:14" x14ac:dyDescent="0.25">
      <c r="A721">
        <v>737.27289900000005</v>
      </c>
      <c r="B721" s="1">
        <f>DATE(2012,5,7) + TIME(6,32,58)</f>
        <v>41036.272893518515</v>
      </c>
      <c r="C721">
        <v>80</v>
      </c>
      <c r="D721">
        <v>78.489845275999997</v>
      </c>
      <c r="E721">
        <v>40</v>
      </c>
      <c r="F721">
        <v>39.414508820000002</v>
      </c>
      <c r="G721">
        <v>1345.9243164</v>
      </c>
      <c r="H721">
        <v>1341.2132568</v>
      </c>
      <c r="I721">
        <v>1320.9288329999999</v>
      </c>
      <c r="J721">
        <v>1315.7880858999999</v>
      </c>
      <c r="K721">
        <v>550</v>
      </c>
      <c r="L721">
        <v>0</v>
      </c>
      <c r="M721">
        <v>0</v>
      </c>
      <c r="N721">
        <v>550</v>
      </c>
    </row>
    <row r="722" spans="1:14" x14ac:dyDescent="0.25">
      <c r="A722">
        <v>737.61436700000002</v>
      </c>
      <c r="B722" s="1">
        <f>DATE(2012,5,7) + TIME(14,44,41)</f>
        <v>41036.614363425928</v>
      </c>
      <c r="C722">
        <v>80</v>
      </c>
      <c r="D722">
        <v>78.664588928000001</v>
      </c>
      <c r="E722">
        <v>40</v>
      </c>
      <c r="F722">
        <v>39.392402648999997</v>
      </c>
      <c r="G722">
        <v>1345.9316406</v>
      </c>
      <c r="H722">
        <v>1341.2210693</v>
      </c>
      <c r="I722">
        <v>1320.9291992000001</v>
      </c>
      <c r="J722">
        <v>1315.7861327999999</v>
      </c>
      <c r="K722">
        <v>550</v>
      </c>
      <c r="L722">
        <v>0</v>
      </c>
      <c r="M722">
        <v>0</v>
      </c>
      <c r="N722">
        <v>550</v>
      </c>
    </row>
    <row r="723" spans="1:14" x14ac:dyDescent="0.25">
      <c r="A723">
        <v>737.97661200000005</v>
      </c>
      <c r="B723" s="1">
        <f>DATE(2012,5,7) + TIME(23,26,19)</f>
        <v>41036.9766087963</v>
      </c>
      <c r="C723">
        <v>80</v>
      </c>
      <c r="D723">
        <v>78.824440002000003</v>
      </c>
      <c r="E723">
        <v>40</v>
      </c>
      <c r="F723">
        <v>39.369270325000002</v>
      </c>
      <c r="G723">
        <v>1345.9383545000001</v>
      </c>
      <c r="H723">
        <v>1341.2281493999999</v>
      </c>
      <c r="I723">
        <v>1320.9294434000001</v>
      </c>
      <c r="J723">
        <v>1315.7840576000001</v>
      </c>
      <c r="K723">
        <v>550</v>
      </c>
      <c r="L723">
        <v>0</v>
      </c>
      <c r="M723">
        <v>0</v>
      </c>
      <c r="N723">
        <v>550</v>
      </c>
    </row>
    <row r="724" spans="1:14" x14ac:dyDescent="0.25">
      <c r="A724">
        <v>738.36170100000004</v>
      </c>
      <c r="B724" s="1">
        <f>DATE(2012,5,8) + TIME(8,40,50)</f>
        <v>41037.361689814818</v>
      </c>
      <c r="C724">
        <v>80</v>
      </c>
      <c r="D724">
        <v>78.969680785999998</v>
      </c>
      <c r="E724">
        <v>40</v>
      </c>
      <c r="F724">
        <v>39.345020294000001</v>
      </c>
      <c r="G724">
        <v>1345.9440918</v>
      </c>
      <c r="H724">
        <v>1341.2341309000001</v>
      </c>
      <c r="I724">
        <v>1320.9296875</v>
      </c>
      <c r="J724">
        <v>1315.7818603999999</v>
      </c>
      <c r="K724">
        <v>550</v>
      </c>
      <c r="L724">
        <v>0</v>
      </c>
      <c r="M724">
        <v>0</v>
      </c>
      <c r="N724">
        <v>550</v>
      </c>
    </row>
    <row r="725" spans="1:14" x14ac:dyDescent="0.25">
      <c r="A725">
        <v>738.77217399999995</v>
      </c>
      <c r="B725" s="1">
        <f>DATE(2012,5,8) + TIME(18,31,55)</f>
        <v>41037.772164351853</v>
      </c>
      <c r="C725">
        <v>80</v>
      </c>
      <c r="D725">
        <v>79.100730896000002</v>
      </c>
      <c r="E725">
        <v>40</v>
      </c>
      <c r="F725">
        <v>39.319534302000001</v>
      </c>
      <c r="G725">
        <v>1345.9489745999999</v>
      </c>
      <c r="H725">
        <v>1341.2392577999999</v>
      </c>
      <c r="I725">
        <v>1320.9298096</v>
      </c>
      <c r="J725">
        <v>1315.7794189000001</v>
      </c>
      <c r="K725">
        <v>550</v>
      </c>
      <c r="L725">
        <v>0</v>
      </c>
      <c r="M725">
        <v>0</v>
      </c>
      <c r="N725">
        <v>550</v>
      </c>
    </row>
    <row r="726" spans="1:14" x14ac:dyDescent="0.25">
      <c r="A726">
        <v>739.21103900000003</v>
      </c>
      <c r="B726" s="1">
        <f>DATE(2012,5,9) + TIME(5,3,53)</f>
        <v>41038.211030092592</v>
      </c>
      <c r="C726">
        <v>80</v>
      </c>
      <c r="D726">
        <v>79.218086243000002</v>
      </c>
      <c r="E726">
        <v>40</v>
      </c>
      <c r="F726">
        <v>39.292678832999997</v>
      </c>
      <c r="G726">
        <v>1345.9527588000001</v>
      </c>
      <c r="H726">
        <v>1341.2431641000001</v>
      </c>
      <c r="I726">
        <v>1320.9299315999999</v>
      </c>
      <c r="J726">
        <v>1315.7768555</v>
      </c>
      <c r="K726">
        <v>550</v>
      </c>
      <c r="L726">
        <v>0</v>
      </c>
      <c r="M726">
        <v>0</v>
      </c>
      <c r="N726">
        <v>550</v>
      </c>
    </row>
    <row r="727" spans="1:14" x14ac:dyDescent="0.25">
      <c r="A727">
        <v>739.68183199999999</v>
      </c>
      <c r="B727" s="1">
        <f>DATE(2012,5,9) + TIME(16,21,50)</f>
        <v>41038.681828703702</v>
      </c>
      <c r="C727">
        <v>80</v>
      </c>
      <c r="D727">
        <v>79.322319031000006</v>
      </c>
      <c r="E727">
        <v>40</v>
      </c>
      <c r="F727">
        <v>39.264297485</v>
      </c>
      <c r="G727">
        <v>1345.9552002</v>
      </c>
      <c r="H727">
        <v>1341.2459716999999</v>
      </c>
      <c r="I727">
        <v>1320.9299315999999</v>
      </c>
      <c r="J727">
        <v>1315.7740478999999</v>
      </c>
      <c r="K727">
        <v>550</v>
      </c>
      <c r="L727">
        <v>0</v>
      </c>
      <c r="M727">
        <v>0</v>
      </c>
      <c r="N727">
        <v>550</v>
      </c>
    </row>
    <row r="728" spans="1:14" x14ac:dyDescent="0.25">
      <c r="A728">
        <v>740.16040099999998</v>
      </c>
      <c r="B728" s="1">
        <f>DATE(2012,5,10) + TIME(3,50,58)</f>
        <v>41039.160393518519</v>
      </c>
      <c r="C728">
        <v>80</v>
      </c>
      <c r="D728">
        <v>79.409820557000003</v>
      </c>
      <c r="E728">
        <v>40</v>
      </c>
      <c r="F728">
        <v>39.235694885000001</v>
      </c>
      <c r="G728">
        <v>1345.9573975000001</v>
      </c>
      <c r="H728">
        <v>1341.2480469</v>
      </c>
      <c r="I728">
        <v>1320.9296875</v>
      </c>
      <c r="J728">
        <v>1315.7711182</v>
      </c>
      <c r="K728">
        <v>550</v>
      </c>
      <c r="L728">
        <v>0</v>
      </c>
      <c r="M728">
        <v>0</v>
      </c>
      <c r="N728">
        <v>550</v>
      </c>
    </row>
    <row r="729" spans="1:14" x14ac:dyDescent="0.25">
      <c r="A729">
        <v>740.64711699999998</v>
      </c>
      <c r="B729" s="1">
        <f>DATE(2012,5,10) + TIME(15,31,50)</f>
        <v>41039.647106481483</v>
      </c>
      <c r="C729">
        <v>80</v>
      </c>
      <c r="D729">
        <v>79.483139038000004</v>
      </c>
      <c r="E729">
        <v>40</v>
      </c>
      <c r="F729">
        <v>39.206851958999998</v>
      </c>
      <c r="G729">
        <v>1345.9578856999999</v>
      </c>
      <c r="H729">
        <v>1341.2489014</v>
      </c>
      <c r="I729">
        <v>1320.9295654</v>
      </c>
      <c r="J729">
        <v>1315.7680664</v>
      </c>
      <c r="K729">
        <v>550</v>
      </c>
      <c r="L729">
        <v>0</v>
      </c>
      <c r="M729">
        <v>0</v>
      </c>
      <c r="N729">
        <v>550</v>
      </c>
    </row>
    <row r="730" spans="1:14" x14ac:dyDescent="0.25">
      <c r="A730">
        <v>741.14342199999999</v>
      </c>
      <c r="B730" s="1">
        <f>DATE(2012,5,11) + TIME(3,26,31)</f>
        <v>41040.143414351849</v>
      </c>
      <c r="C730">
        <v>80</v>
      </c>
      <c r="D730">
        <v>79.544540405000006</v>
      </c>
      <c r="E730">
        <v>40</v>
      </c>
      <c r="F730">
        <v>39.177696228000002</v>
      </c>
      <c r="G730">
        <v>1345.9569091999999</v>
      </c>
      <c r="H730">
        <v>1341.2484131000001</v>
      </c>
      <c r="I730">
        <v>1320.9291992000001</v>
      </c>
      <c r="J730">
        <v>1315.7650146000001</v>
      </c>
      <c r="K730">
        <v>550</v>
      </c>
      <c r="L730">
        <v>0</v>
      </c>
      <c r="M730">
        <v>0</v>
      </c>
      <c r="N730">
        <v>550</v>
      </c>
    </row>
    <row r="731" spans="1:14" x14ac:dyDescent="0.25">
      <c r="A731">
        <v>741.65097800000001</v>
      </c>
      <c r="B731" s="1">
        <f>DATE(2012,5,11) + TIME(15,37,24)</f>
        <v>41040.650972222225</v>
      </c>
      <c r="C731">
        <v>80</v>
      </c>
      <c r="D731">
        <v>79.595954895000006</v>
      </c>
      <c r="E731">
        <v>40</v>
      </c>
      <c r="F731">
        <v>39.148147582999997</v>
      </c>
      <c r="G731">
        <v>1345.9544678</v>
      </c>
      <c r="H731">
        <v>1341.2467041</v>
      </c>
      <c r="I731">
        <v>1320.9287108999999</v>
      </c>
      <c r="J731">
        <v>1315.7617187999999</v>
      </c>
      <c r="K731">
        <v>550</v>
      </c>
      <c r="L731">
        <v>0</v>
      </c>
      <c r="M731">
        <v>0</v>
      </c>
      <c r="N731">
        <v>550</v>
      </c>
    </row>
    <row r="732" spans="1:14" x14ac:dyDescent="0.25">
      <c r="A732">
        <v>742.17136800000003</v>
      </c>
      <c r="B732" s="1">
        <f>DATE(2012,5,12) + TIME(4,6,46)</f>
        <v>41041.171365740738</v>
      </c>
      <c r="C732">
        <v>80</v>
      </c>
      <c r="D732">
        <v>79.638954162999994</v>
      </c>
      <c r="E732">
        <v>40</v>
      </c>
      <c r="F732">
        <v>39.118122100999997</v>
      </c>
      <c r="G732">
        <v>1345.9506836</v>
      </c>
      <c r="H732">
        <v>1341.2441406</v>
      </c>
      <c r="I732">
        <v>1320.9282227000001</v>
      </c>
      <c r="J732">
        <v>1315.7584228999999</v>
      </c>
      <c r="K732">
        <v>550</v>
      </c>
      <c r="L732">
        <v>0</v>
      </c>
      <c r="M732">
        <v>0</v>
      </c>
      <c r="N732">
        <v>550</v>
      </c>
    </row>
    <row r="733" spans="1:14" x14ac:dyDescent="0.25">
      <c r="A733">
        <v>742.70170599999994</v>
      </c>
      <c r="B733" s="1">
        <f>DATE(2012,5,12) + TIME(16,50,27)</f>
        <v>41041.701701388891</v>
      </c>
      <c r="C733">
        <v>80</v>
      </c>
      <c r="D733">
        <v>79.674621582</v>
      </c>
      <c r="E733">
        <v>40</v>
      </c>
      <c r="F733">
        <v>39.087776183999999</v>
      </c>
      <c r="G733">
        <v>1345.9456786999999</v>
      </c>
      <c r="H733">
        <v>1341.2404785000001</v>
      </c>
      <c r="I733">
        <v>1320.9276123</v>
      </c>
      <c r="J733">
        <v>1315.7550048999999</v>
      </c>
      <c r="K733">
        <v>550</v>
      </c>
      <c r="L733">
        <v>0</v>
      </c>
      <c r="M733">
        <v>0</v>
      </c>
      <c r="N733">
        <v>550</v>
      </c>
    </row>
    <row r="734" spans="1:14" x14ac:dyDescent="0.25">
      <c r="A734">
        <v>743.242841</v>
      </c>
      <c r="B734" s="1">
        <f>DATE(2012,5,13) + TIME(5,49,41)</f>
        <v>41042.242835648147</v>
      </c>
      <c r="C734">
        <v>80</v>
      </c>
      <c r="D734">
        <v>79.704170227000006</v>
      </c>
      <c r="E734">
        <v>40</v>
      </c>
      <c r="F734">
        <v>39.057071686</v>
      </c>
      <c r="G734">
        <v>1345.9395752</v>
      </c>
      <c r="H734">
        <v>1341.2359618999999</v>
      </c>
      <c r="I734">
        <v>1320.9270019999999</v>
      </c>
      <c r="J734">
        <v>1315.7513428</v>
      </c>
      <c r="K734">
        <v>550</v>
      </c>
      <c r="L734">
        <v>0</v>
      </c>
      <c r="M734">
        <v>0</v>
      </c>
      <c r="N734">
        <v>550</v>
      </c>
    </row>
    <row r="735" spans="1:14" x14ac:dyDescent="0.25">
      <c r="A735">
        <v>743.79602</v>
      </c>
      <c r="B735" s="1">
        <f>DATE(2012,5,13) + TIME(19,6,16)</f>
        <v>41042.796018518522</v>
      </c>
      <c r="C735">
        <v>80</v>
      </c>
      <c r="D735">
        <v>79.728637695000003</v>
      </c>
      <c r="E735">
        <v>40</v>
      </c>
      <c r="F735">
        <v>39.025951384999999</v>
      </c>
      <c r="G735">
        <v>1345.9323730000001</v>
      </c>
      <c r="H735">
        <v>1341.2307129000001</v>
      </c>
      <c r="I735">
        <v>1320.9261475000001</v>
      </c>
      <c r="J735">
        <v>1315.7476807</v>
      </c>
      <c r="K735">
        <v>550</v>
      </c>
      <c r="L735">
        <v>0</v>
      </c>
      <c r="M735">
        <v>0</v>
      </c>
      <c r="N735">
        <v>550</v>
      </c>
    </row>
    <row r="736" spans="1:14" x14ac:dyDescent="0.25">
      <c r="A736">
        <v>744.36261300000001</v>
      </c>
      <c r="B736" s="1">
        <f>DATE(2012,5,14) + TIME(8,42,9)</f>
        <v>41043.362604166665</v>
      </c>
      <c r="C736">
        <v>80</v>
      </c>
      <c r="D736">
        <v>79.748893738000007</v>
      </c>
      <c r="E736">
        <v>40</v>
      </c>
      <c r="F736">
        <v>38.994354248</v>
      </c>
      <c r="G736">
        <v>1345.9241943</v>
      </c>
      <c r="H736">
        <v>1341.2248535000001</v>
      </c>
      <c r="I736">
        <v>1320.925293</v>
      </c>
      <c r="J736">
        <v>1315.7438964999999</v>
      </c>
      <c r="K736">
        <v>550</v>
      </c>
      <c r="L736">
        <v>0</v>
      </c>
      <c r="M736">
        <v>0</v>
      </c>
      <c r="N736">
        <v>550</v>
      </c>
    </row>
    <row r="737" spans="1:14" x14ac:dyDescent="0.25">
      <c r="A737">
        <v>744.94409499999995</v>
      </c>
      <c r="B737" s="1">
        <f>DATE(2012,5,14) + TIME(22,39,29)</f>
        <v>41043.944085648145</v>
      </c>
      <c r="C737">
        <v>80</v>
      </c>
      <c r="D737">
        <v>79.765640258999994</v>
      </c>
      <c r="E737">
        <v>40</v>
      </c>
      <c r="F737">
        <v>38.962219238000003</v>
      </c>
      <c r="G737">
        <v>1345.9150391000001</v>
      </c>
      <c r="H737">
        <v>1341.2181396000001</v>
      </c>
      <c r="I737">
        <v>1320.9244385</v>
      </c>
      <c r="J737">
        <v>1315.7398682</v>
      </c>
      <c r="K737">
        <v>550</v>
      </c>
      <c r="L737">
        <v>0</v>
      </c>
      <c r="M737">
        <v>0</v>
      </c>
      <c r="N737">
        <v>550</v>
      </c>
    </row>
    <row r="738" spans="1:14" x14ac:dyDescent="0.25">
      <c r="A738">
        <v>745.54206499999998</v>
      </c>
      <c r="B738" s="1">
        <f>DATE(2012,5,15) + TIME(13,0,34)</f>
        <v>41044.542060185187</v>
      </c>
      <c r="C738">
        <v>80</v>
      </c>
      <c r="D738">
        <v>79.779479980000005</v>
      </c>
      <c r="E738">
        <v>40</v>
      </c>
      <c r="F738">
        <v>38.929473877</v>
      </c>
      <c r="G738">
        <v>1345.9050293</v>
      </c>
      <c r="H738">
        <v>1341.2109375</v>
      </c>
      <c r="I738">
        <v>1320.9233397999999</v>
      </c>
      <c r="J738">
        <v>1315.7357178</v>
      </c>
      <c r="K738">
        <v>550</v>
      </c>
      <c r="L738">
        <v>0</v>
      </c>
      <c r="M738">
        <v>0</v>
      </c>
      <c r="N738">
        <v>550</v>
      </c>
    </row>
    <row r="739" spans="1:14" x14ac:dyDescent="0.25">
      <c r="A739">
        <v>746.15853700000002</v>
      </c>
      <c r="B739" s="1">
        <f>DATE(2012,5,16) + TIME(3,48,17)</f>
        <v>41045.158530092594</v>
      </c>
      <c r="C739">
        <v>80</v>
      </c>
      <c r="D739">
        <v>79.790916443</v>
      </c>
      <c r="E739">
        <v>40</v>
      </c>
      <c r="F739">
        <v>38.896041869999998</v>
      </c>
      <c r="G739">
        <v>1345.8941649999999</v>
      </c>
      <c r="H739">
        <v>1341.203125</v>
      </c>
      <c r="I739">
        <v>1320.9222411999999</v>
      </c>
      <c r="J739">
        <v>1315.7314452999999</v>
      </c>
      <c r="K739">
        <v>550</v>
      </c>
      <c r="L739">
        <v>0</v>
      </c>
      <c r="M739">
        <v>0</v>
      </c>
      <c r="N739">
        <v>550</v>
      </c>
    </row>
    <row r="740" spans="1:14" x14ac:dyDescent="0.25">
      <c r="A740">
        <v>746.79564400000004</v>
      </c>
      <c r="B740" s="1">
        <f>DATE(2012,5,16) + TIME(19,5,43)</f>
        <v>41045.795636574076</v>
      </c>
      <c r="C740">
        <v>80</v>
      </c>
      <c r="D740">
        <v>79.800361632999994</v>
      </c>
      <c r="E740">
        <v>40</v>
      </c>
      <c r="F740">
        <v>38.861831664999997</v>
      </c>
      <c r="G740">
        <v>1345.8824463000001</v>
      </c>
      <c r="H740">
        <v>1341.1947021000001</v>
      </c>
      <c r="I740">
        <v>1320.9210204999999</v>
      </c>
      <c r="J740">
        <v>1315.7269286999999</v>
      </c>
      <c r="K740">
        <v>550</v>
      </c>
      <c r="L740">
        <v>0</v>
      </c>
      <c r="M740">
        <v>0</v>
      </c>
      <c r="N740">
        <v>550</v>
      </c>
    </row>
    <row r="741" spans="1:14" x14ac:dyDescent="0.25">
      <c r="A741">
        <v>747.45356100000004</v>
      </c>
      <c r="B741" s="1">
        <f>DATE(2012,5,17) + TIME(10,53,7)</f>
        <v>41046.453553240739</v>
      </c>
      <c r="C741">
        <v>80</v>
      </c>
      <c r="D741">
        <v>79.808143615999995</v>
      </c>
      <c r="E741">
        <v>40</v>
      </c>
      <c r="F741">
        <v>38.826847076</v>
      </c>
      <c r="G741">
        <v>1345.8699951000001</v>
      </c>
      <c r="H741">
        <v>1341.1857910000001</v>
      </c>
      <c r="I741">
        <v>1320.9196777</v>
      </c>
      <c r="J741">
        <v>1315.722168</v>
      </c>
      <c r="K741">
        <v>550</v>
      </c>
      <c r="L741">
        <v>0</v>
      </c>
      <c r="M741">
        <v>0</v>
      </c>
      <c r="N741">
        <v>550</v>
      </c>
    </row>
    <row r="742" spans="1:14" x14ac:dyDescent="0.25">
      <c r="A742">
        <v>748.12886100000003</v>
      </c>
      <c r="B742" s="1">
        <f>DATE(2012,5,18) + TIME(3,5,33)</f>
        <v>41047.128854166665</v>
      </c>
      <c r="C742">
        <v>80</v>
      </c>
      <c r="D742">
        <v>79.814514160000002</v>
      </c>
      <c r="E742">
        <v>40</v>
      </c>
      <c r="F742">
        <v>38.791263579999999</v>
      </c>
      <c r="G742">
        <v>1345.8569336</v>
      </c>
      <c r="H742">
        <v>1341.1765137</v>
      </c>
      <c r="I742">
        <v>1320.9182129000001</v>
      </c>
      <c r="J742">
        <v>1315.7171631000001</v>
      </c>
      <c r="K742">
        <v>550</v>
      </c>
      <c r="L742">
        <v>0</v>
      </c>
      <c r="M742">
        <v>0</v>
      </c>
      <c r="N742">
        <v>550</v>
      </c>
    </row>
    <row r="743" spans="1:14" x14ac:dyDescent="0.25">
      <c r="A743">
        <v>748.82336999999995</v>
      </c>
      <c r="B743" s="1">
        <f>DATE(2012,5,18) + TIME(19,45,39)</f>
        <v>41047.823368055557</v>
      </c>
      <c r="C743">
        <v>80</v>
      </c>
      <c r="D743">
        <v>79.819732665999993</v>
      </c>
      <c r="E743">
        <v>40</v>
      </c>
      <c r="F743">
        <v>38.755008697999997</v>
      </c>
      <c r="G743">
        <v>1345.8431396000001</v>
      </c>
      <c r="H743">
        <v>1341.1667480000001</v>
      </c>
      <c r="I743">
        <v>1320.916626</v>
      </c>
      <c r="J743">
        <v>1315.7120361</v>
      </c>
      <c r="K743">
        <v>550</v>
      </c>
      <c r="L743">
        <v>0</v>
      </c>
      <c r="M743">
        <v>0</v>
      </c>
      <c r="N743">
        <v>550</v>
      </c>
    </row>
    <row r="744" spans="1:14" x14ac:dyDescent="0.25">
      <c r="A744">
        <v>749.53886</v>
      </c>
      <c r="B744" s="1">
        <f>DATE(2012,5,19) + TIME(12,55,57)</f>
        <v>41048.538854166669</v>
      </c>
      <c r="C744">
        <v>80</v>
      </c>
      <c r="D744">
        <v>79.824020386000001</v>
      </c>
      <c r="E744">
        <v>40</v>
      </c>
      <c r="F744">
        <v>38.718025208</v>
      </c>
      <c r="G744">
        <v>1345.8287353999999</v>
      </c>
      <c r="H744">
        <v>1341.1566161999999</v>
      </c>
      <c r="I744">
        <v>1320.9149170000001</v>
      </c>
      <c r="J744">
        <v>1315.7066649999999</v>
      </c>
      <c r="K744">
        <v>550</v>
      </c>
      <c r="L744">
        <v>0</v>
      </c>
      <c r="M744">
        <v>0</v>
      </c>
      <c r="N744">
        <v>550</v>
      </c>
    </row>
    <row r="745" spans="1:14" x14ac:dyDescent="0.25">
      <c r="A745">
        <v>750.27729899999997</v>
      </c>
      <c r="B745" s="1">
        <f>DATE(2012,5,20) + TIME(6,39,18)</f>
        <v>41049.277291666665</v>
      </c>
      <c r="C745">
        <v>80</v>
      </c>
      <c r="D745">
        <v>79.827545165999993</v>
      </c>
      <c r="E745">
        <v>40</v>
      </c>
      <c r="F745">
        <v>38.680248259999999</v>
      </c>
      <c r="G745">
        <v>1345.8138428</v>
      </c>
      <c r="H745">
        <v>1341.1461182</v>
      </c>
      <c r="I745">
        <v>1320.9132079999999</v>
      </c>
      <c r="J745">
        <v>1315.7009277</v>
      </c>
      <c r="K745">
        <v>550</v>
      </c>
      <c r="L745">
        <v>0</v>
      </c>
      <c r="M745">
        <v>0</v>
      </c>
      <c r="N745">
        <v>550</v>
      </c>
    </row>
    <row r="746" spans="1:14" x14ac:dyDescent="0.25">
      <c r="A746">
        <v>751.04141600000003</v>
      </c>
      <c r="B746" s="1">
        <f>DATE(2012,5,21) + TIME(0,59,38)</f>
        <v>41050.041412037041</v>
      </c>
      <c r="C746">
        <v>80</v>
      </c>
      <c r="D746">
        <v>79.830451964999995</v>
      </c>
      <c r="E746">
        <v>40</v>
      </c>
      <c r="F746">
        <v>38.641582489000001</v>
      </c>
      <c r="G746">
        <v>1345.7983397999999</v>
      </c>
      <c r="H746">
        <v>1341.1352539</v>
      </c>
      <c r="I746">
        <v>1320.9112548999999</v>
      </c>
      <c r="J746">
        <v>1315.6950684000001</v>
      </c>
      <c r="K746">
        <v>550</v>
      </c>
      <c r="L746">
        <v>0</v>
      </c>
      <c r="M746">
        <v>0</v>
      </c>
      <c r="N746">
        <v>550</v>
      </c>
    </row>
    <row r="747" spans="1:14" x14ac:dyDescent="0.25">
      <c r="A747">
        <v>751.833932</v>
      </c>
      <c r="B747" s="1">
        <f>DATE(2012,5,21) + TIME(20,0,51)</f>
        <v>41050.833923611113</v>
      </c>
      <c r="C747">
        <v>80</v>
      </c>
      <c r="D747">
        <v>79.832862853999998</v>
      </c>
      <c r="E747">
        <v>40</v>
      </c>
      <c r="F747">
        <v>38.601940155000001</v>
      </c>
      <c r="G747">
        <v>1345.7823486</v>
      </c>
      <c r="H747">
        <v>1341.1240233999999</v>
      </c>
      <c r="I747">
        <v>1320.9093018000001</v>
      </c>
      <c r="J747">
        <v>1315.6888428</v>
      </c>
      <c r="K747">
        <v>550</v>
      </c>
      <c r="L747">
        <v>0</v>
      </c>
      <c r="M747">
        <v>0</v>
      </c>
      <c r="N747">
        <v>550</v>
      </c>
    </row>
    <row r="748" spans="1:14" x14ac:dyDescent="0.25">
      <c r="A748">
        <v>752.65777600000001</v>
      </c>
      <c r="B748" s="1">
        <f>DATE(2012,5,22) + TIME(15,47,11)</f>
        <v>41051.657766203702</v>
      </c>
      <c r="C748">
        <v>80</v>
      </c>
      <c r="D748">
        <v>79.834861755000006</v>
      </c>
      <c r="E748">
        <v>40</v>
      </c>
      <c r="F748">
        <v>38.561225890999999</v>
      </c>
      <c r="G748">
        <v>1345.7657471</v>
      </c>
      <c r="H748">
        <v>1341.1125488</v>
      </c>
      <c r="I748">
        <v>1320.9071045000001</v>
      </c>
      <c r="J748">
        <v>1315.682251</v>
      </c>
      <c r="K748">
        <v>550</v>
      </c>
      <c r="L748">
        <v>0</v>
      </c>
      <c r="M748">
        <v>0</v>
      </c>
      <c r="N748">
        <v>550</v>
      </c>
    </row>
    <row r="749" spans="1:14" x14ac:dyDescent="0.25">
      <c r="A749">
        <v>753.51627699999995</v>
      </c>
      <c r="B749" s="1">
        <f>DATE(2012,5,23) + TIME(12,23,26)</f>
        <v>41052.516273148147</v>
      </c>
      <c r="C749">
        <v>80</v>
      </c>
      <c r="D749">
        <v>79.836524963000002</v>
      </c>
      <c r="E749">
        <v>40</v>
      </c>
      <c r="F749">
        <v>38.519340515000003</v>
      </c>
      <c r="G749">
        <v>1345.7485352000001</v>
      </c>
      <c r="H749">
        <v>1341.1007079999999</v>
      </c>
      <c r="I749">
        <v>1320.9047852000001</v>
      </c>
      <c r="J749">
        <v>1315.675293</v>
      </c>
      <c r="K749">
        <v>550</v>
      </c>
      <c r="L749">
        <v>0</v>
      </c>
      <c r="M749">
        <v>0</v>
      </c>
      <c r="N749">
        <v>550</v>
      </c>
    </row>
    <row r="750" spans="1:14" x14ac:dyDescent="0.25">
      <c r="A750">
        <v>754.41362700000002</v>
      </c>
      <c r="B750" s="1">
        <f>DATE(2012,5,24) + TIME(9,55,37)</f>
        <v>41053.413622685184</v>
      </c>
      <c r="C750">
        <v>80</v>
      </c>
      <c r="D750">
        <v>79.837913513000004</v>
      </c>
      <c r="E750">
        <v>40</v>
      </c>
      <c r="F750">
        <v>38.476154327000003</v>
      </c>
      <c r="G750">
        <v>1345.7307129000001</v>
      </c>
      <c r="H750">
        <v>1341.0883789</v>
      </c>
      <c r="I750">
        <v>1320.9023437999999</v>
      </c>
      <c r="J750">
        <v>1315.6679687999999</v>
      </c>
      <c r="K750">
        <v>550</v>
      </c>
      <c r="L750">
        <v>0</v>
      </c>
      <c r="M750">
        <v>0</v>
      </c>
      <c r="N750">
        <v>550</v>
      </c>
    </row>
    <row r="751" spans="1:14" x14ac:dyDescent="0.25">
      <c r="A751">
        <v>755.32867199999998</v>
      </c>
      <c r="B751" s="1">
        <f>DATE(2012,5,25) + TIME(7,53,17)</f>
        <v>41054.328668981485</v>
      </c>
      <c r="C751">
        <v>80</v>
      </c>
      <c r="D751">
        <v>79.839050293</v>
      </c>
      <c r="E751">
        <v>40</v>
      </c>
      <c r="F751">
        <v>38.432514191000003</v>
      </c>
      <c r="G751">
        <v>1345.7124022999999</v>
      </c>
      <c r="H751">
        <v>1341.0758057</v>
      </c>
      <c r="I751">
        <v>1320.8996582</v>
      </c>
      <c r="J751">
        <v>1315.6602783000001</v>
      </c>
      <c r="K751">
        <v>550</v>
      </c>
      <c r="L751">
        <v>0</v>
      </c>
      <c r="M751">
        <v>0</v>
      </c>
      <c r="N751">
        <v>550</v>
      </c>
    </row>
    <row r="752" spans="1:14" x14ac:dyDescent="0.25">
      <c r="A752">
        <v>756.26260200000002</v>
      </c>
      <c r="B752" s="1">
        <f>DATE(2012,5,26) + TIME(6,18,8)</f>
        <v>41055.262592592589</v>
      </c>
      <c r="C752">
        <v>80</v>
      </c>
      <c r="D752">
        <v>79.839981078999998</v>
      </c>
      <c r="E752">
        <v>40</v>
      </c>
      <c r="F752">
        <v>38.388423920000001</v>
      </c>
      <c r="G752">
        <v>1345.6938477000001</v>
      </c>
      <c r="H752">
        <v>1341.0631103999999</v>
      </c>
      <c r="I752">
        <v>1320.8968506000001</v>
      </c>
      <c r="J752">
        <v>1315.6522216999999</v>
      </c>
      <c r="K752">
        <v>550</v>
      </c>
      <c r="L752">
        <v>0</v>
      </c>
      <c r="M752">
        <v>0</v>
      </c>
      <c r="N752">
        <v>550</v>
      </c>
    </row>
    <row r="753" spans="1:14" x14ac:dyDescent="0.25">
      <c r="A753">
        <v>757.20508199999995</v>
      </c>
      <c r="B753" s="1">
        <f>DATE(2012,5,27) + TIME(4,55,19)</f>
        <v>41056.205081018517</v>
      </c>
      <c r="C753">
        <v>80</v>
      </c>
      <c r="D753">
        <v>79.840736389</v>
      </c>
      <c r="E753">
        <v>40</v>
      </c>
      <c r="F753">
        <v>38.344326019</v>
      </c>
      <c r="G753">
        <v>1345.675293</v>
      </c>
      <c r="H753">
        <v>1341.0504149999999</v>
      </c>
      <c r="I753">
        <v>1320.894043</v>
      </c>
      <c r="J753">
        <v>1315.6439209</v>
      </c>
      <c r="K753">
        <v>550</v>
      </c>
      <c r="L753">
        <v>0</v>
      </c>
      <c r="M753">
        <v>0</v>
      </c>
      <c r="N753">
        <v>550</v>
      </c>
    </row>
    <row r="754" spans="1:14" x14ac:dyDescent="0.25">
      <c r="A754">
        <v>758.15878699999996</v>
      </c>
      <c r="B754" s="1">
        <f>DATE(2012,5,28) + TIME(3,48,39)</f>
        <v>41057.158784722225</v>
      </c>
      <c r="C754">
        <v>80</v>
      </c>
      <c r="D754">
        <v>79.841362000000004</v>
      </c>
      <c r="E754">
        <v>40</v>
      </c>
      <c r="F754">
        <v>38.300170897999998</v>
      </c>
      <c r="G754">
        <v>1345.6567382999999</v>
      </c>
      <c r="H754">
        <v>1341.0377197</v>
      </c>
      <c r="I754">
        <v>1320.8909911999999</v>
      </c>
      <c r="J754">
        <v>1315.6354980000001</v>
      </c>
      <c r="K754">
        <v>550</v>
      </c>
      <c r="L754">
        <v>0</v>
      </c>
      <c r="M754">
        <v>0</v>
      </c>
      <c r="N754">
        <v>550</v>
      </c>
    </row>
    <row r="755" spans="1:14" x14ac:dyDescent="0.25">
      <c r="A755">
        <v>759.12634100000002</v>
      </c>
      <c r="B755" s="1">
        <f>DATE(2012,5,29) + TIME(3,1,55)</f>
        <v>41058.126331018517</v>
      </c>
      <c r="C755">
        <v>80</v>
      </c>
      <c r="D755">
        <v>79.841873168999996</v>
      </c>
      <c r="E755">
        <v>40</v>
      </c>
      <c r="F755">
        <v>38.255912780999999</v>
      </c>
      <c r="G755">
        <v>1345.6381836</v>
      </c>
      <c r="H755">
        <v>1341.0251464999999</v>
      </c>
      <c r="I755">
        <v>1320.8879394999999</v>
      </c>
      <c r="J755">
        <v>1315.6267089999999</v>
      </c>
      <c r="K755">
        <v>550</v>
      </c>
      <c r="L755">
        <v>0</v>
      </c>
      <c r="M755">
        <v>0</v>
      </c>
      <c r="N755">
        <v>550</v>
      </c>
    </row>
    <row r="756" spans="1:14" x14ac:dyDescent="0.25">
      <c r="A756">
        <v>760.11040200000002</v>
      </c>
      <c r="B756" s="1">
        <f>DATE(2012,5,30) + TIME(2,38,58)</f>
        <v>41059.110393518517</v>
      </c>
      <c r="C756">
        <v>80</v>
      </c>
      <c r="D756">
        <v>79.842300414999997</v>
      </c>
      <c r="E756">
        <v>40</v>
      </c>
      <c r="F756">
        <v>38.211502074999999</v>
      </c>
      <c r="G756">
        <v>1345.619751</v>
      </c>
      <c r="H756">
        <v>1341.0126952999999</v>
      </c>
      <c r="I756">
        <v>1320.8847656</v>
      </c>
      <c r="J756">
        <v>1315.6176757999999</v>
      </c>
      <c r="K756">
        <v>550</v>
      </c>
      <c r="L756">
        <v>0</v>
      </c>
      <c r="M756">
        <v>0</v>
      </c>
      <c r="N756">
        <v>550</v>
      </c>
    </row>
    <row r="757" spans="1:14" x14ac:dyDescent="0.25">
      <c r="A757">
        <v>761.11461899999995</v>
      </c>
      <c r="B757" s="1">
        <f>DATE(2012,5,31) + TIME(2,45,3)</f>
        <v>41060.114618055559</v>
      </c>
      <c r="C757">
        <v>80</v>
      </c>
      <c r="D757">
        <v>79.842651367000002</v>
      </c>
      <c r="E757">
        <v>40</v>
      </c>
      <c r="F757">
        <v>38.166858673</v>
      </c>
      <c r="G757">
        <v>1345.6011963000001</v>
      </c>
      <c r="H757">
        <v>1341.0002440999999</v>
      </c>
      <c r="I757">
        <v>1320.8814697</v>
      </c>
      <c r="J757">
        <v>1315.6083983999999</v>
      </c>
      <c r="K757">
        <v>550</v>
      </c>
      <c r="L757">
        <v>0</v>
      </c>
      <c r="M757">
        <v>0</v>
      </c>
      <c r="N757">
        <v>550</v>
      </c>
    </row>
    <row r="758" spans="1:14" x14ac:dyDescent="0.25">
      <c r="A758">
        <v>762</v>
      </c>
      <c r="B758" s="1">
        <f>DATE(2012,6,1) + TIME(0,0,0)</f>
        <v>41061</v>
      </c>
      <c r="C758">
        <v>80</v>
      </c>
      <c r="D758">
        <v>79.842895507999998</v>
      </c>
      <c r="E758">
        <v>40</v>
      </c>
      <c r="F758">
        <v>38.126949310000001</v>
      </c>
      <c r="G758">
        <v>1345.5827637</v>
      </c>
      <c r="H758">
        <v>1340.987793</v>
      </c>
      <c r="I758">
        <v>1320.8780518000001</v>
      </c>
      <c r="J758">
        <v>1315.5992432</v>
      </c>
      <c r="K758">
        <v>550</v>
      </c>
      <c r="L758">
        <v>0</v>
      </c>
      <c r="M758">
        <v>0</v>
      </c>
      <c r="N758">
        <v>550</v>
      </c>
    </row>
    <row r="759" spans="1:14" x14ac:dyDescent="0.25">
      <c r="A759">
        <v>763.02792799999997</v>
      </c>
      <c r="B759" s="1">
        <f>DATE(2012,6,2) + TIME(0,40,13)</f>
        <v>41062.027928240743</v>
      </c>
      <c r="C759">
        <v>80</v>
      </c>
      <c r="D759">
        <v>79.843139648000005</v>
      </c>
      <c r="E759">
        <v>40</v>
      </c>
      <c r="F759">
        <v>38.082710265999999</v>
      </c>
      <c r="G759">
        <v>1345.5665283000001</v>
      </c>
      <c r="H759">
        <v>1340.9769286999999</v>
      </c>
      <c r="I759">
        <v>1320.875</v>
      </c>
      <c r="J759">
        <v>1315.5902100000001</v>
      </c>
      <c r="K759">
        <v>550</v>
      </c>
      <c r="L759">
        <v>0</v>
      </c>
      <c r="M759">
        <v>0</v>
      </c>
      <c r="N759">
        <v>550</v>
      </c>
    </row>
    <row r="760" spans="1:14" x14ac:dyDescent="0.25">
      <c r="A760">
        <v>764.10715100000004</v>
      </c>
      <c r="B760" s="1">
        <f>DATE(2012,6,3) + TIME(2,34,17)</f>
        <v>41063.107141203705</v>
      </c>
      <c r="C760">
        <v>80</v>
      </c>
      <c r="D760">
        <v>79.843345642000003</v>
      </c>
      <c r="E760">
        <v>40</v>
      </c>
      <c r="F760">
        <v>38.037307738999999</v>
      </c>
      <c r="G760">
        <v>1345.5480957</v>
      </c>
      <c r="H760">
        <v>1340.9644774999999</v>
      </c>
      <c r="I760">
        <v>1320.8714600000001</v>
      </c>
      <c r="J760">
        <v>1315.5800781</v>
      </c>
      <c r="K760">
        <v>550</v>
      </c>
      <c r="L760">
        <v>0</v>
      </c>
      <c r="M760">
        <v>0</v>
      </c>
      <c r="N760">
        <v>550</v>
      </c>
    </row>
    <row r="761" spans="1:14" x14ac:dyDescent="0.25">
      <c r="A761">
        <v>765.20168999999999</v>
      </c>
      <c r="B761" s="1">
        <f>DATE(2012,6,4) + TIME(4,50,25)</f>
        <v>41064.201678240737</v>
      </c>
      <c r="C761">
        <v>80</v>
      </c>
      <c r="D761">
        <v>79.843505859000004</v>
      </c>
      <c r="E761">
        <v>40</v>
      </c>
      <c r="F761">
        <v>37.991958617999998</v>
      </c>
      <c r="G761">
        <v>1345.5291748</v>
      </c>
      <c r="H761">
        <v>1340.9517822</v>
      </c>
      <c r="I761">
        <v>1320.8676757999999</v>
      </c>
      <c r="J761">
        <v>1315.5694579999999</v>
      </c>
      <c r="K761">
        <v>550</v>
      </c>
      <c r="L761">
        <v>0</v>
      </c>
      <c r="M761">
        <v>0</v>
      </c>
      <c r="N761">
        <v>550</v>
      </c>
    </row>
    <row r="762" spans="1:14" x14ac:dyDescent="0.25">
      <c r="A762">
        <v>766.31455200000005</v>
      </c>
      <c r="B762" s="1">
        <f>DATE(2012,6,5) + TIME(7,32,57)</f>
        <v>41065.31454861111</v>
      </c>
      <c r="C762">
        <v>80</v>
      </c>
      <c r="D762">
        <v>79.843635559000006</v>
      </c>
      <c r="E762">
        <v>40</v>
      </c>
      <c r="F762">
        <v>37.946640015</v>
      </c>
      <c r="G762">
        <v>1345.5102539</v>
      </c>
      <c r="H762">
        <v>1340.9392089999999</v>
      </c>
      <c r="I762">
        <v>1320.8637695</v>
      </c>
      <c r="J762">
        <v>1315.5585937999999</v>
      </c>
      <c r="K762">
        <v>550</v>
      </c>
      <c r="L762">
        <v>0</v>
      </c>
      <c r="M762">
        <v>0</v>
      </c>
      <c r="N762">
        <v>550</v>
      </c>
    </row>
    <row r="763" spans="1:14" x14ac:dyDescent="0.25">
      <c r="A763">
        <v>767.44844999999998</v>
      </c>
      <c r="B763" s="1">
        <f>DATE(2012,6,6) + TIME(10,45,46)</f>
        <v>41066.448449074072</v>
      </c>
      <c r="C763">
        <v>80</v>
      </c>
      <c r="D763">
        <v>79.843742371000005</v>
      </c>
      <c r="E763">
        <v>40</v>
      </c>
      <c r="F763">
        <v>37.901348114000001</v>
      </c>
      <c r="G763">
        <v>1345.4913329999999</v>
      </c>
      <c r="H763">
        <v>1340.9266356999999</v>
      </c>
      <c r="I763">
        <v>1320.8598632999999</v>
      </c>
      <c r="J763">
        <v>1315.5473632999999</v>
      </c>
      <c r="K763">
        <v>550</v>
      </c>
      <c r="L763">
        <v>0</v>
      </c>
      <c r="M763">
        <v>0</v>
      </c>
      <c r="N763">
        <v>550</v>
      </c>
    </row>
    <row r="764" spans="1:14" x14ac:dyDescent="0.25">
      <c r="A764">
        <v>768.606584</v>
      </c>
      <c r="B764" s="1">
        <f>DATE(2012,6,7) + TIME(14,33,28)</f>
        <v>41067.606574074074</v>
      </c>
      <c r="C764">
        <v>80</v>
      </c>
      <c r="D764">
        <v>79.843818665000001</v>
      </c>
      <c r="E764">
        <v>40</v>
      </c>
      <c r="F764">
        <v>37.856063843000001</v>
      </c>
      <c r="G764">
        <v>1345.4725341999999</v>
      </c>
      <c r="H764">
        <v>1340.9140625</v>
      </c>
      <c r="I764">
        <v>1320.8557129000001</v>
      </c>
      <c r="J764">
        <v>1315.5358887</v>
      </c>
      <c r="K764">
        <v>550</v>
      </c>
      <c r="L764">
        <v>0</v>
      </c>
      <c r="M764">
        <v>0</v>
      </c>
      <c r="N764">
        <v>550</v>
      </c>
    </row>
    <row r="765" spans="1:14" x14ac:dyDescent="0.25">
      <c r="A765">
        <v>769.79382599999997</v>
      </c>
      <c r="B765" s="1">
        <f>DATE(2012,6,8) + TIME(19,3,6)</f>
        <v>41068.793819444443</v>
      </c>
      <c r="C765">
        <v>80</v>
      </c>
      <c r="D765">
        <v>79.843879700000002</v>
      </c>
      <c r="E765">
        <v>40</v>
      </c>
      <c r="F765">
        <v>37.810722351000003</v>
      </c>
      <c r="G765">
        <v>1345.4536132999999</v>
      </c>
      <c r="H765">
        <v>1340.9014893000001</v>
      </c>
      <c r="I765">
        <v>1320.8515625</v>
      </c>
      <c r="J765">
        <v>1315.5239257999999</v>
      </c>
      <c r="K765">
        <v>550</v>
      </c>
      <c r="L765">
        <v>0</v>
      </c>
      <c r="M765">
        <v>0</v>
      </c>
      <c r="N765">
        <v>550</v>
      </c>
    </row>
    <row r="766" spans="1:14" x14ac:dyDescent="0.25">
      <c r="A766">
        <v>771.01379399999996</v>
      </c>
      <c r="B766" s="1">
        <f>DATE(2012,6,10) + TIME(0,19,51)</f>
        <v>41070.013784722221</v>
      </c>
      <c r="C766">
        <v>80</v>
      </c>
      <c r="D766">
        <v>79.843925475999995</v>
      </c>
      <c r="E766">
        <v>40</v>
      </c>
      <c r="F766">
        <v>37.765312195</v>
      </c>
      <c r="G766">
        <v>1345.4345702999999</v>
      </c>
      <c r="H766">
        <v>1340.8887939000001</v>
      </c>
      <c r="I766">
        <v>1320.847168</v>
      </c>
      <c r="J766">
        <v>1315.5117187999999</v>
      </c>
      <c r="K766">
        <v>550</v>
      </c>
      <c r="L766">
        <v>0</v>
      </c>
      <c r="M766">
        <v>0</v>
      </c>
      <c r="N766">
        <v>550</v>
      </c>
    </row>
    <row r="767" spans="1:14" x14ac:dyDescent="0.25">
      <c r="A767">
        <v>772.27053599999999</v>
      </c>
      <c r="B767" s="1">
        <f>DATE(2012,6,11) + TIME(6,29,34)</f>
        <v>41071.270532407405</v>
      </c>
      <c r="C767">
        <v>80</v>
      </c>
      <c r="D767">
        <v>79.843948363999999</v>
      </c>
      <c r="E767">
        <v>40</v>
      </c>
      <c r="F767">
        <v>37.719810486</v>
      </c>
      <c r="G767">
        <v>1345.4154053</v>
      </c>
      <c r="H767">
        <v>1340.8760986</v>
      </c>
      <c r="I767">
        <v>1320.8427733999999</v>
      </c>
      <c r="J767">
        <v>1315.4989014</v>
      </c>
      <c r="K767">
        <v>550</v>
      </c>
      <c r="L767">
        <v>0</v>
      </c>
      <c r="M767">
        <v>0</v>
      </c>
      <c r="N767">
        <v>550</v>
      </c>
    </row>
    <row r="768" spans="1:14" x14ac:dyDescent="0.25">
      <c r="A768">
        <v>773.56857200000002</v>
      </c>
      <c r="B768" s="1">
        <f>DATE(2012,6,12) + TIME(13,38,44)</f>
        <v>41072.568564814814</v>
      </c>
      <c r="C768">
        <v>80</v>
      </c>
      <c r="D768">
        <v>79.843971252000003</v>
      </c>
      <c r="E768">
        <v>40</v>
      </c>
      <c r="F768">
        <v>37.674217224000003</v>
      </c>
      <c r="G768">
        <v>1345.3959961</v>
      </c>
      <c r="H768">
        <v>1340.8631591999999</v>
      </c>
      <c r="I768">
        <v>1320.8381348</v>
      </c>
      <c r="J768">
        <v>1315.4857178</v>
      </c>
      <c r="K768">
        <v>550</v>
      </c>
      <c r="L768">
        <v>0</v>
      </c>
      <c r="M768">
        <v>0</v>
      </c>
      <c r="N768">
        <v>550</v>
      </c>
    </row>
    <row r="769" spans="1:14" x14ac:dyDescent="0.25">
      <c r="A769">
        <v>774.91297199999997</v>
      </c>
      <c r="B769" s="1">
        <f>DATE(2012,6,13) + TIME(21,54,40)</f>
        <v>41073.912962962961</v>
      </c>
      <c r="C769">
        <v>80</v>
      </c>
      <c r="D769">
        <v>79.843978882000002</v>
      </c>
      <c r="E769">
        <v>40</v>
      </c>
      <c r="F769">
        <v>37.628524779999999</v>
      </c>
      <c r="G769">
        <v>1345.3763428</v>
      </c>
      <c r="H769">
        <v>1340.8502197</v>
      </c>
      <c r="I769">
        <v>1320.833374</v>
      </c>
      <c r="J769">
        <v>1315.4720459</v>
      </c>
      <c r="K769">
        <v>550</v>
      </c>
      <c r="L769">
        <v>0</v>
      </c>
      <c r="M769">
        <v>0</v>
      </c>
      <c r="N769">
        <v>550</v>
      </c>
    </row>
    <row r="770" spans="1:14" x14ac:dyDescent="0.25">
      <c r="A770">
        <v>776.29572299999995</v>
      </c>
      <c r="B770" s="1">
        <f>DATE(2012,6,15) + TIME(7,5,50)</f>
        <v>41075.295717592591</v>
      </c>
      <c r="C770">
        <v>80</v>
      </c>
      <c r="D770">
        <v>79.843978882000002</v>
      </c>
      <c r="E770">
        <v>40</v>
      </c>
      <c r="F770">
        <v>37.583080291999998</v>
      </c>
      <c r="G770">
        <v>1345.3564452999999</v>
      </c>
      <c r="H770">
        <v>1340.8369141000001</v>
      </c>
      <c r="I770">
        <v>1320.8283690999999</v>
      </c>
      <c r="J770">
        <v>1315.4577637</v>
      </c>
      <c r="K770">
        <v>550</v>
      </c>
      <c r="L770">
        <v>0</v>
      </c>
      <c r="M770">
        <v>0</v>
      </c>
      <c r="N770">
        <v>550</v>
      </c>
    </row>
    <row r="771" spans="1:14" x14ac:dyDescent="0.25">
      <c r="A771">
        <v>777.705465</v>
      </c>
      <c r="B771" s="1">
        <f>DATE(2012,6,16) + TIME(16,55,52)</f>
        <v>41076.705462962964</v>
      </c>
      <c r="C771">
        <v>80</v>
      </c>
      <c r="D771">
        <v>79.843963622999993</v>
      </c>
      <c r="E771">
        <v>40</v>
      </c>
      <c r="F771">
        <v>37.538299561000002</v>
      </c>
      <c r="G771">
        <v>1345.3363036999999</v>
      </c>
      <c r="H771">
        <v>1340.8236084</v>
      </c>
      <c r="I771">
        <v>1320.8233643000001</v>
      </c>
      <c r="J771">
        <v>1315.4431152</v>
      </c>
      <c r="K771">
        <v>550</v>
      </c>
      <c r="L771">
        <v>0</v>
      </c>
      <c r="M771">
        <v>0</v>
      </c>
      <c r="N771">
        <v>550</v>
      </c>
    </row>
    <row r="772" spans="1:14" x14ac:dyDescent="0.25">
      <c r="A772">
        <v>779.13489300000003</v>
      </c>
      <c r="B772" s="1">
        <f>DATE(2012,6,18) + TIME(3,14,14)</f>
        <v>41078.134884259256</v>
      </c>
      <c r="C772">
        <v>80</v>
      </c>
      <c r="D772">
        <v>79.843948363999999</v>
      </c>
      <c r="E772">
        <v>40</v>
      </c>
      <c r="F772">
        <v>37.494525908999996</v>
      </c>
      <c r="G772">
        <v>1345.3162841999999</v>
      </c>
      <c r="H772">
        <v>1340.8103027</v>
      </c>
      <c r="I772">
        <v>1320.8182373</v>
      </c>
      <c r="J772">
        <v>1315.4282227000001</v>
      </c>
      <c r="K772">
        <v>550</v>
      </c>
      <c r="L772">
        <v>0</v>
      </c>
      <c r="M772">
        <v>0</v>
      </c>
      <c r="N772">
        <v>550</v>
      </c>
    </row>
    <row r="773" spans="1:14" x14ac:dyDescent="0.25">
      <c r="A773">
        <v>780.58861999999999</v>
      </c>
      <c r="B773" s="1">
        <f>DATE(2012,6,19) + TIME(14,7,36)</f>
        <v>41079.58861111111</v>
      </c>
      <c r="C773">
        <v>80</v>
      </c>
      <c r="D773">
        <v>79.843933105000005</v>
      </c>
      <c r="E773">
        <v>40</v>
      </c>
      <c r="F773">
        <v>37.451824188000003</v>
      </c>
      <c r="G773">
        <v>1345.2962646000001</v>
      </c>
      <c r="H773">
        <v>1340.7971190999999</v>
      </c>
      <c r="I773">
        <v>1320.8129882999999</v>
      </c>
      <c r="J773">
        <v>1315.4128418</v>
      </c>
      <c r="K773">
        <v>550</v>
      </c>
      <c r="L773">
        <v>0</v>
      </c>
      <c r="M773">
        <v>0</v>
      </c>
      <c r="N773">
        <v>550</v>
      </c>
    </row>
    <row r="774" spans="1:14" x14ac:dyDescent="0.25">
      <c r="A774">
        <v>782.07135300000004</v>
      </c>
      <c r="B774" s="1">
        <f>DATE(2012,6,21) + TIME(1,42,44)</f>
        <v>41081.071342592593</v>
      </c>
      <c r="C774">
        <v>80</v>
      </c>
      <c r="D774">
        <v>79.843902588000006</v>
      </c>
      <c r="E774">
        <v>40</v>
      </c>
      <c r="F774">
        <v>37.410278320000003</v>
      </c>
      <c r="G774">
        <v>1345.2763672000001</v>
      </c>
      <c r="H774">
        <v>1340.7839355000001</v>
      </c>
      <c r="I774">
        <v>1320.8078613</v>
      </c>
      <c r="J774">
        <v>1315.3973389</v>
      </c>
      <c r="K774">
        <v>550</v>
      </c>
      <c r="L774">
        <v>0</v>
      </c>
      <c r="M774">
        <v>0</v>
      </c>
      <c r="N774">
        <v>550</v>
      </c>
    </row>
    <row r="775" spans="1:14" x14ac:dyDescent="0.25">
      <c r="A775">
        <v>783.58808099999999</v>
      </c>
      <c r="B775" s="1">
        <f>DATE(2012,6,22) + TIME(14,6,50)</f>
        <v>41082.588078703702</v>
      </c>
      <c r="C775">
        <v>80</v>
      </c>
      <c r="D775">
        <v>79.843879700000002</v>
      </c>
      <c r="E775">
        <v>40</v>
      </c>
      <c r="F775">
        <v>37.369983673</v>
      </c>
      <c r="G775">
        <v>1345.2563477000001</v>
      </c>
      <c r="H775">
        <v>1340.7707519999999</v>
      </c>
      <c r="I775">
        <v>1320.8024902</v>
      </c>
      <c r="J775">
        <v>1315.3814697</v>
      </c>
      <c r="K775">
        <v>550</v>
      </c>
      <c r="L775">
        <v>0</v>
      </c>
      <c r="M775">
        <v>0</v>
      </c>
      <c r="N775">
        <v>550</v>
      </c>
    </row>
    <row r="776" spans="1:14" x14ac:dyDescent="0.25">
      <c r="A776">
        <v>785.14003600000001</v>
      </c>
      <c r="B776" s="1">
        <f>DATE(2012,6,24) + TIME(3,21,39)</f>
        <v>41084.140034722222</v>
      </c>
      <c r="C776">
        <v>80</v>
      </c>
      <c r="D776">
        <v>79.843856811999999</v>
      </c>
      <c r="E776">
        <v>40</v>
      </c>
      <c r="F776">
        <v>37.331119536999999</v>
      </c>
      <c r="G776">
        <v>1345.2363281</v>
      </c>
      <c r="H776">
        <v>1340.7574463000001</v>
      </c>
      <c r="I776">
        <v>1320.7971190999999</v>
      </c>
      <c r="J776">
        <v>1315.3652344</v>
      </c>
      <c r="K776">
        <v>550</v>
      </c>
      <c r="L776">
        <v>0</v>
      </c>
      <c r="M776">
        <v>0</v>
      </c>
      <c r="N776">
        <v>550</v>
      </c>
    </row>
    <row r="777" spans="1:14" x14ac:dyDescent="0.25">
      <c r="A777">
        <v>786.70612800000004</v>
      </c>
      <c r="B777" s="1">
        <f>DATE(2012,6,25) + TIME(16,56,49)</f>
        <v>41085.706122685187</v>
      </c>
      <c r="C777">
        <v>80</v>
      </c>
      <c r="D777">
        <v>79.843826293999996</v>
      </c>
      <c r="E777">
        <v>40</v>
      </c>
      <c r="F777">
        <v>37.294254303000002</v>
      </c>
      <c r="G777">
        <v>1345.2161865</v>
      </c>
      <c r="H777">
        <v>1340.7441406</v>
      </c>
      <c r="I777">
        <v>1320.7917480000001</v>
      </c>
      <c r="J777">
        <v>1315.3486327999999</v>
      </c>
      <c r="K777">
        <v>550</v>
      </c>
      <c r="L777">
        <v>0</v>
      </c>
      <c r="M777">
        <v>0</v>
      </c>
      <c r="N777">
        <v>550</v>
      </c>
    </row>
    <row r="778" spans="1:14" x14ac:dyDescent="0.25">
      <c r="A778">
        <v>788.29064800000003</v>
      </c>
      <c r="B778" s="1">
        <f>DATE(2012,6,27) + TIME(6,58,31)</f>
        <v>41087.290636574071</v>
      </c>
      <c r="C778">
        <v>80</v>
      </c>
      <c r="D778">
        <v>79.843795775999993</v>
      </c>
      <c r="E778">
        <v>40</v>
      </c>
      <c r="F778">
        <v>37.259521483999997</v>
      </c>
      <c r="G778">
        <v>1345.1962891000001</v>
      </c>
      <c r="H778">
        <v>1340.730957</v>
      </c>
      <c r="I778">
        <v>1320.786499</v>
      </c>
      <c r="J778">
        <v>1315.3320312000001</v>
      </c>
      <c r="K778">
        <v>550</v>
      </c>
      <c r="L778">
        <v>0</v>
      </c>
      <c r="M778">
        <v>0</v>
      </c>
      <c r="N778">
        <v>550</v>
      </c>
    </row>
    <row r="779" spans="1:14" x14ac:dyDescent="0.25">
      <c r="A779">
        <v>789.90105200000005</v>
      </c>
      <c r="B779" s="1">
        <f>DATE(2012,6,28) + TIME(21,37,30)</f>
        <v>41088.901041666664</v>
      </c>
      <c r="C779">
        <v>80</v>
      </c>
      <c r="D779">
        <v>79.843772888000004</v>
      </c>
      <c r="E779">
        <v>40</v>
      </c>
      <c r="F779">
        <v>37.227016448999997</v>
      </c>
      <c r="G779">
        <v>1345.1765137</v>
      </c>
      <c r="H779">
        <v>1340.7178954999999</v>
      </c>
      <c r="I779">
        <v>1320.7811279</v>
      </c>
      <c r="J779">
        <v>1315.3153076000001</v>
      </c>
      <c r="K779">
        <v>550</v>
      </c>
      <c r="L779">
        <v>0</v>
      </c>
      <c r="M779">
        <v>0</v>
      </c>
      <c r="N779">
        <v>550</v>
      </c>
    </row>
    <row r="780" spans="1:14" x14ac:dyDescent="0.25">
      <c r="A780">
        <v>791.54201399999999</v>
      </c>
      <c r="B780" s="1">
        <f>DATE(2012,6,30) + TIME(13,0,30)</f>
        <v>41090.542013888888</v>
      </c>
      <c r="C780">
        <v>80</v>
      </c>
      <c r="D780">
        <v>79.843742371000005</v>
      </c>
      <c r="E780">
        <v>40</v>
      </c>
      <c r="F780">
        <v>37.196910858000003</v>
      </c>
      <c r="G780">
        <v>1345.1568603999999</v>
      </c>
      <c r="H780">
        <v>1340.7047118999999</v>
      </c>
      <c r="I780">
        <v>1320.7758789</v>
      </c>
      <c r="J780">
        <v>1315.2983397999999</v>
      </c>
      <c r="K780">
        <v>550</v>
      </c>
      <c r="L780">
        <v>0</v>
      </c>
      <c r="M780">
        <v>0</v>
      </c>
      <c r="N780">
        <v>550</v>
      </c>
    </row>
    <row r="781" spans="1:14" x14ac:dyDescent="0.25">
      <c r="A781">
        <v>792</v>
      </c>
      <c r="B781" s="1">
        <f>DATE(2012,7,1) + TIME(0,0,0)</f>
        <v>41091</v>
      </c>
      <c r="C781">
        <v>80</v>
      </c>
      <c r="D781">
        <v>79.843704224000007</v>
      </c>
      <c r="E781">
        <v>40</v>
      </c>
      <c r="F781">
        <v>37.18718338</v>
      </c>
      <c r="G781">
        <v>1345.1370850000001</v>
      </c>
      <c r="H781">
        <v>1340.6916504000001</v>
      </c>
      <c r="I781">
        <v>1320.7725829999999</v>
      </c>
      <c r="J781">
        <v>1315.2861327999999</v>
      </c>
      <c r="K781">
        <v>550</v>
      </c>
      <c r="L781">
        <v>0</v>
      </c>
      <c r="M781">
        <v>0</v>
      </c>
      <c r="N781">
        <v>550</v>
      </c>
    </row>
    <row r="782" spans="1:14" x14ac:dyDescent="0.25">
      <c r="A782">
        <v>793.67651000000001</v>
      </c>
      <c r="B782" s="1">
        <f>DATE(2012,7,2) + TIME(16,14,10)</f>
        <v>41092.676504629628</v>
      </c>
      <c r="C782">
        <v>80</v>
      </c>
      <c r="D782">
        <v>79.843696593999994</v>
      </c>
      <c r="E782">
        <v>40</v>
      </c>
      <c r="F782">
        <v>37.161243439000003</v>
      </c>
      <c r="G782">
        <v>1345.1315918</v>
      </c>
      <c r="H782">
        <v>1340.6879882999999</v>
      </c>
      <c r="I782">
        <v>1320.7689209</v>
      </c>
      <c r="J782">
        <v>1315.2757568</v>
      </c>
      <c r="K782">
        <v>550</v>
      </c>
      <c r="L782">
        <v>0</v>
      </c>
      <c r="M782">
        <v>0</v>
      </c>
      <c r="N782">
        <v>550</v>
      </c>
    </row>
    <row r="783" spans="1:14" x14ac:dyDescent="0.25">
      <c r="A783">
        <v>795.40646600000002</v>
      </c>
      <c r="B783" s="1">
        <f>DATE(2012,7,4) + TIME(9,45,18)</f>
        <v>41094.406458333331</v>
      </c>
      <c r="C783">
        <v>80</v>
      </c>
      <c r="D783">
        <v>79.843681334999999</v>
      </c>
      <c r="E783">
        <v>40</v>
      </c>
      <c r="F783">
        <v>37.137893677000001</v>
      </c>
      <c r="G783">
        <v>1345.1118164</v>
      </c>
      <c r="H783">
        <v>1340.6748047000001</v>
      </c>
      <c r="I783">
        <v>1320.7637939000001</v>
      </c>
      <c r="J783">
        <v>1315.2587891000001</v>
      </c>
      <c r="K783">
        <v>550</v>
      </c>
      <c r="L783">
        <v>0</v>
      </c>
      <c r="M783">
        <v>0</v>
      </c>
      <c r="N783">
        <v>550</v>
      </c>
    </row>
    <row r="784" spans="1:14" x14ac:dyDescent="0.25">
      <c r="A784">
        <v>797.18473400000005</v>
      </c>
      <c r="B784" s="1">
        <f>DATE(2012,7,6) + TIME(4,26,1)</f>
        <v>41096.184733796297</v>
      </c>
      <c r="C784">
        <v>80</v>
      </c>
      <c r="D784">
        <v>79.843673706000004</v>
      </c>
      <c r="E784">
        <v>40</v>
      </c>
      <c r="F784">
        <v>37.117622375000003</v>
      </c>
      <c r="G784">
        <v>1345.0917969</v>
      </c>
      <c r="H784">
        <v>1340.661499</v>
      </c>
      <c r="I784">
        <v>1320.7587891000001</v>
      </c>
      <c r="J784">
        <v>1315.2414550999999</v>
      </c>
      <c r="K784">
        <v>550</v>
      </c>
      <c r="L784">
        <v>0</v>
      </c>
      <c r="M784">
        <v>0</v>
      </c>
      <c r="N784">
        <v>550</v>
      </c>
    </row>
    <row r="785" spans="1:14" x14ac:dyDescent="0.25">
      <c r="A785">
        <v>799.01827600000001</v>
      </c>
      <c r="B785" s="1">
        <f>DATE(2012,7,8) + TIME(0,26,19)</f>
        <v>41098.018275462964</v>
      </c>
      <c r="C785">
        <v>80</v>
      </c>
      <c r="D785">
        <v>79.843658446999996</v>
      </c>
      <c r="E785">
        <v>40</v>
      </c>
      <c r="F785">
        <v>37.100868224999999</v>
      </c>
      <c r="G785">
        <v>1345.0716553</v>
      </c>
      <c r="H785">
        <v>1340.6480713000001</v>
      </c>
      <c r="I785">
        <v>1320.7539062000001</v>
      </c>
      <c r="J785">
        <v>1315.2237548999999</v>
      </c>
      <c r="K785">
        <v>550</v>
      </c>
      <c r="L785">
        <v>0</v>
      </c>
      <c r="M785">
        <v>0</v>
      </c>
      <c r="N785">
        <v>550</v>
      </c>
    </row>
    <row r="786" spans="1:14" x14ac:dyDescent="0.25">
      <c r="A786">
        <v>800.91460099999995</v>
      </c>
      <c r="B786" s="1">
        <f>DATE(2012,7,9) + TIME(21,57,1)</f>
        <v>41099.914594907408</v>
      </c>
      <c r="C786">
        <v>80</v>
      </c>
      <c r="D786">
        <v>79.843650818</v>
      </c>
      <c r="E786">
        <v>40</v>
      </c>
      <c r="F786">
        <v>37.088146209999998</v>
      </c>
      <c r="G786">
        <v>1345.0511475000001</v>
      </c>
      <c r="H786">
        <v>1340.6343993999999</v>
      </c>
      <c r="I786">
        <v>1320.7490233999999</v>
      </c>
      <c r="J786">
        <v>1315.2059326000001</v>
      </c>
      <c r="K786">
        <v>550</v>
      </c>
      <c r="L786">
        <v>0</v>
      </c>
      <c r="M786">
        <v>0</v>
      </c>
      <c r="N786">
        <v>550</v>
      </c>
    </row>
    <row r="787" spans="1:14" x14ac:dyDescent="0.25">
      <c r="A787">
        <v>802.85894900000005</v>
      </c>
      <c r="B787" s="1">
        <f>DATE(2012,7,11) + TIME(20,36,53)</f>
        <v>41101.858946759261</v>
      </c>
      <c r="C787">
        <v>80</v>
      </c>
      <c r="D787">
        <v>79.843643188000001</v>
      </c>
      <c r="E787">
        <v>40</v>
      </c>
      <c r="F787">
        <v>37.080139160000002</v>
      </c>
      <c r="G787">
        <v>1345.0302733999999</v>
      </c>
      <c r="H787">
        <v>1340.6203613</v>
      </c>
      <c r="I787">
        <v>1320.7442627</v>
      </c>
      <c r="J787">
        <v>1315.1879882999999</v>
      </c>
      <c r="K787">
        <v>550</v>
      </c>
      <c r="L787">
        <v>0</v>
      </c>
      <c r="M787">
        <v>0</v>
      </c>
      <c r="N787">
        <v>550</v>
      </c>
    </row>
    <row r="788" spans="1:14" x14ac:dyDescent="0.25">
      <c r="A788">
        <v>804.825333</v>
      </c>
      <c r="B788" s="1">
        <f>DATE(2012,7,13) + TIME(19,48,28)</f>
        <v>41103.825324074074</v>
      </c>
      <c r="C788">
        <v>80</v>
      </c>
      <c r="D788">
        <v>79.843635559000006</v>
      </c>
      <c r="E788">
        <v>40</v>
      </c>
      <c r="F788">
        <v>37.077491760000001</v>
      </c>
      <c r="G788">
        <v>1345.0092772999999</v>
      </c>
      <c r="H788">
        <v>1340.6063231999999</v>
      </c>
      <c r="I788">
        <v>1320.739624</v>
      </c>
      <c r="J788">
        <v>1315.1699219</v>
      </c>
      <c r="K788">
        <v>550</v>
      </c>
      <c r="L788">
        <v>0</v>
      </c>
      <c r="M788">
        <v>0</v>
      </c>
      <c r="N788">
        <v>550</v>
      </c>
    </row>
    <row r="789" spans="1:14" x14ac:dyDescent="0.25">
      <c r="A789">
        <v>806.811283</v>
      </c>
      <c r="B789" s="1">
        <f>DATE(2012,7,15) + TIME(19,28,14)</f>
        <v>41105.811273148145</v>
      </c>
      <c r="C789">
        <v>80</v>
      </c>
      <c r="D789">
        <v>79.843627929999997</v>
      </c>
      <c r="E789">
        <v>40</v>
      </c>
      <c r="F789">
        <v>37.080696105999998</v>
      </c>
      <c r="G789">
        <v>1344.9884033000001</v>
      </c>
      <c r="H789">
        <v>1340.5922852000001</v>
      </c>
      <c r="I789">
        <v>1320.7353516000001</v>
      </c>
      <c r="J789">
        <v>1315.1523437999999</v>
      </c>
      <c r="K789">
        <v>550</v>
      </c>
      <c r="L789">
        <v>0</v>
      </c>
      <c r="M789">
        <v>0</v>
      </c>
      <c r="N789">
        <v>550</v>
      </c>
    </row>
    <row r="790" spans="1:14" x14ac:dyDescent="0.25">
      <c r="A790">
        <v>808.82634800000005</v>
      </c>
      <c r="B790" s="1">
        <f>DATE(2012,7,17) + TIME(19,49,56)</f>
        <v>41107.826342592591</v>
      </c>
      <c r="C790">
        <v>80</v>
      </c>
      <c r="D790">
        <v>79.843627929999997</v>
      </c>
      <c r="E790">
        <v>40</v>
      </c>
      <c r="F790">
        <v>37.090263366999999</v>
      </c>
      <c r="G790">
        <v>1344.9676514</v>
      </c>
      <c r="H790">
        <v>1340.5783690999999</v>
      </c>
      <c r="I790">
        <v>1320.7314452999999</v>
      </c>
      <c r="J790">
        <v>1315.1348877</v>
      </c>
      <c r="K790">
        <v>550</v>
      </c>
      <c r="L790">
        <v>0</v>
      </c>
      <c r="M790">
        <v>0</v>
      </c>
      <c r="N790">
        <v>550</v>
      </c>
    </row>
    <row r="791" spans="1:14" x14ac:dyDescent="0.25">
      <c r="A791">
        <v>810.87659599999995</v>
      </c>
      <c r="B791" s="1">
        <f>DATE(2012,7,19) + TIME(21,2,17)</f>
        <v>41109.876585648148</v>
      </c>
      <c r="C791">
        <v>80</v>
      </c>
      <c r="D791">
        <v>79.843627929999997</v>
      </c>
      <c r="E791">
        <v>40</v>
      </c>
      <c r="F791">
        <v>37.106800079000003</v>
      </c>
      <c r="G791">
        <v>1344.9470214999999</v>
      </c>
      <c r="H791">
        <v>1340.5644531</v>
      </c>
      <c r="I791">
        <v>1320.7276611</v>
      </c>
      <c r="J791">
        <v>1315.1180420000001</v>
      </c>
      <c r="K791">
        <v>550</v>
      </c>
      <c r="L791">
        <v>0</v>
      </c>
      <c r="M791">
        <v>0</v>
      </c>
      <c r="N791">
        <v>550</v>
      </c>
    </row>
    <row r="792" spans="1:14" x14ac:dyDescent="0.25">
      <c r="A792">
        <v>812.96858499999996</v>
      </c>
      <c r="B792" s="1">
        <f>DATE(2012,7,21) + TIME(23,14,45)</f>
        <v>41111.968576388892</v>
      </c>
      <c r="C792">
        <v>80</v>
      </c>
      <c r="D792">
        <v>79.843635559000006</v>
      </c>
      <c r="E792">
        <v>40</v>
      </c>
      <c r="F792">
        <v>37.131015777999998</v>
      </c>
      <c r="G792">
        <v>1344.9262695</v>
      </c>
      <c r="H792">
        <v>1340.5504149999999</v>
      </c>
      <c r="I792">
        <v>1320.7243652</v>
      </c>
      <c r="J792">
        <v>1315.1014404</v>
      </c>
      <c r="K792">
        <v>550</v>
      </c>
      <c r="L792">
        <v>0</v>
      </c>
      <c r="M792">
        <v>0</v>
      </c>
      <c r="N792">
        <v>550</v>
      </c>
    </row>
    <row r="793" spans="1:14" x14ac:dyDescent="0.25">
      <c r="A793">
        <v>815.10928699999999</v>
      </c>
      <c r="B793" s="1">
        <f>DATE(2012,7,24) + TIME(2,37,22)</f>
        <v>41114.109282407408</v>
      </c>
      <c r="C793">
        <v>80</v>
      </c>
      <c r="D793">
        <v>79.843650818</v>
      </c>
      <c r="E793">
        <v>40</v>
      </c>
      <c r="F793">
        <v>37.163738250999998</v>
      </c>
      <c r="G793">
        <v>1344.9055175999999</v>
      </c>
      <c r="H793">
        <v>1340.5362548999999</v>
      </c>
      <c r="I793">
        <v>1320.7214355000001</v>
      </c>
      <c r="J793">
        <v>1315.0854492000001</v>
      </c>
      <c r="K793">
        <v>550</v>
      </c>
      <c r="L793">
        <v>0</v>
      </c>
      <c r="M793">
        <v>0</v>
      </c>
      <c r="N793">
        <v>550</v>
      </c>
    </row>
    <row r="794" spans="1:14" x14ac:dyDescent="0.25">
      <c r="A794">
        <v>817.28940499999999</v>
      </c>
      <c r="B794" s="1">
        <f>DATE(2012,7,26) + TIME(6,56,44)</f>
        <v>41116.289398148147</v>
      </c>
      <c r="C794">
        <v>80</v>
      </c>
      <c r="D794">
        <v>79.843666076999995</v>
      </c>
      <c r="E794">
        <v>40</v>
      </c>
      <c r="F794">
        <v>37.205757140999999</v>
      </c>
      <c r="G794">
        <v>1344.8845214999999</v>
      </c>
      <c r="H794">
        <v>1340.5219727000001</v>
      </c>
      <c r="I794">
        <v>1320.7189940999999</v>
      </c>
      <c r="J794">
        <v>1315.0699463000001</v>
      </c>
      <c r="K794">
        <v>550</v>
      </c>
      <c r="L794">
        <v>0</v>
      </c>
      <c r="M794">
        <v>0</v>
      </c>
      <c r="N794">
        <v>550</v>
      </c>
    </row>
    <row r="795" spans="1:14" x14ac:dyDescent="0.25">
      <c r="A795">
        <v>819.50987799999996</v>
      </c>
      <c r="B795" s="1">
        <f>DATE(2012,7,28) + TIME(12,14,13)</f>
        <v>41118.509872685187</v>
      </c>
      <c r="C795">
        <v>80</v>
      </c>
      <c r="D795">
        <v>79.843688964999998</v>
      </c>
      <c r="E795">
        <v>40</v>
      </c>
      <c r="F795">
        <v>37.257934570000003</v>
      </c>
      <c r="G795">
        <v>1344.8635254000001</v>
      </c>
      <c r="H795">
        <v>1340.5076904</v>
      </c>
      <c r="I795">
        <v>1320.7170410000001</v>
      </c>
      <c r="J795">
        <v>1315.0552978999999</v>
      </c>
      <c r="K795">
        <v>550</v>
      </c>
      <c r="L795">
        <v>0</v>
      </c>
      <c r="M795">
        <v>0</v>
      </c>
      <c r="N795">
        <v>550</v>
      </c>
    </row>
    <row r="796" spans="1:14" x14ac:dyDescent="0.25">
      <c r="A796">
        <v>821.77830600000004</v>
      </c>
      <c r="B796" s="1">
        <f>DATE(2012,7,30) + TIME(18,40,45)</f>
        <v>41120.778298611112</v>
      </c>
      <c r="C796">
        <v>80</v>
      </c>
      <c r="D796">
        <v>79.843711853000002</v>
      </c>
      <c r="E796">
        <v>40</v>
      </c>
      <c r="F796">
        <v>37.321315765000001</v>
      </c>
      <c r="G796">
        <v>1344.8425293</v>
      </c>
      <c r="H796">
        <v>1340.4932861</v>
      </c>
      <c r="I796">
        <v>1320.7155762</v>
      </c>
      <c r="J796">
        <v>1315.0413818</v>
      </c>
      <c r="K796">
        <v>550</v>
      </c>
      <c r="L796">
        <v>0</v>
      </c>
      <c r="M796">
        <v>0</v>
      </c>
      <c r="N796">
        <v>550</v>
      </c>
    </row>
    <row r="797" spans="1:14" x14ac:dyDescent="0.25">
      <c r="A797">
        <v>823</v>
      </c>
      <c r="B797" s="1">
        <f>DATE(2012,8,1) + TIME(0,0,0)</f>
        <v>41122</v>
      </c>
      <c r="C797">
        <v>80</v>
      </c>
      <c r="D797">
        <v>79.843681334999999</v>
      </c>
      <c r="E797">
        <v>40</v>
      </c>
      <c r="F797">
        <v>37.370391845999997</v>
      </c>
      <c r="G797">
        <v>1344.8211670000001</v>
      </c>
      <c r="H797">
        <v>1340.4787598</v>
      </c>
      <c r="I797">
        <v>1320.7181396000001</v>
      </c>
      <c r="J797">
        <v>1315.0314940999999</v>
      </c>
      <c r="K797">
        <v>550</v>
      </c>
      <c r="L797">
        <v>0</v>
      </c>
      <c r="M797">
        <v>0</v>
      </c>
      <c r="N797">
        <v>550</v>
      </c>
    </row>
    <row r="798" spans="1:14" x14ac:dyDescent="0.25">
      <c r="A798">
        <v>825.32446600000003</v>
      </c>
      <c r="B798" s="1">
        <f>DATE(2012,8,3) + TIME(7,47,13)</f>
        <v>41124.324456018519</v>
      </c>
      <c r="C798">
        <v>80</v>
      </c>
      <c r="D798">
        <v>79.843734741000006</v>
      </c>
      <c r="E798">
        <v>40</v>
      </c>
      <c r="F798">
        <v>37.449031830000003</v>
      </c>
      <c r="G798">
        <v>1344.8100586</v>
      </c>
      <c r="H798">
        <v>1340.4709473</v>
      </c>
      <c r="I798">
        <v>1320.7137451000001</v>
      </c>
      <c r="J798">
        <v>1315.0214844</v>
      </c>
      <c r="K798">
        <v>550</v>
      </c>
      <c r="L798">
        <v>0</v>
      </c>
      <c r="M798">
        <v>0</v>
      </c>
      <c r="N798">
        <v>550</v>
      </c>
    </row>
    <row r="799" spans="1:14" x14ac:dyDescent="0.25">
      <c r="A799">
        <v>827.71203300000002</v>
      </c>
      <c r="B799" s="1">
        <f>DATE(2012,8,5) + TIME(17,5,19)</f>
        <v>41126.712025462963</v>
      </c>
      <c r="C799">
        <v>80</v>
      </c>
      <c r="D799">
        <v>79.843788146999998</v>
      </c>
      <c r="E799">
        <v>40</v>
      </c>
      <c r="F799">
        <v>37.543209075999997</v>
      </c>
      <c r="G799">
        <v>1344.7888184000001</v>
      </c>
      <c r="H799">
        <v>1340.4562988</v>
      </c>
      <c r="I799">
        <v>1320.7142334</v>
      </c>
      <c r="J799">
        <v>1315.0107422000001</v>
      </c>
      <c r="K799">
        <v>550</v>
      </c>
      <c r="L799">
        <v>0</v>
      </c>
      <c r="M799">
        <v>0</v>
      </c>
      <c r="N799">
        <v>550</v>
      </c>
    </row>
    <row r="800" spans="1:14" x14ac:dyDescent="0.25">
      <c r="A800">
        <v>830.14930900000002</v>
      </c>
      <c r="B800" s="1">
        <f>DATE(2012,8,8) + TIME(3,35,0)</f>
        <v>41129.149305555555</v>
      </c>
      <c r="C800">
        <v>80</v>
      </c>
      <c r="D800">
        <v>79.843833923000005</v>
      </c>
      <c r="E800">
        <v>40</v>
      </c>
      <c r="F800">
        <v>37.653507232999999</v>
      </c>
      <c r="G800">
        <v>1344.7673339999999</v>
      </c>
      <c r="H800">
        <v>1340.4414062000001</v>
      </c>
      <c r="I800">
        <v>1320.715332</v>
      </c>
      <c r="J800">
        <v>1315.0012207</v>
      </c>
      <c r="K800">
        <v>550</v>
      </c>
      <c r="L800">
        <v>0</v>
      </c>
      <c r="M800">
        <v>0</v>
      </c>
      <c r="N800">
        <v>550</v>
      </c>
    </row>
    <row r="801" spans="1:14" x14ac:dyDescent="0.25">
      <c r="A801">
        <v>832.62806</v>
      </c>
      <c r="B801" s="1">
        <f>DATE(2012,8,10) + TIME(15,4,24)</f>
        <v>41131.628055555557</v>
      </c>
      <c r="C801">
        <v>80</v>
      </c>
      <c r="D801">
        <v>79.843879700000002</v>
      </c>
      <c r="E801">
        <v>40</v>
      </c>
      <c r="F801">
        <v>37.780559539999999</v>
      </c>
      <c r="G801">
        <v>1344.7457274999999</v>
      </c>
      <c r="H801">
        <v>1340.4263916</v>
      </c>
      <c r="I801">
        <v>1320.7171631000001</v>
      </c>
      <c r="J801">
        <v>1314.9931641000001</v>
      </c>
      <c r="K801">
        <v>550</v>
      </c>
      <c r="L801">
        <v>0</v>
      </c>
      <c r="M801">
        <v>0</v>
      </c>
      <c r="N801">
        <v>550</v>
      </c>
    </row>
    <row r="802" spans="1:14" x14ac:dyDescent="0.25">
      <c r="A802">
        <v>835.13529600000004</v>
      </c>
      <c r="B802" s="1">
        <f>DATE(2012,8,13) + TIME(3,14,49)</f>
        <v>41134.135289351849</v>
      </c>
      <c r="C802">
        <v>80</v>
      </c>
      <c r="D802">
        <v>79.843933105000005</v>
      </c>
      <c r="E802">
        <v>40</v>
      </c>
      <c r="F802">
        <v>37.924770355</v>
      </c>
      <c r="G802">
        <v>1344.7241211</v>
      </c>
      <c r="H802">
        <v>1340.4113769999999</v>
      </c>
      <c r="I802">
        <v>1320.7198486</v>
      </c>
      <c r="J802">
        <v>1314.9868164</v>
      </c>
      <c r="K802">
        <v>550</v>
      </c>
      <c r="L802">
        <v>0</v>
      </c>
      <c r="M802">
        <v>0</v>
      </c>
      <c r="N802">
        <v>550</v>
      </c>
    </row>
    <row r="803" spans="1:14" x14ac:dyDescent="0.25">
      <c r="A803">
        <v>837.67875900000001</v>
      </c>
      <c r="B803" s="1">
        <f>DATE(2012,8,15) + TIME(16,17,24)</f>
        <v>41136.678749999999</v>
      </c>
      <c r="C803">
        <v>80</v>
      </c>
      <c r="D803">
        <v>79.843986510999997</v>
      </c>
      <c r="E803">
        <v>40</v>
      </c>
      <c r="F803">
        <v>38.087028502999999</v>
      </c>
      <c r="G803">
        <v>1344.7025146000001</v>
      </c>
      <c r="H803">
        <v>1340.3962402</v>
      </c>
      <c r="I803">
        <v>1320.7232666</v>
      </c>
      <c r="J803">
        <v>1314.9822998</v>
      </c>
      <c r="K803">
        <v>550</v>
      </c>
      <c r="L803">
        <v>0</v>
      </c>
      <c r="M803">
        <v>0</v>
      </c>
      <c r="N803">
        <v>550</v>
      </c>
    </row>
    <row r="804" spans="1:14" x14ac:dyDescent="0.25">
      <c r="A804">
        <v>840.26676899999995</v>
      </c>
      <c r="B804" s="1">
        <f>DATE(2012,8,18) + TIME(6,24,8)</f>
        <v>41139.266759259262</v>
      </c>
      <c r="C804">
        <v>80</v>
      </c>
      <c r="D804">
        <v>79.844047545999999</v>
      </c>
      <c r="E804">
        <v>40</v>
      </c>
      <c r="F804">
        <v>38.268493651999997</v>
      </c>
      <c r="G804">
        <v>1344.6809082</v>
      </c>
      <c r="H804">
        <v>1340.3811035000001</v>
      </c>
      <c r="I804">
        <v>1320.7275391000001</v>
      </c>
      <c r="J804">
        <v>1314.9799805</v>
      </c>
      <c r="K804">
        <v>550</v>
      </c>
      <c r="L804">
        <v>0</v>
      </c>
      <c r="M804">
        <v>0</v>
      </c>
      <c r="N804">
        <v>550</v>
      </c>
    </row>
    <row r="805" spans="1:14" x14ac:dyDescent="0.25">
      <c r="A805">
        <v>842.90808200000004</v>
      </c>
      <c r="B805" s="1">
        <f>DATE(2012,8,20) + TIME(21,47,38)</f>
        <v>41141.908078703702</v>
      </c>
      <c r="C805">
        <v>80</v>
      </c>
      <c r="D805">
        <v>79.844108582000004</v>
      </c>
      <c r="E805">
        <v>40</v>
      </c>
      <c r="F805">
        <v>38.470531463999997</v>
      </c>
      <c r="G805">
        <v>1344.6593018000001</v>
      </c>
      <c r="H805">
        <v>1340.3658447</v>
      </c>
      <c r="I805">
        <v>1320.7327881000001</v>
      </c>
      <c r="J805">
        <v>1314.9797363</v>
      </c>
      <c r="K805">
        <v>550</v>
      </c>
      <c r="L805">
        <v>0</v>
      </c>
      <c r="M805">
        <v>0</v>
      </c>
      <c r="N805">
        <v>550</v>
      </c>
    </row>
    <row r="806" spans="1:14" x14ac:dyDescent="0.25">
      <c r="A806">
        <v>845.61209299999996</v>
      </c>
      <c r="B806" s="1">
        <f>DATE(2012,8,23) + TIME(14,41,24)</f>
        <v>41144.612083333333</v>
      </c>
      <c r="C806">
        <v>80</v>
      </c>
      <c r="D806">
        <v>79.844184874999996</v>
      </c>
      <c r="E806">
        <v>40</v>
      </c>
      <c r="F806">
        <v>38.694721221999998</v>
      </c>
      <c r="G806">
        <v>1344.6374512</v>
      </c>
      <c r="H806">
        <v>1340.3504639</v>
      </c>
      <c r="I806">
        <v>1320.7391356999999</v>
      </c>
      <c r="J806">
        <v>1314.9819336</v>
      </c>
      <c r="K806">
        <v>550</v>
      </c>
      <c r="L806">
        <v>0</v>
      </c>
      <c r="M806">
        <v>0</v>
      </c>
      <c r="N806">
        <v>550</v>
      </c>
    </row>
    <row r="807" spans="1:14" x14ac:dyDescent="0.25">
      <c r="A807">
        <v>848.38902499999995</v>
      </c>
      <c r="B807" s="1">
        <f>DATE(2012,8,26) + TIME(9,20,11)</f>
        <v>41147.389016203706</v>
      </c>
      <c r="C807">
        <v>80</v>
      </c>
      <c r="D807">
        <v>79.844261169000006</v>
      </c>
      <c r="E807">
        <v>40</v>
      </c>
      <c r="F807">
        <v>38.942817687999998</v>
      </c>
      <c r="G807">
        <v>1344.6156006000001</v>
      </c>
      <c r="H807">
        <v>1340.3349608999999</v>
      </c>
      <c r="I807">
        <v>1320.7464600000001</v>
      </c>
      <c r="J807">
        <v>1314.9868164</v>
      </c>
      <c r="K807">
        <v>550</v>
      </c>
      <c r="L807">
        <v>0</v>
      </c>
      <c r="M807">
        <v>0</v>
      </c>
      <c r="N807">
        <v>550</v>
      </c>
    </row>
    <row r="808" spans="1:14" x14ac:dyDescent="0.25">
      <c r="A808">
        <v>851.25014499999997</v>
      </c>
      <c r="B808" s="1">
        <f>DATE(2012,8,29) + TIME(6,0,12)</f>
        <v>41150.250138888892</v>
      </c>
      <c r="C808">
        <v>80</v>
      </c>
      <c r="D808">
        <v>79.844345093000001</v>
      </c>
      <c r="E808">
        <v>40</v>
      </c>
      <c r="F808">
        <v>39.216812134000001</v>
      </c>
      <c r="G808">
        <v>1344.5933838000001</v>
      </c>
      <c r="H808">
        <v>1340.3190918</v>
      </c>
      <c r="I808">
        <v>1320.7551269999999</v>
      </c>
      <c r="J808">
        <v>1314.9945068</v>
      </c>
      <c r="K808">
        <v>550</v>
      </c>
      <c r="L808">
        <v>0</v>
      </c>
      <c r="M808">
        <v>0</v>
      </c>
      <c r="N808">
        <v>550</v>
      </c>
    </row>
    <row r="809" spans="1:14" x14ac:dyDescent="0.25">
      <c r="A809">
        <v>854</v>
      </c>
      <c r="B809" s="1">
        <f>DATE(2012,9,1) + TIME(0,0,0)</f>
        <v>41153</v>
      </c>
      <c r="C809">
        <v>80</v>
      </c>
      <c r="D809">
        <v>79.844421386999997</v>
      </c>
      <c r="E809">
        <v>40</v>
      </c>
      <c r="F809">
        <v>39.507175445999998</v>
      </c>
      <c r="G809">
        <v>1344.5708007999999</v>
      </c>
      <c r="H809">
        <v>1340.3031006000001</v>
      </c>
      <c r="I809">
        <v>1320.7657471</v>
      </c>
      <c r="J809">
        <v>1315.0054932</v>
      </c>
      <c r="K809">
        <v>550</v>
      </c>
      <c r="L809">
        <v>0</v>
      </c>
      <c r="M809">
        <v>0</v>
      </c>
      <c r="N809">
        <v>550</v>
      </c>
    </row>
    <row r="810" spans="1:14" x14ac:dyDescent="0.25">
      <c r="A810">
        <v>856.93949199999997</v>
      </c>
      <c r="B810" s="1">
        <f>DATE(2012,9,3) + TIME(22,32,52)</f>
        <v>41155.93949074074</v>
      </c>
      <c r="C810">
        <v>80</v>
      </c>
      <c r="D810">
        <v>79.844512938999998</v>
      </c>
      <c r="E810">
        <v>40</v>
      </c>
      <c r="F810">
        <v>39.825969696000001</v>
      </c>
      <c r="G810">
        <v>1344.5494385</v>
      </c>
      <c r="H810">
        <v>1340.2878418</v>
      </c>
      <c r="I810">
        <v>1320.7757568</v>
      </c>
      <c r="J810">
        <v>1315.0189209</v>
      </c>
      <c r="K810">
        <v>550</v>
      </c>
      <c r="L810">
        <v>0</v>
      </c>
      <c r="M810">
        <v>0</v>
      </c>
      <c r="N810">
        <v>550</v>
      </c>
    </row>
    <row r="811" spans="1:14" x14ac:dyDescent="0.25">
      <c r="A811">
        <v>859.93869800000004</v>
      </c>
      <c r="B811" s="1">
        <f>DATE(2012,9,6) + TIME(22,31,43)</f>
        <v>41158.938692129632</v>
      </c>
      <c r="C811">
        <v>80</v>
      </c>
      <c r="D811">
        <v>79.844612122000001</v>
      </c>
      <c r="E811">
        <v>40</v>
      </c>
      <c r="F811">
        <v>40.171367644999997</v>
      </c>
      <c r="G811">
        <v>1344.5270995999999</v>
      </c>
      <c r="H811">
        <v>1340.2717285000001</v>
      </c>
      <c r="I811">
        <v>1320.7883300999999</v>
      </c>
      <c r="J811">
        <v>1315.0360106999999</v>
      </c>
      <c r="K811">
        <v>550</v>
      </c>
      <c r="L811">
        <v>0</v>
      </c>
      <c r="M811">
        <v>0</v>
      </c>
      <c r="N811">
        <v>550</v>
      </c>
    </row>
    <row r="812" spans="1:14" x14ac:dyDescent="0.25">
      <c r="A812">
        <v>862.99620100000004</v>
      </c>
      <c r="B812" s="1">
        <f>DATE(2012,9,9) + TIME(23,54,31)</f>
        <v>41161.996192129627</v>
      </c>
      <c r="C812">
        <v>80</v>
      </c>
      <c r="D812">
        <v>79.844718932999996</v>
      </c>
      <c r="E812">
        <v>40</v>
      </c>
      <c r="F812">
        <v>40.542537689</v>
      </c>
      <c r="G812">
        <v>1344.5045166</v>
      </c>
      <c r="H812">
        <v>1340.2554932</v>
      </c>
      <c r="I812">
        <v>1320.8022461</v>
      </c>
      <c r="J812">
        <v>1315.0567627</v>
      </c>
      <c r="K812">
        <v>550</v>
      </c>
      <c r="L812">
        <v>0</v>
      </c>
      <c r="M812">
        <v>0</v>
      </c>
      <c r="N812">
        <v>550</v>
      </c>
    </row>
    <row r="813" spans="1:14" x14ac:dyDescent="0.25">
      <c r="A813">
        <v>866.11568199999999</v>
      </c>
      <c r="B813" s="1">
        <f>DATE(2012,9,13) + TIME(2,46,34)</f>
        <v>41165.115671296298</v>
      </c>
      <c r="C813">
        <v>80</v>
      </c>
      <c r="D813">
        <v>79.844825744999994</v>
      </c>
      <c r="E813">
        <v>40</v>
      </c>
      <c r="F813">
        <v>40.938697814999998</v>
      </c>
      <c r="G813">
        <v>1344.4819336</v>
      </c>
      <c r="H813">
        <v>1340.2392577999999</v>
      </c>
      <c r="I813">
        <v>1320.8175048999999</v>
      </c>
      <c r="J813">
        <v>1315.0810547000001</v>
      </c>
      <c r="K813">
        <v>550</v>
      </c>
      <c r="L813">
        <v>0</v>
      </c>
      <c r="M813">
        <v>0</v>
      </c>
      <c r="N813">
        <v>550</v>
      </c>
    </row>
    <row r="814" spans="1:14" x14ac:dyDescent="0.25">
      <c r="A814">
        <v>869.27691800000002</v>
      </c>
      <c r="B814" s="1">
        <f>DATE(2012,9,16) + TIME(6,38,45)</f>
        <v>41168.276909722219</v>
      </c>
      <c r="C814">
        <v>80</v>
      </c>
      <c r="D814">
        <v>79.844940186000002</v>
      </c>
      <c r="E814">
        <v>40</v>
      </c>
      <c r="F814">
        <v>41.357414245999998</v>
      </c>
      <c r="G814">
        <v>1344.4593506000001</v>
      </c>
      <c r="H814">
        <v>1340.2229004000001</v>
      </c>
      <c r="I814">
        <v>1320.8344727000001</v>
      </c>
      <c r="J814">
        <v>1315.1090088000001</v>
      </c>
      <c r="K814">
        <v>550</v>
      </c>
      <c r="L814">
        <v>0</v>
      </c>
      <c r="M814">
        <v>0</v>
      </c>
      <c r="N814">
        <v>550</v>
      </c>
    </row>
    <row r="815" spans="1:14" x14ac:dyDescent="0.25">
      <c r="A815">
        <v>872.49062400000003</v>
      </c>
      <c r="B815" s="1">
        <f>DATE(2012,9,19) + TIME(11,46,29)</f>
        <v>41171.490613425929</v>
      </c>
      <c r="C815">
        <v>80</v>
      </c>
      <c r="D815">
        <v>79.845054626000007</v>
      </c>
      <c r="E815">
        <v>40</v>
      </c>
      <c r="F815">
        <v>41.797214508000003</v>
      </c>
      <c r="G815">
        <v>1344.4367675999999</v>
      </c>
      <c r="H815">
        <v>1340.2066649999999</v>
      </c>
      <c r="I815">
        <v>1320.8527832</v>
      </c>
      <c r="J815">
        <v>1315.140625</v>
      </c>
      <c r="K815">
        <v>550</v>
      </c>
      <c r="L815">
        <v>0</v>
      </c>
      <c r="M815">
        <v>0</v>
      </c>
      <c r="N815">
        <v>550</v>
      </c>
    </row>
    <row r="816" spans="1:14" x14ac:dyDescent="0.25">
      <c r="A816">
        <v>875.76832400000001</v>
      </c>
      <c r="B816" s="1">
        <f>DATE(2012,9,22) + TIME(18,26,23)</f>
        <v>41174.768321759257</v>
      </c>
      <c r="C816">
        <v>80</v>
      </c>
      <c r="D816">
        <v>79.845176696999999</v>
      </c>
      <c r="E816">
        <v>40</v>
      </c>
      <c r="F816">
        <v>42.257091522000003</v>
      </c>
      <c r="G816">
        <v>1344.4143065999999</v>
      </c>
      <c r="H816">
        <v>1340.1903076000001</v>
      </c>
      <c r="I816">
        <v>1320.8726807</v>
      </c>
      <c r="J816">
        <v>1315.1757812000001</v>
      </c>
      <c r="K816">
        <v>550</v>
      </c>
      <c r="L816">
        <v>0</v>
      </c>
      <c r="M816">
        <v>0</v>
      </c>
      <c r="N816">
        <v>550</v>
      </c>
    </row>
    <row r="817" spans="1:14" x14ac:dyDescent="0.25">
      <c r="A817">
        <v>879.12231899999995</v>
      </c>
      <c r="B817" s="1">
        <f>DATE(2012,9,26) + TIME(2,56,8)</f>
        <v>41178.122314814813</v>
      </c>
      <c r="C817">
        <v>80</v>
      </c>
      <c r="D817">
        <v>79.845306395999998</v>
      </c>
      <c r="E817">
        <v>40</v>
      </c>
      <c r="F817">
        <v>42.736232758</v>
      </c>
      <c r="G817">
        <v>1344.3918457</v>
      </c>
      <c r="H817">
        <v>1340.1740723</v>
      </c>
      <c r="I817">
        <v>1320.894043</v>
      </c>
      <c r="J817">
        <v>1315.2145995999999</v>
      </c>
      <c r="K817">
        <v>550</v>
      </c>
      <c r="L817">
        <v>0</v>
      </c>
      <c r="M817">
        <v>0</v>
      </c>
      <c r="N817">
        <v>550</v>
      </c>
    </row>
    <row r="818" spans="1:14" x14ac:dyDescent="0.25">
      <c r="A818">
        <v>882.56583999999998</v>
      </c>
      <c r="B818" s="1">
        <f>DATE(2012,9,29) + TIME(13,34,48)</f>
        <v>41181.565833333334</v>
      </c>
      <c r="C818">
        <v>80</v>
      </c>
      <c r="D818">
        <v>79.845443725999999</v>
      </c>
      <c r="E818">
        <v>40</v>
      </c>
      <c r="F818">
        <v>43.234027863000001</v>
      </c>
      <c r="G818">
        <v>1344.3693848</v>
      </c>
      <c r="H818">
        <v>1340.1577147999999</v>
      </c>
      <c r="I818">
        <v>1320.9172363</v>
      </c>
      <c r="J818">
        <v>1315.2572021000001</v>
      </c>
      <c r="K818">
        <v>550</v>
      </c>
      <c r="L818">
        <v>0</v>
      </c>
      <c r="M818">
        <v>0</v>
      </c>
      <c r="N818">
        <v>550</v>
      </c>
    </row>
    <row r="819" spans="1:14" x14ac:dyDescent="0.25">
      <c r="A819">
        <v>884</v>
      </c>
      <c r="B819" s="1">
        <f>DATE(2012,10,1) + TIME(0,0,0)</f>
        <v>41183</v>
      </c>
      <c r="C819">
        <v>80</v>
      </c>
      <c r="D819">
        <v>79.845443725999999</v>
      </c>
      <c r="E819">
        <v>40</v>
      </c>
      <c r="F819">
        <v>43.538501740000001</v>
      </c>
      <c r="G819">
        <v>1344.3468018000001</v>
      </c>
      <c r="H819">
        <v>1340.1416016000001</v>
      </c>
      <c r="I819">
        <v>1320.9521483999999</v>
      </c>
      <c r="J819">
        <v>1315.2994385</v>
      </c>
      <c r="K819">
        <v>550</v>
      </c>
      <c r="L819">
        <v>0</v>
      </c>
      <c r="M819">
        <v>0</v>
      </c>
      <c r="N819">
        <v>550</v>
      </c>
    </row>
    <row r="820" spans="1:14" x14ac:dyDescent="0.25">
      <c r="A820">
        <v>887.54761299999996</v>
      </c>
      <c r="B820" s="1">
        <f>DATE(2012,10,4) + TIME(13,8,33)</f>
        <v>41186.54760416667</v>
      </c>
      <c r="C820">
        <v>80</v>
      </c>
      <c r="D820">
        <v>79.845619201999995</v>
      </c>
      <c r="E820">
        <v>40</v>
      </c>
      <c r="F820">
        <v>44.007484435999999</v>
      </c>
      <c r="G820">
        <v>1344.3374022999999</v>
      </c>
      <c r="H820">
        <v>1340.1346435999999</v>
      </c>
      <c r="I820">
        <v>1320.953125</v>
      </c>
      <c r="J820">
        <v>1315.3282471</v>
      </c>
      <c r="K820">
        <v>550</v>
      </c>
      <c r="L820">
        <v>0</v>
      </c>
      <c r="M820">
        <v>0</v>
      </c>
      <c r="N820">
        <v>550</v>
      </c>
    </row>
    <row r="821" spans="1:14" x14ac:dyDescent="0.25">
      <c r="A821">
        <v>891.22588499999995</v>
      </c>
      <c r="B821" s="1">
        <f>DATE(2012,10,8) + TIME(5,25,16)</f>
        <v>41190.22587962963</v>
      </c>
      <c r="C821">
        <v>80</v>
      </c>
      <c r="D821">
        <v>79.845787048000005</v>
      </c>
      <c r="E821">
        <v>40</v>
      </c>
      <c r="F821">
        <v>44.518348693999997</v>
      </c>
      <c r="G821">
        <v>1344.3148193</v>
      </c>
      <c r="H821">
        <v>1340.1182861</v>
      </c>
      <c r="I821">
        <v>1320.9805908000001</v>
      </c>
      <c r="J821">
        <v>1315.3771973</v>
      </c>
      <c r="K821">
        <v>550</v>
      </c>
      <c r="L821">
        <v>0</v>
      </c>
      <c r="M821">
        <v>0</v>
      </c>
      <c r="N821">
        <v>550</v>
      </c>
    </row>
    <row r="822" spans="1:14" x14ac:dyDescent="0.25">
      <c r="A822">
        <v>894.95363099999997</v>
      </c>
      <c r="B822" s="1">
        <f>DATE(2012,10,11) + TIME(22,53,13)</f>
        <v>41193.953622685185</v>
      </c>
      <c r="C822">
        <v>80</v>
      </c>
      <c r="D822">
        <v>79.845947265999996</v>
      </c>
      <c r="E822">
        <v>40</v>
      </c>
      <c r="F822">
        <v>45.051868439000003</v>
      </c>
      <c r="G822">
        <v>1344.2918701000001</v>
      </c>
      <c r="H822">
        <v>1340.1018065999999</v>
      </c>
      <c r="I822">
        <v>1321.010376</v>
      </c>
      <c r="J822">
        <v>1315.4312743999999</v>
      </c>
      <c r="K822">
        <v>550</v>
      </c>
      <c r="L822">
        <v>0</v>
      </c>
      <c r="M822">
        <v>0</v>
      </c>
      <c r="N822">
        <v>550</v>
      </c>
    </row>
    <row r="823" spans="1:14" x14ac:dyDescent="0.25">
      <c r="A823">
        <v>898.74331600000005</v>
      </c>
      <c r="B823" s="1">
        <f>DATE(2012,10,15) + TIME(17,50,22)</f>
        <v>41197.743310185186</v>
      </c>
      <c r="C823">
        <v>80</v>
      </c>
      <c r="D823">
        <v>79.846107482999997</v>
      </c>
      <c r="E823">
        <v>40</v>
      </c>
      <c r="F823">
        <v>45.596660614000001</v>
      </c>
      <c r="G823">
        <v>1344.2692870999999</v>
      </c>
      <c r="H823">
        <v>1340.0854492000001</v>
      </c>
      <c r="I823">
        <v>1321.0417480000001</v>
      </c>
      <c r="J823">
        <v>1315.4890137</v>
      </c>
      <c r="K823">
        <v>550</v>
      </c>
      <c r="L823">
        <v>0</v>
      </c>
      <c r="M823">
        <v>0</v>
      </c>
      <c r="N823">
        <v>550</v>
      </c>
    </row>
    <row r="824" spans="1:14" x14ac:dyDescent="0.25">
      <c r="A824">
        <v>902.608429</v>
      </c>
      <c r="B824" s="1">
        <f>DATE(2012,10,19) + TIME(14,36,8)</f>
        <v>41201.608425925922</v>
      </c>
      <c r="C824">
        <v>80</v>
      </c>
      <c r="D824">
        <v>79.846267699999999</v>
      </c>
      <c r="E824">
        <v>40</v>
      </c>
      <c r="F824">
        <v>46.146903991999999</v>
      </c>
      <c r="G824">
        <v>1344.2468262</v>
      </c>
      <c r="H824">
        <v>1340.0693358999999</v>
      </c>
      <c r="I824">
        <v>1321.0745850000001</v>
      </c>
      <c r="J824">
        <v>1315.5496826000001</v>
      </c>
      <c r="K824">
        <v>550</v>
      </c>
      <c r="L824">
        <v>0</v>
      </c>
      <c r="M824">
        <v>0</v>
      </c>
      <c r="N824">
        <v>550</v>
      </c>
    </row>
    <row r="825" spans="1:14" x14ac:dyDescent="0.25">
      <c r="A825">
        <v>906.56348800000001</v>
      </c>
      <c r="B825" s="1">
        <f>DATE(2012,10,23) + TIME(13,31,25)</f>
        <v>41205.563483796293</v>
      </c>
      <c r="C825">
        <v>80</v>
      </c>
      <c r="D825">
        <v>79.846435546999999</v>
      </c>
      <c r="E825">
        <v>40</v>
      </c>
      <c r="F825">
        <v>46.699520110999998</v>
      </c>
      <c r="G825">
        <v>1344.2244873</v>
      </c>
      <c r="H825">
        <v>1340.0533447</v>
      </c>
      <c r="I825">
        <v>1321.1090088000001</v>
      </c>
      <c r="J825">
        <v>1315.6131591999999</v>
      </c>
      <c r="K825">
        <v>550</v>
      </c>
      <c r="L825">
        <v>0</v>
      </c>
      <c r="M825">
        <v>0</v>
      </c>
      <c r="N825">
        <v>550</v>
      </c>
    </row>
    <row r="826" spans="1:14" x14ac:dyDescent="0.25">
      <c r="A826">
        <v>910.612574</v>
      </c>
      <c r="B826" s="1">
        <f>DATE(2012,10,27) + TIME(14,42,6)</f>
        <v>41209.612569444442</v>
      </c>
      <c r="C826">
        <v>80</v>
      </c>
      <c r="D826">
        <v>79.846611022999994</v>
      </c>
      <c r="E826">
        <v>40</v>
      </c>
      <c r="F826">
        <v>47.252143859999997</v>
      </c>
      <c r="G826">
        <v>1344.2022704999999</v>
      </c>
      <c r="H826">
        <v>1340.0373535000001</v>
      </c>
      <c r="I826">
        <v>1321.1450195</v>
      </c>
      <c r="J826">
        <v>1315.6791992000001</v>
      </c>
      <c r="K826">
        <v>550</v>
      </c>
      <c r="L826">
        <v>0</v>
      </c>
      <c r="M826">
        <v>0</v>
      </c>
      <c r="N826">
        <v>550</v>
      </c>
    </row>
    <row r="827" spans="1:14" x14ac:dyDescent="0.25">
      <c r="A827">
        <v>914.77126899999996</v>
      </c>
      <c r="B827" s="1">
        <f>DATE(2012,10,31) + TIME(18,30,37)</f>
        <v>41213.771261574075</v>
      </c>
      <c r="C827">
        <v>80</v>
      </c>
      <c r="D827">
        <v>79.846794127999999</v>
      </c>
      <c r="E827">
        <v>40</v>
      </c>
      <c r="F827">
        <v>47.803256988999998</v>
      </c>
      <c r="G827">
        <v>1344.1800536999999</v>
      </c>
      <c r="H827">
        <v>1340.0216064000001</v>
      </c>
      <c r="I827">
        <v>1321.1826172000001</v>
      </c>
      <c r="J827">
        <v>1315.7476807</v>
      </c>
      <c r="K827">
        <v>550</v>
      </c>
      <c r="L827">
        <v>0</v>
      </c>
      <c r="M827">
        <v>0</v>
      </c>
      <c r="N827">
        <v>550</v>
      </c>
    </row>
    <row r="828" spans="1:14" x14ac:dyDescent="0.25">
      <c r="A828">
        <v>915</v>
      </c>
      <c r="B828" s="1">
        <f>DATE(2012,11,1) + TIME(0,0,0)</f>
        <v>41214</v>
      </c>
      <c r="C828">
        <v>80</v>
      </c>
      <c r="D828">
        <v>79.846778869999994</v>
      </c>
      <c r="E828">
        <v>40</v>
      </c>
      <c r="F828">
        <v>47.869007111000002</v>
      </c>
      <c r="G828">
        <v>1344.1589355000001</v>
      </c>
      <c r="H828">
        <v>1340.0072021000001</v>
      </c>
      <c r="I828">
        <v>1321.2381591999999</v>
      </c>
      <c r="J828">
        <v>1315.8016356999999</v>
      </c>
      <c r="K828">
        <v>550</v>
      </c>
      <c r="L828">
        <v>0</v>
      </c>
      <c r="M828">
        <v>0</v>
      </c>
      <c r="N828">
        <v>550</v>
      </c>
    </row>
    <row r="829" spans="1:14" x14ac:dyDescent="0.25">
      <c r="A829">
        <v>915.000001</v>
      </c>
      <c r="B829" s="1">
        <f>DATE(2012,11,1) + TIME(0,0,0)</f>
        <v>41214</v>
      </c>
      <c r="C829">
        <v>80</v>
      </c>
      <c r="D829">
        <v>79.846748352000006</v>
      </c>
      <c r="E829">
        <v>40</v>
      </c>
      <c r="F829">
        <v>47.869033813000001</v>
      </c>
      <c r="G829">
        <v>1339.8074951000001</v>
      </c>
      <c r="H829">
        <v>1338.1513672000001</v>
      </c>
      <c r="I829">
        <v>1326.9761963000001</v>
      </c>
      <c r="J829">
        <v>1321.4793701000001</v>
      </c>
      <c r="K829">
        <v>0</v>
      </c>
      <c r="L829">
        <v>550</v>
      </c>
      <c r="M829">
        <v>550</v>
      </c>
      <c r="N829">
        <v>0</v>
      </c>
    </row>
    <row r="830" spans="1:14" x14ac:dyDescent="0.25">
      <c r="A830">
        <v>915.00000399999999</v>
      </c>
      <c r="B830" s="1">
        <f>DATE(2012,11,1) + TIME(0,0,0)</f>
        <v>41214</v>
      </c>
      <c r="C830">
        <v>80</v>
      </c>
      <c r="D830">
        <v>79.846679687999995</v>
      </c>
      <c r="E830">
        <v>40</v>
      </c>
      <c r="F830">
        <v>47.869110106999997</v>
      </c>
      <c r="G830">
        <v>1339.3026123</v>
      </c>
      <c r="H830">
        <v>1337.6463623</v>
      </c>
      <c r="I830">
        <v>1327.5355225000001</v>
      </c>
      <c r="J830">
        <v>1322.1236572</v>
      </c>
      <c r="K830">
        <v>0</v>
      </c>
      <c r="L830">
        <v>550</v>
      </c>
      <c r="M830">
        <v>550</v>
      </c>
      <c r="N830">
        <v>0</v>
      </c>
    </row>
    <row r="831" spans="1:14" x14ac:dyDescent="0.25">
      <c r="A831">
        <v>915.00001299999997</v>
      </c>
      <c r="B831" s="1">
        <f>DATE(2012,11,1) + TIME(0,0,1)</f>
        <v>41214.000011574077</v>
      </c>
      <c r="C831">
        <v>80</v>
      </c>
      <c r="D831">
        <v>79.846534728999998</v>
      </c>
      <c r="E831">
        <v>40</v>
      </c>
      <c r="F831">
        <v>47.869274138999998</v>
      </c>
      <c r="G831">
        <v>1338.2824707</v>
      </c>
      <c r="H831">
        <v>1336.6235352000001</v>
      </c>
      <c r="I831">
        <v>1328.8472899999999</v>
      </c>
      <c r="J831">
        <v>1323.5761719</v>
      </c>
      <c r="K831">
        <v>0</v>
      </c>
      <c r="L831">
        <v>550</v>
      </c>
      <c r="M831">
        <v>550</v>
      </c>
      <c r="N831">
        <v>0</v>
      </c>
    </row>
    <row r="832" spans="1:14" x14ac:dyDescent="0.25">
      <c r="A832">
        <v>915.00004000000001</v>
      </c>
      <c r="B832" s="1">
        <f>DATE(2012,11,1) + TIME(0,0,3)</f>
        <v>41214.000034722223</v>
      </c>
      <c r="C832">
        <v>80</v>
      </c>
      <c r="D832">
        <v>79.846321106000005</v>
      </c>
      <c r="E832">
        <v>40</v>
      </c>
      <c r="F832">
        <v>47.869503021</v>
      </c>
      <c r="G832">
        <v>1336.7867432</v>
      </c>
      <c r="H832">
        <v>1335.1176757999999</v>
      </c>
      <c r="I832">
        <v>1331.1683350000001</v>
      </c>
      <c r="J832">
        <v>1325.9749756000001</v>
      </c>
      <c r="K832">
        <v>0</v>
      </c>
      <c r="L832">
        <v>550</v>
      </c>
      <c r="M832">
        <v>550</v>
      </c>
      <c r="N832">
        <v>0</v>
      </c>
    </row>
    <row r="833" spans="1:14" x14ac:dyDescent="0.25">
      <c r="A833">
        <v>915.00012100000004</v>
      </c>
      <c r="B833" s="1">
        <f>DATE(2012,11,1) + TIME(0,0,10)</f>
        <v>41214.000115740739</v>
      </c>
      <c r="C833">
        <v>80</v>
      </c>
      <c r="D833">
        <v>79.846069335999999</v>
      </c>
      <c r="E833">
        <v>40</v>
      </c>
      <c r="F833">
        <v>47.869674683</v>
      </c>
      <c r="G833">
        <v>1335.0997314000001</v>
      </c>
      <c r="H833">
        <v>1333.4038086</v>
      </c>
      <c r="I833">
        <v>1334.1877440999999</v>
      </c>
      <c r="J833">
        <v>1328.9831543</v>
      </c>
      <c r="K833">
        <v>0</v>
      </c>
      <c r="L833">
        <v>550</v>
      </c>
      <c r="M833">
        <v>550</v>
      </c>
      <c r="N833">
        <v>0</v>
      </c>
    </row>
    <row r="834" spans="1:14" x14ac:dyDescent="0.25">
      <c r="A834">
        <v>915.00036399999999</v>
      </c>
      <c r="B834" s="1">
        <f>DATE(2012,11,1) + TIME(0,0,31)</f>
        <v>41214.000358796293</v>
      </c>
      <c r="C834">
        <v>80</v>
      </c>
      <c r="D834">
        <v>79.845787048000005</v>
      </c>
      <c r="E834">
        <v>40</v>
      </c>
      <c r="F834">
        <v>47.869461059999999</v>
      </c>
      <c r="G834">
        <v>1333.3438721</v>
      </c>
      <c r="H834">
        <v>1331.5755615</v>
      </c>
      <c r="I834">
        <v>1337.4110106999999</v>
      </c>
      <c r="J834">
        <v>1332.1802978999999</v>
      </c>
      <c r="K834">
        <v>0</v>
      </c>
      <c r="L834">
        <v>550</v>
      </c>
      <c r="M834">
        <v>550</v>
      </c>
      <c r="N834">
        <v>0</v>
      </c>
    </row>
    <row r="835" spans="1:14" x14ac:dyDescent="0.25">
      <c r="A835">
        <v>915.00109299999997</v>
      </c>
      <c r="B835" s="1">
        <f>DATE(2012,11,1) + TIME(0,1,34)</f>
        <v>41214.001087962963</v>
      </c>
      <c r="C835">
        <v>80</v>
      </c>
      <c r="D835">
        <v>79.845428467000005</v>
      </c>
      <c r="E835">
        <v>40</v>
      </c>
      <c r="F835">
        <v>47.868007660000004</v>
      </c>
      <c r="G835">
        <v>1331.5373535000001</v>
      </c>
      <c r="H835">
        <v>1329.6265868999999</v>
      </c>
      <c r="I835">
        <v>1340.5795897999999</v>
      </c>
      <c r="J835">
        <v>1335.3172606999999</v>
      </c>
      <c r="K835">
        <v>0</v>
      </c>
      <c r="L835">
        <v>550</v>
      </c>
      <c r="M835">
        <v>550</v>
      </c>
      <c r="N835">
        <v>0</v>
      </c>
    </row>
    <row r="836" spans="1:14" x14ac:dyDescent="0.25">
      <c r="A836">
        <v>915.00328000000002</v>
      </c>
      <c r="B836" s="1">
        <f>DATE(2012,11,1) + TIME(0,4,43)</f>
        <v>41214.003275462965</v>
      </c>
      <c r="C836">
        <v>80</v>
      </c>
      <c r="D836">
        <v>79.844871521000002</v>
      </c>
      <c r="E836">
        <v>40</v>
      </c>
      <c r="F836">
        <v>47.862743377999998</v>
      </c>
      <c r="G836">
        <v>1329.8698730000001</v>
      </c>
      <c r="H836">
        <v>1327.8056641000001</v>
      </c>
      <c r="I836">
        <v>1343.2729492000001</v>
      </c>
      <c r="J836">
        <v>1337.9537353999999</v>
      </c>
      <c r="K836">
        <v>0</v>
      </c>
      <c r="L836">
        <v>550</v>
      </c>
      <c r="M836">
        <v>550</v>
      </c>
      <c r="N836">
        <v>0</v>
      </c>
    </row>
    <row r="837" spans="1:14" x14ac:dyDescent="0.25">
      <c r="A837">
        <v>915.00984100000005</v>
      </c>
      <c r="B837" s="1">
        <f>DATE(2012,11,1) + TIME(0,14,10)</f>
        <v>41214.009837962964</v>
      </c>
      <c r="C837">
        <v>80</v>
      </c>
      <c r="D837">
        <v>79.843696593999994</v>
      </c>
      <c r="E837">
        <v>40</v>
      </c>
      <c r="F837">
        <v>47.846023559999999</v>
      </c>
      <c r="G837">
        <v>1328.6174315999999</v>
      </c>
      <c r="H837">
        <v>1326.4760742000001</v>
      </c>
      <c r="I837">
        <v>1345.0252685999999</v>
      </c>
      <c r="J837">
        <v>1339.6456298999999</v>
      </c>
      <c r="K837">
        <v>0</v>
      </c>
      <c r="L837">
        <v>550</v>
      </c>
      <c r="M837">
        <v>550</v>
      </c>
      <c r="N837">
        <v>0</v>
      </c>
    </row>
    <row r="838" spans="1:14" x14ac:dyDescent="0.25">
      <c r="A838">
        <v>915.02952400000004</v>
      </c>
      <c r="B838" s="1">
        <f>DATE(2012,11,1) + TIME(0,42,30)</f>
        <v>41214.029513888891</v>
      </c>
      <c r="C838">
        <v>80</v>
      </c>
      <c r="D838">
        <v>79.840599060000002</v>
      </c>
      <c r="E838">
        <v>40</v>
      </c>
      <c r="F838">
        <v>47.795326232999997</v>
      </c>
      <c r="G838">
        <v>1327.8754882999999</v>
      </c>
      <c r="H838">
        <v>1325.7160644999999</v>
      </c>
      <c r="I838">
        <v>1345.847168</v>
      </c>
      <c r="J838">
        <v>1340.4268798999999</v>
      </c>
      <c r="K838">
        <v>0</v>
      </c>
      <c r="L838">
        <v>550</v>
      </c>
      <c r="M838">
        <v>550</v>
      </c>
      <c r="N838">
        <v>0</v>
      </c>
    </row>
    <row r="839" spans="1:14" x14ac:dyDescent="0.25">
      <c r="A839">
        <v>915.088573</v>
      </c>
      <c r="B839" s="1">
        <f>DATE(2012,11,1) + TIME(2,7,32)</f>
        <v>41214.088564814818</v>
      </c>
      <c r="C839">
        <v>80</v>
      </c>
      <c r="D839">
        <v>79.831657410000005</v>
      </c>
      <c r="E839">
        <v>40</v>
      </c>
      <c r="F839">
        <v>47.645740508999999</v>
      </c>
      <c r="G839">
        <v>1327.5355225000001</v>
      </c>
      <c r="H839">
        <v>1325.3740233999999</v>
      </c>
      <c r="I839">
        <v>1346.0860596</v>
      </c>
      <c r="J839">
        <v>1340.6463623</v>
      </c>
      <c r="K839">
        <v>0</v>
      </c>
      <c r="L839">
        <v>550</v>
      </c>
      <c r="M839">
        <v>550</v>
      </c>
      <c r="N839">
        <v>0</v>
      </c>
    </row>
    <row r="840" spans="1:14" x14ac:dyDescent="0.25">
      <c r="A840">
        <v>915.26571999999999</v>
      </c>
      <c r="B840" s="1">
        <f>DATE(2012,11,1) + TIME(6,22,38)</f>
        <v>41214.265717592592</v>
      </c>
      <c r="C840">
        <v>80</v>
      </c>
      <c r="D840">
        <v>79.805740356000001</v>
      </c>
      <c r="E840">
        <v>40</v>
      </c>
      <c r="F840">
        <v>47.223526001000003</v>
      </c>
      <c r="G840">
        <v>1327.4301757999999</v>
      </c>
      <c r="H840">
        <v>1325.2683105000001</v>
      </c>
      <c r="I840">
        <v>1346.0911865</v>
      </c>
      <c r="J840">
        <v>1340.6369629000001</v>
      </c>
      <c r="K840">
        <v>0</v>
      </c>
      <c r="L840">
        <v>550</v>
      </c>
      <c r="M840">
        <v>550</v>
      </c>
      <c r="N840">
        <v>0</v>
      </c>
    </row>
    <row r="841" spans="1:14" x14ac:dyDescent="0.25">
      <c r="A841">
        <v>915.60265600000002</v>
      </c>
      <c r="B841" s="1">
        <f>DATE(2012,11,1) + TIME(14,27,49)</f>
        <v>41214.602650462963</v>
      </c>
      <c r="C841">
        <v>80</v>
      </c>
      <c r="D841">
        <v>79.758583068999997</v>
      </c>
      <c r="E841">
        <v>40</v>
      </c>
      <c r="F841">
        <v>46.506546020999998</v>
      </c>
      <c r="G841">
        <v>1327.4077147999999</v>
      </c>
      <c r="H841">
        <v>1325.2449951000001</v>
      </c>
      <c r="I841">
        <v>1346.057251</v>
      </c>
      <c r="J841">
        <v>1340.5861815999999</v>
      </c>
      <c r="K841">
        <v>0</v>
      </c>
      <c r="L841">
        <v>550</v>
      </c>
      <c r="M841">
        <v>550</v>
      </c>
      <c r="N841">
        <v>0</v>
      </c>
    </row>
    <row r="842" spans="1:14" x14ac:dyDescent="0.25">
      <c r="A842">
        <v>915.95976299999995</v>
      </c>
      <c r="B842" s="1">
        <f>DATE(2012,11,1) + TIME(23,2,3)</f>
        <v>41214.959756944445</v>
      </c>
      <c r="C842">
        <v>80</v>
      </c>
      <c r="D842">
        <v>79.709724425999994</v>
      </c>
      <c r="E842">
        <v>40</v>
      </c>
      <c r="F842">
        <v>45.831733704000001</v>
      </c>
      <c r="G842">
        <v>1327.3952637</v>
      </c>
      <c r="H842">
        <v>1325.2308350000001</v>
      </c>
      <c r="I842">
        <v>1346.0197754000001</v>
      </c>
      <c r="J842">
        <v>1340.5368652</v>
      </c>
      <c r="K842">
        <v>0</v>
      </c>
      <c r="L842">
        <v>550</v>
      </c>
      <c r="M842">
        <v>550</v>
      </c>
      <c r="N842">
        <v>0</v>
      </c>
    </row>
    <row r="843" spans="1:14" x14ac:dyDescent="0.25">
      <c r="A843">
        <v>916.34043599999995</v>
      </c>
      <c r="B843" s="1">
        <f>DATE(2012,11,2) + TIME(8,10,13)</f>
        <v>41215.340428240743</v>
      </c>
      <c r="C843">
        <v>80</v>
      </c>
      <c r="D843">
        <v>79.658851623999993</v>
      </c>
      <c r="E843">
        <v>40</v>
      </c>
      <c r="F843">
        <v>45.196296691999997</v>
      </c>
      <c r="G843">
        <v>1327.3834228999999</v>
      </c>
      <c r="H843">
        <v>1325.2170410000001</v>
      </c>
      <c r="I843">
        <v>1345.984375</v>
      </c>
      <c r="J843">
        <v>1340.4908447</v>
      </c>
      <c r="K843">
        <v>0</v>
      </c>
      <c r="L843">
        <v>550</v>
      </c>
      <c r="M843">
        <v>550</v>
      </c>
      <c r="N843">
        <v>0</v>
      </c>
    </row>
    <row r="844" spans="1:14" x14ac:dyDescent="0.25">
      <c r="A844">
        <v>916.73377800000003</v>
      </c>
      <c r="B844" s="1">
        <f>DATE(2012,11,2) + TIME(17,36,38)</f>
        <v>41215.733773148146</v>
      </c>
      <c r="C844">
        <v>80</v>
      </c>
      <c r="D844">
        <v>79.607406616000006</v>
      </c>
      <c r="E844">
        <v>40</v>
      </c>
      <c r="F844">
        <v>44.617389678999999</v>
      </c>
      <c r="G844">
        <v>1327.3712158000001</v>
      </c>
      <c r="H844">
        <v>1325.2025146000001</v>
      </c>
      <c r="I844">
        <v>1345.9511719</v>
      </c>
      <c r="J844">
        <v>1340.4483643000001</v>
      </c>
      <c r="K844">
        <v>0</v>
      </c>
      <c r="L844">
        <v>550</v>
      </c>
      <c r="M844">
        <v>550</v>
      </c>
      <c r="N844">
        <v>0</v>
      </c>
    </row>
    <row r="845" spans="1:14" x14ac:dyDescent="0.25">
      <c r="A845">
        <v>917.14030000000002</v>
      </c>
      <c r="B845" s="1">
        <f>DATE(2012,11,3) + TIME(3,22,1)</f>
        <v>41216.140289351853</v>
      </c>
      <c r="C845">
        <v>80</v>
      </c>
      <c r="D845">
        <v>79.555335998999993</v>
      </c>
      <c r="E845">
        <v>40</v>
      </c>
      <c r="F845">
        <v>44.090938567999999</v>
      </c>
      <c r="G845">
        <v>1327.3586425999999</v>
      </c>
      <c r="H845">
        <v>1325.1875</v>
      </c>
      <c r="I845">
        <v>1345.9204102000001</v>
      </c>
      <c r="J845">
        <v>1340.4093018000001</v>
      </c>
      <c r="K845">
        <v>0</v>
      </c>
      <c r="L845">
        <v>550</v>
      </c>
      <c r="M845">
        <v>550</v>
      </c>
      <c r="N845">
        <v>0</v>
      </c>
    </row>
    <row r="846" spans="1:14" x14ac:dyDescent="0.25">
      <c r="A846">
        <v>917.56072900000004</v>
      </c>
      <c r="B846" s="1">
        <f>DATE(2012,11,3) + TIME(13,27,26)</f>
        <v>41216.560717592591</v>
      </c>
      <c r="C846">
        <v>80</v>
      </c>
      <c r="D846">
        <v>79.502601623999993</v>
      </c>
      <c r="E846">
        <v>40</v>
      </c>
      <c r="F846">
        <v>43.612953185999999</v>
      </c>
      <c r="G846">
        <v>1327.3457031</v>
      </c>
      <c r="H846">
        <v>1325.171875</v>
      </c>
      <c r="I846">
        <v>1345.8919678</v>
      </c>
      <c r="J846">
        <v>1340.3735352000001</v>
      </c>
      <c r="K846">
        <v>0</v>
      </c>
      <c r="L846">
        <v>550</v>
      </c>
      <c r="M846">
        <v>550</v>
      </c>
      <c r="N846">
        <v>0</v>
      </c>
    </row>
    <row r="847" spans="1:14" x14ac:dyDescent="0.25">
      <c r="A847">
        <v>917.99578499999996</v>
      </c>
      <c r="B847" s="1">
        <f>DATE(2012,11,3) + TIME(23,53,55)</f>
        <v>41216.995775462965</v>
      </c>
      <c r="C847">
        <v>80</v>
      </c>
      <c r="D847">
        <v>79.449134826999995</v>
      </c>
      <c r="E847">
        <v>40</v>
      </c>
      <c r="F847">
        <v>43.179813385000003</v>
      </c>
      <c r="G847">
        <v>1327.3325195</v>
      </c>
      <c r="H847">
        <v>1325.1556396000001</v>
      </c>
      <c r="I847">
        <v>1345.8657227000001</v>
      </c>
      <c r="J847">
        <v>1340.3409423999999</v>
      </c>
      <c r="K847">
        <v>0</v>
      </c>
      <c r="L847">
        <v>550</v>
      </c>
      <c r="M847">
        <v>550</v>
      </c>
      <c r="N847">
        <v>0</v>
      </c>
    </row>
    <row r="848" spans="1:14" x14ac:dyDescent="0.25">
      <c r="A848">
        <v>918.44629099999997</v>
      </c>
      <c r="B848" s="1">
        <f>DATE(2012,11,4) + TIME(10,42,39)</f>
        <v>41217.446284722224</v>
      </c>
      <c r="C848">
        <v>80</v>
      </c>
      <c r="D848">
        <v>79.394874572999996</v>
      </c>
      <c r="E848">
        <v>40</v>
      </c>
      <c r="F848">
        <v>42.788127899000003</v>
      </c>
      <c r="G848">
        <v>1327.3188477000001</v>
      </c>
      <c r="H848">
        <v>1325.1387939000001</v>
      </c>
      <c r="I848">
        <v>1345.8414307</v>
      </c>
      <c r="J848">
        <v>1340.3111572</v>
      </c>
      <c r="K848">
        <v>0</v>
      </c>
      <c r="L848">
        <v>550</v>
      </c>
      <c r="M848">
        <v>550</v>
      </c>
      <c r="N848">
        <v>0</v>
      </c>
    </row>
    <row r="849" spans="1:14" x14ac:dyDescent="0.25">
      <c r="A849">
        <v>918.913141</v>
      </c>
      <c r="B849" s="1">
        <f>DATE(2012,11,4) + TIME(21,54,55)</f>
        <v>41217.913136574076</v>
      </c>
      <c r="C849">
        <v>80</v>
      </c>
      <c r="D849">
        <v>79.339759826999995</v>
      </c>
      <c r="E849">
        <v>40</v>
      </c>
      <c r="F849">
        <v>42.434741973999998</v>
      </c>
      <c r="G849">
        <v>1327.3048096</v>
      </c>
      <c r="H849">
        <v>1325.1213379000001</v>
      </c>
      <c r="I849">
        <v>1345.8189697</v>
      </c>
      <c r="J849">
        <v>1340.2839355000001</v>
      </c>
      <c r="K849">
        <v>0</v>
      </c>
      <c r="L849">
        <v>550</v>
      </c>
      <c r="M849">
        <v>550</v>
      </c>
      <c r="N849">
        <v>0</v>
      </c>
    </row>
    <row r="850" spans="1:14" x14ac:dyDescent="0.25">
      <c r="A850">
        <v>919.39716699999997</v>
      </c>
      <c r="B850" s="1">
        <f>DATE(2012,11,5) + TIME(9,31,55)</f>
        <v>41218.397164351853</v>
      </c>
      <c r="C850">
        <v>80</v>
      </c>
      <c r="D850">
        <v>79.283721924000005</v>
      </c>
      <c r="E850">
        <v>40</v>
      </c>
      <c r="F850">
        <v>42.116798400999997</v>
      </c>
      <c r="G850">
        <v>1327.2904053</v>
      </c>
      <c r="H850">
        <v>1325.1031493999999</v>
      </c>
      <c r="I850">
        <v>1345.7984618999999</v>
      </c>
      <c r="J850">
        <v>1340.2592772999999</v>
      </c>
      <c r="K850">
        <v>0</v>
      </c>
      <c r="L850">
        <v>550</v>
      </c>
      <c r="M850">
        <v>550</v>
      </c>
      <c r="N850">
        <v>0</v>
      </c>
    </row>
    <row r="851" spans="1:14" x14ac:dyDescent="0.25">
      <c r="A851">
        <v>919.89928599999996</v>
      </c>
      <c r="B851" s="1">
        <f>DATE(2012,11,5) + TIME(21,34,58)</f>
        <v>41218.899282407408</v>
      </c>
      <c r="C851">
        <v>80</v>
      </c>
      <c r="D851">
        <v>79.226707458000007</v>
      </c>
      <c r="E851">
        <v>40</v>
      </c>
      <c r="F851">
        <v>41.831596374999997</v>
      </c>
      <c r="G851">
        <v>1327.2755127</v>
      </c>
      <c r="H851">
        <v>1325.0842285000001</v>
      </c>
      <c r="I851">
        <v>1345.7795410000001</v>
      </c>
      <c r="J851">
        <v>1340.2370605000001</v>
      </c>
      <c r="K851">
        <v>0</v>
      </c>
      <c r="L851">
        <v>550</v>
      </c>
      <c r="M851">
        <v>550</v>
      </c>
      <c r="N851">
        <v>0</v>
      </c>
    </row>
    <row r="852" spans="1:14" x14ac:dyDescent="0.25">
      <c r="A852">
        <v>920.42081900000005</v>
      </c>
      <c r="B852" s="1">
        <f>DATE(2012,11,6) + TIME(10,5,58)</f>
        <v>41219.420810185184</v>
      </c>
      <c r="C852">
        <v>80</v>
      </c>
      <c r="D852">
        <v>79.16859436</v>
      </c>
      <c r="E852">
        <v>40</v>
      </c>
      <c r="F852">
        <v>41.576442718999999</v>
      </c>
      <c r="G852">
        <v>1327.2600098</v>
      </c>
      <c r="H852">
        <v>1325.0645752</v>
      </c>
      <c r="I852">
        <v>1345.762207</v>
      </c>
      <c r="J852">
        <v>1340.2167969</v>
      </c>
      <c r="K852">
        <v>0</v>
      </c>
      <c r="L852">
        <v>550</v>
      </c>
      <c r="M852">
        <v>550</v>
      </c>
      <c r="N852">
        <v>0</v>
      </c>
    </row>
    <row r="853" spans="1:14" x14ac:dyDescent="0.25">
      <c r="A853">
        <v>920.96296500000005</v>
      </c>
      <c r="B853" s="1">
        <f>DATE(2012,11,6) + TIME(23,6,40)</f>
        <v>41219.962962962964</v>
      </c>
      <c r="C853">
        <v>80</v>
      </c>
      <c r="D853">
        <v>79.109306334999999</v>
      </c>
      <c r="E853">
        <v>40</v>
      </c>
      <c r="F853">
        <v>41.348953246999997</v>
      </c>
      <c r="G853">
        <v>1327.2441406</v>
      </c>
      <c r="H853">
        <v>1325.0441894999999</v>
      </c>
      <c r="I853">
        <v>1345.7463379000001</v>
      </c>
      <c r="J853">
        <v>1340.1987305</v>
      </c>
      <c r="K853">
        <v>0</v>
      </c>
      <c r="L853">
        <v>550</v>
      </c>
      <c r="M853">
        <v>550</v>
      </c>
      <c r="N853">
        <v>0</v>
      </c>
    </row>
    <row r="854" spans="1:14" x14ac:dyDescent="0.25">
      <c r="A854">
        <v>921.52703299999996</v>
      </c>
      <c r="B854" s="1">
        <f>DATE(2012,11,7) + TIME(12,38,55)</f>
        <v>41220.527025462965</v>
      </c>
      <c r="C854">
        <v>80</v>
      </c>
      <c r="D854">
        <v>79.048744201999995</v>
      </c>
      <c r="E854">
        <v>40</v>
      </c>
      <c r="F854">
        <v>41.146869658999996</v>
      </c>
      <c r="G854">
        <v>1327.2275391000001</v>
      </c>
      <c r="H854">
        <v>1325.0228271000001</v>
      </c>
      <c r="I854">
        <v>1345.7319336</v>
      </c>
      <c r="J854">
        <v>1340.1823730000001</v>
      </c>
      <c r="K854">
        <v>0</v>
      </c>
      <c r="L854">
        <v>550</v>
      </c>
      <c r="M854">
        <v>550</v>
      </c>
      <c r="N854">
        <v>0</v>
      </c>
    </row>
    <row r="855" spans="1:14" x14ac:dyDescent="0.25">
      <c r="A855">
        <v>922.11443899999995</v>
      </c>
      <c r="B855" s="1">
        <f>DATE(2012,11,8) + TIME(2,44,47)</f>
        <v>41221.114432870374</v>
      </c>
      <c r="C855">
        <v>80</v>
      </c>
      <c r="D855">
        <v>78.986816406000003</v>
      </c>
      <c r="E855">
        <v>40</v>
      </c>
      <c r="F855">
        <v>40.968070984000001</v>
      </c>
      <c r="G855">
        <v>1327.2103271000001</v>
      </c>
      <c r="H855">
        <v>1325.0006103999999</v>
      </c>
      <c r="I855">
        <v>1345.71875</v>
      </c>
      <c r="J855">
        <v>1340.1677245999999</v>
      </c>
      <c r="K855">
        <v>0</v>
      </c>
      <c r="L855">
        <v>550</v>
      </c>
      <c r="M855">
        <v>550</v>
      </c>
      <c r="N855">
        <v>0</v>
      </c>
    </row>
    <row r="856" spans="1:14" x14ac:dyDescent="0.25">
      <c r="A856">
        <v>922.72672999999998</v>
      </c>
      <c r="B856" s="1">
        <f>DATE(2012,11,8) + TIME(17,26,29)</f>
        <v>41221.726724537039</v>
      </c>
      <c r="C856">
        <v>80</v>
      </c>
      <c r="D856">
        <v>78.923400878999999</v>
      </c>
      <c r="E856">
        <v>40</v>
      </c>
      <c r="F856">
        <v>40.810558319000002</v>
      </c>
      <c r="G856">
        <v>1327.1925048999999</v>
      </c>
      <c r="H856">
        <v>1324.9775391000001</v>
      </c>
      <c r="I856">
        <v>1345.7067870999999</v>
      </c>
      <c r="J856">
        <v>1340.1547852000001</v>
      </c>
      <c r="K856">
        <v>0</v>
      </c>
      <c r="L856">
        <v>550</v>
      </c>
      <c r="M856">
        <v>550</v>
      </c>
      <c r="N856">
        <v>0</v>
      </c>
    </row>
    <row r="857" spans="1:14" x14ac:dyDescent="0.25">
      <c r="A857">
        <v>923.36560399999996</v>
      </c>
      <c r="B857" s="1">
        <f>DATE(2012,11,9) + TIME(8,46,28)</f>
        <v>41222.365601851852</v>
      </c>
      <c r="C857">
        <v>80</v>
      </c>
      <c r="D857">
        <v>78.858390807999996</v>
      </c>
      <c r="E857">
        <v>40</v>
      </c>
      <c r="F857">
        <v>40.672439574999999</v>
      </c>
      <c r="G857">
        <v>1327.1739502</v>
      </c>
      <c r="H857">
        <v>1324.9532471</v>
      </c>
      <c r="I857">
        <v>1345.6960449000001</v>
      </c>
      <c r="J857">
        <v>1340.1431885</v>
      </c>
      <c r="K857">
        <v>0</v>
      </c>
      <c r="L857">
        <v>550</v>
      </c>
      <c r="M857">
        <v>550</v>
      </c>
      <c r="N857">
        <v>0</v>
      </c>
    </row>
    <row r="858" spans="1:14" x14ac:dyDescent="0.25">
      <c r="A858">
        <v>924.03287699999998</v>
      </c>
      <c r="B858" s="1">
        <f>DATE(2012,11,10) + TIME(0,47,20)</f>
        <v>41223.032870370371</v>
      </c>
      <c r="C858">
        <v>80</v>
      </c>
      <c r="D858">
        <v>78.791656493999994</v>
      </c>
      <c r="E858">
        <v>40</v>
      </c>
      <c r="F858">
        <v>40.551937103</v>
      </c>
      <c r="G858">
        <v>1327.1546631000001</v>
      </c>
      <c r="H858">
        <v>1324.9279785000001</v>
      </c>
      <c r="I858">
        <v>1345.6862793</v>
      </c>
      <c r="J858">
        <v>1340.1330565999999</v>
      </c>
      <c r="K858">
        <v>0</v>
      </c>
      <c r="L858">
        <v>550</v>
      </c>
      <c r="M858">
        <v>550</v>
      </c>
      <c r="N858">
        <v>0</v>
      </c>
    </row>
    <row r="859" spans="1:14" x14ac:dyDescent="0.25">
      <c r="A859">
        <v>924.73060399999997</v>
      </c>
      <c r="B859" s="1">
        <f>DATE(2012,11,10) + TIME(17,32,4)</f>
        <v>41223.73060185185</v>
      </c>
      <c r="C859">
        <v>80</v>
      </c>
      <c r="D859">
        <v>78.723075867000006</v>
      </c>
      <c r="E859">
        <v>40</v>
      </c>
      <c r="F859">
        <v>40.447364807</v>
      </c>
      <c r="G859">
        <v>1327.1345214999999</v>
      </c>
      <c r="H859">
        <v>1324.9016113</v>
      </c>
      <c r="I859">
        <v>1345.6776123</v>
      </c>
      <c r="J859">
        <v>1340.1241454999999</v>
      </c>
      <c r="K859">
        <v>0</v>
      </c>
      <c r="L859">
        <v>550</v>
      </c>
      <c r="M859">
        <v>550</v>
      </c>
      <c r="N859">
        <v>0</v>
      </c>
    </row>
    <row r="860" spans="1:14" x14ac:dyDescent="0.25">
      <c r="A860">
        <v>925.461005</v>
      </c>
      <c r="B860" s="1">
        <f>DATE(2012,11,11) + TIME(11,3,50)</f>
        <v>41224.460995370369</v>
      </c>
      <c r="C860">
        <v>80</v>
      </c>
      <c r="D860">
        <v>78.652481078999998</v>
      </c>
      <c r="E860">
        <v>40</v>
      </c>
      <c r="F860">
        <v>40.357147216999998</v>
      </c>
      <c r="G860">
        <v>1327.1134033000001</v>
      </c>
      <c r="H860">
        <v>1324.8739014</v>
      </c>
      <c r="I860">
        <v>1345.6697998</v>
      </c>
      <c r="J860">
        <v>1340.1162108999999</v>
      </c>
      <c r="K860">
        <v>0</v>
      </c>
      <c r="L860">
        <v>550</v>
      </c>
      <c r="M860">
        <v>550</v>
      </c>
      <c r="N860">
        <v>0</v>
      </c>
    </row>
    <row r="861" spans="1:14" x14ac:dyDescent="0.25">
      <c r="A861">
        <v>926.22620300000005</v>
      </c>
      <c r="B861" s="1">
        <f>DATE(2012,11,12) + TIME(5,25,43)</f>
        <v>41225.22619212963</v>
      </c>
      <c r="C861">
        <v>80</v>
      </c>
      <c r="D861">
        <v>78.579765320000007</v>
      </c>
      <c r="E861">
        <v>40</v>
      </c>
      <c r="F861">
        <v>40.279815673999998</v>
      </c>
      <c r="G861">
        <v>1327.0914307</v>
      </c>
      <c r="H861">
        <v>1324.8448486</v>
      </c>
      <c r="I861">
        <v>1345.6628418</v>
      </c>
      <c r="J861">
        <v>1340.1094971</v>
      </c>
      <c r="K861">
        <v>0</v>
      </c>
      <c r="L861">
        <v>550</v>
      </c>
      <c r="M861">
        <v>550</v>
      </c>
      <c r="N861">
        <v>0</v>
      </c>
    </row>
    <row r="862" spans="1:14" x14ac:dyDescent="0.25">
      <c r="A862">
        <v>927.02918799999998</v>
      </c>
      <c r="B862" s="1">
        <f>DATE(2012,11,13) + TIME(0,42,1)</f>
        <v>41226.029178240744</v>
      </c>
      <c r="C862">
        <v>80</v>
      </c>
      <c r="D862">
        <v>78.504722595000004</v>
      </c>
      <c r="E862">
        <v>40</v>
      </c>
      <c r="F862">
        <v>40.213943481000001</v>
      </c>
      <c r="G862">
        <v>1327.0683594</v>
      </c>
      <c r="H862">
        <v>1324.8143310999999</v>
      </c>
      <c r="I862">
        <v>1345.6566161999999</v>
      </c>
      <c r="J862">
        <v>1340.1035156</v>
      </c>
      <c r="K862">
        <v>0</v>
      </c>
      <c r="L862">
        <v>550</v>
      </c>
      <c r="M862">
        <v>550</v>
      </c>
      <c r="N862">
        <v>0</v>
      </c>
    </row>
    <row r="863" spans="1:14" x14ac:dyDescent="0.25">
      <c r="A863">
        <v>927.87296700000002</v>
      </c>
      <c r="B863" s="1">
        <f>DATE(2012,11,13) + TIME(20,57,4)</f>
        <v>41226.87296296296</v>
      </c>
      <c r="C863">
        <v>80</v>
      </c>
      <c r="D863">
        <v>78.427169800000001</v>
      </c>
      <c r="E863">
        <v>40</v>
      </c>
      <c r="F863">
        <v>40.158226012999997</v>
      </c>
      <c r="G863">
        <v>1327.0440673999999</v>
      </c>
      <c r="H863">
        <v>1324.7823486</v>
      </c>
      <c r="I863">
        <v>1345.6512451000001</v>
      </c>
      <c r="J863">
        <v>1340.0985106999999</v>
      </c>
      <c r="K863">
        <v>0</v>
      </c>
      <c r="L863">
        <v>550</v>
      </c>
      <c r="M863">
        <v>550</v>
      </c>
      <c r="N863">
        <v>0</v>
      </c>
    </row>
    <row r="864" spans="1:14" x14ac:dyDescent="0.25">
      <c r="A864">
        <v>928.76086399999997</v>
      </c>
      <c r="B864" s="1">
        <f>DATE(2012,11,14) + TIME(18,15,38)</f>
        <v>41227.76085648148</v>
      </c>
      <c r="C864">
        <v>80</v>
      </c>
      <c r="D864">
        <v>78.346916199000006</v>
      </c>
      <c r="E864">
        <v>40</v>
      </c>
      <c r="F864">
        <v>40.111450195000003</v>
      </c>
      <c r="G864">
        <v>1327.0186768000001</v>
      </c>
      <c r="H864">
        <v>1324.7485352000001</v>
      </c>
      <c r="I864">
        <v>1345.6464844</v>
      </c>
      <c r="J864">
        <v>1340.0942382999999</v>
      </c>
      <c r="K864">
        <v>0</v>
      </c>
      <c r="L864">
        <v>550</v>
      </c>
      <c r="M864">
        <v>550</v>
      </c>
      <c r="N864">
        <v>0</v>
      </c>
    </row>
    <row r="865" spans="1:14" x14ac:dyDescent="0.25">
      <c r="A865">
        <v>929.69658100000004</v>
      </c>
      <c r="B865" s="1">
        <f>DATE(2012,11,15) + TIME(16,43,4)</f>
        <v>41228.696574074071</v>
      </c>
      <c r="C865">
        <v>80</v>
      </c>
      <c r="D865">
        <v>78.263740540000001</v>
      </c>
      <c r="E865">
        <v>40</v>
      </c>
      <c r="F865">
        <v>40.072498322000001</v>
      </c>
      <c r="G865">
        <v>1326.9919434000001</v>
      </c>
      <c r="H865">
        <v>1324.7130127</v>
      </c>
      <c r="I865">
        <v>1345.6424560999999</v>
      </c>
      <c r="J865">
        <v>1340.0905762</v>
      </c>
      <c r="K865">
        <v>0</v>
      </c>
      <c r="L865">
        <v>550</v>
      </c>
      <c r="M865">
        <v>550</v>
      </c>
      <c r="N865">
        <v>0</v>
      </c>
    </row>
    <row r="866" spans="1:14" x14ac:dyDescent="0.25">
      <c r="A866">
        <v>930.68424000000005</v>
      </c>
      <c r="B866" s="1">
        <f>DATE(2012,11,16) + TIME(16,25,18)</f>
        <v>41229.684236111112</v>
      </c>
      <c r="C866">
        <v>80</v>
      </c>
      <c r="D866">
        <v>78.177398682000003</v>
      </c>
      <c r="E866">
        <v>40</v>
      </c>
      <c r="F866">
        <v>40.040332794000001</v>
      </c>
      <c r="G866">
        <v>1326.9637451000001</v>
      </c>
      <c r="H866">
        <v>1324.6755370999999</v>
      </c>
      <c r="I866">
        <v>1345.6389160000001</v>
      </c>
      <c r="J866">
        <v>1340.0874022999999</v>
      </c>
      <c r="K866">
        <v>0</v>
      </c>
      <c r="L866">
        <v>550</v>
      </c>
      <c r="M866">
        <v>550</v>
      </c>
      <c r="N866">
        <v>0</v>
      </c>
    </row>
    <row r="867" spans="1:14" x14ac:dyDescent="0.25">
      <c r="A867">
        <v>931.71178399999997</v>
      </c>
      <c r="B867" s="1">
        <f>DATE(2012,11,17) + TIME(17,4,58)</f>
        <v>41230.711782407408</v>
      </c>
      <c r="C867">
        <v>80</v>
      </c>
      <c r="D867">
        <v>78.088821410999998</v>
      </c>
      <c r="E867">
        <v>40</v>
      </c>
      <c r="F867">
        <v>40.014339446999998</v>
      </c>
      <c r="G867">
        <v>1326.9339600000001</v>
      </c>
      <c r="H867">
        <v>1324.6359863</v>
      </c>
      <c r="I867">
        <v>1345.6358643000001</v>
      </c>
      <c r="J867">
        <v>1340.0848389</v>
      </c>
      <c r="K867">
        <v>0</v>
      </c>
      <c r="L867">
        <v>550</v>
      </c>
      <c r="M867">
        <v>550</v>
      </c>
      <c r="N867">
        <v>0</v>
      </c>
    </row>
    <row r="868" spans="1:14" x14ac:dyDescent="0.25">
      <c r="A868">
        <v>932.76677099999995</v>
      </c>
      <c r="B868" s="1">
        <f>DATE(2012,11,18) + TIME(18,24,9)</f>
        <v>41231.766770833332</v>
      </c>
      <c r="C868">
        <v>80</v>
      </c>
      <c r="D868">
        <v>77.998901367000002</v>
      </c>
      <c r="E868">
        <v>40</v>
      </c>
      <c r="F868">
        <v>39.993698119999998</v>
      </c>
      <c r="G868">
        <v>1326.9030762</v>
      </c>
      <c r="H868">
        <v>1324.5947266000001</v>
      </c>
      <c r="I868">
        <v>1345.6334228999999</v>
      </c>
      <c r="J868">
        <v>1340.0827637</v>
      </c>
      <c r="K868">
        <v>0</v>
      </c>
      <c r="L868">
        <v>550</v>
      </c>
      <c r="M868">
        <v>550</v>
      </c>
      <c r="N868">
        <v>0</v>
      </c>
    </row>
    <row r="869" spans="1:14" x14ac:dyDescent="0.25">
      <c r="A869">
        <v>933.85177499999998</v>
      </c>
      <c r="B869" s="1">
        <f>DATE(2012,11,19) + TIME(20,26,33)</f>
        <v>41232.851770833331</v>
      </c>
      <c r="C869">
        <v>80</v>
      </c>
      <c r="D869">
        <v>77.907546996999997</v>
      </c>
      <c r="E869">
        <v>40</v>
      </c>
      <c r="F869">
        <v>39.977348327999998</v>
      </c>
      <c r="G869">
        <v>1326.8712158000001</v>
      </c>
      <c r="H869">
        <v>1324.5522461</v>
      </c>
      <c r="I869">
        <v>1345.6313477000001</v>
      </c>
      <c r="J869">
        <v>1340.0810547000001</v>
      </c>
      <c r="K869">
        <v>0</v>
      </c>
      <c r="L869">
        <v>550</v>
      </c>
      <c r="M869">
        <v>550</v>
      </c>
      <c r="N869">
        <v>0</v>
      </c>
    </row>
    <row r="870" spans="1:14" x14ac:dyDescent="0.25">
      <c r="A870">
        <v>934.96901500000001</v>
      </c>
      <c r="B870" s="1">
        <f>DATE(2012,11,20) + TIME(23,15,22)</f>
        <v>41233.969004629631</v>
      </c>
      <c r="C870">
        <v>80</v>
      </c>
      <c r="D870">
        <v>77.814651488999999</v>
      </c>
      <c r="E870">
        <v>40</v>
      </c>
      <c r="F870">
        <v>39.964443207000002</v>
      </c>
      <c r="G870">
        <v>1326.8382568</v>
      </c>
      <c r="H870">
        <v>1324.5083007999999</v>
      </c>
      <c r="I870">
        <v>1345.6296387</v>
      </c>
      <c r="J870">
        <v>1340.0797118999999</v>
      </c>
      <c r="K870">
        <v>0</v>
      </c>
      <c r="L870">
        <v>550</v>
      </c>
      <c r="M870">
        <v>550</v>
      </c>
      <c r="N870">
        <v>0</v>
      </c>
    </row>
    <row r="871" spans="1:14" x14ac:dyDescent="0.25">
      <c r="A871">
        <v>936.12084400000003</v>
      </c>
      <c r="B871" s="1">
        <f>DATE(2012,11,22) + TIME(2,54,0)</f>
        <v>41235.120833333334</v>
      </c>
      <c r="C871">
        <v>80</v>
      </c>
      <c r="D871">
        <v>77.720115661999998</v>
      </c>
      <c r="E871">
        <v>40</v>
      </c>
      <c r="F871">
        <v>39.954288482999999</v>
      </c>
      <c r="G871">
        <v>1326.8044434000001</v>
      </c>
      <c r="H871">
        <v>1324.4628906</v>
      </c>
      <c r="I871">
        <v>1345.628418</v>
      </c>
      <c r="J871">
        <v>1340.0784911999999</v>
      </c>
      <c r="K871">
        <v>0</v>
      </c>
      <c r="L871">
        <v>550</v>
      </c>
      <c r="M871">
        <v>550</v>
      </c>
      <c r="N871">
        <v>0</v>
      </c>
    </row>
    <row r="872" spans="1:14" x14ac:dyDescent="0.25">
      <c r="A872">
        <v>937.30977199999995</v>
      </c>
      <c r="B872" s="1">
        <f>DATE(2012,11,23) + TIME(7,26,4)</f>
        <v>41236.30976851852</v>
      </c>
      <c r="C872">
        <v>80</v>
      </c>
      <c r="D872">
        <v>77.623840332</v>
      </c>
      <c r="E872">
        <v>40</v>
      </c>
      <c r="F872">
        <v>39.946323395</v>
      </c>
      <c r="G872">
        <v>1326.7694091999999</v>
      </c>
      <c r="H872">
        <v>1324.4160156</v>
      </c>
      <c r="I872">
        <v>1345.6273193</v>
      </c>
      <c r="J872">
        <v>1340.0776367000001</v>
      </c>
      <c r="K872">
        <v>0</v>
      </c>
      <c r="L872">
        <v>550</v>
      </c>
      <c r="M872">
        <v>550</v>
      </c>
      <c r="N872">
        <v>0</v>
      </c>
    </row>
    <row r="873" spans="1:14" x14ac:dyDescent="0.25">
      <c r="A873">
        <v>938.53848800000003</v>
      </c>
      <c r="B873" s="1">
        <f>DATE(2012,11,24) + TIME(12,55,25)</f>
        <v>41237.538483796299</v>
      </c>
      <c r="C873">
        <v>80</v>
      </c>
      <c r="D873">
        <v>77.525711060000006</v>
      </c>
      <c r="E873">
        <v>40</v>
      </c>
      <c r="F873">
        <v>39.940101624</v>
      </c>
      <c r="G873">
        <v>1326.7331543</v>
      </c>
      <c r="H873">
        <v>1324.3674315999999</v>
      </c>
      <c r="I873">
        <v>1345.6265868999999</v>
      </c>
      <c r="J873">
        <v>1340.0767822</v>
      </c>
      <c r="K873">
        <v>0</v>
      </c>
      <c r="L873">
        <v>550</v>
      </c>
      <c r="M873">
        <v>550</v>
      </c>
      <c r="N873">
        <v>0</v>
      </c>
    </row>
    <row r="874" spans="1:14" x14ac:dyDescent="0.25">
      <c r="A874">
        <v>939.80989899999997</v>
      </c>
      <c r="B874" s="1">
        <f>DATE(2012,11,25) + TIME(19,26,15)</f>
        <v>41238.809895833336</v>
      </c>
      <c r="C874">
        <v>80</v>
      </c>
      <c r="D874">
        <v>77.425598144999995</v>
      </c>
      <c r="E874">
        <v>40</v>
      </c>
      <c r="F874">
        <v>39.935256957999997</v>
      </c>
      <c r="G874">
        <v>1326.6956786999999</v>
      </c>
      <c r="H874">
        <v>1324.3171387</v>
      </c>
      <c r="I874">
        <v>1345.6260986</v>
      </c>
      <c r="J874">
        <v>1340.0761719</v>
      </c>
      <c r="K874">
        <v>0</v>
      </c>
      <c r="L874">
        <v>550</v>
      </c>
      <c r="M874">
        <v>550</v>
      </c>
      <c r="N874">
        <v>0</v>
      </c>
    </row>
    <row r="875" spans="1:14" x14ac:dyDescent="0.25">
      <c r="A875">
        <v>941.12714400000004</v>
      </c>
      <c r="B875" s="1">
        <f>DATE(2012,11,27) + TIME(3,3,5)</f>
        <v>41240.127141203702</v>
      </c>
      <c r="C875">
        <v>80</v>
      </c>
      <c r="D875">
        <v>77.323364257999998</v>
      </c>
      <c r="E875">
        <v>40</v>
      </c>
      <c r="F875">
        <v>39.931495667</v>
      </c>
      <c r="G875">
        <v>1326.6568603999999</v>
      </c>
      <c r="H875">
        <v>1324.2648925999999</v>
      </c>
      <c r="I875">
        <v>1345.6257324000001</v>
      </c>
      <c r="J875">
        <v>1340.0755615</v>
      </c>
      <c r="K875">
        <v>0</v>
      </c>
      <c r="L875">
        <v>550</v>
      </c>
      <c r="M875">
        <v>550</v>
      </c>
      <c r="N875">
        <v>0</v>
      </c>
    </row>
    <row r="876" spans="1:14" x14ac:dyDescent="0.25">
      <c r="A876">
        <v>942.49363600000004</v>
      </c>
      <c r="B876" s="1">
        <f>DATE(2012,11,28) + TIME(11,50,50)</f>
        <v>41241.493634259263</v>
      </c>
      <c r="C876">
        <v>80</v>
      </c>
      <c r="D876">
        <v>77.218872070000003</v>
      </c>
      <c r="E876">
        <v>40</v>
      </c>
      <c r="F876">
        <v>39.928585052000003</v>
      </c>
      <c r="G876">
        <v>1326.6165771000001</v>
      </c>
      <c r="H876">
        <v>1324.2106934000001</v>
      </c>
      <c r="I876">
        <v>1345.6256103999999</v>
      </c>
      <c r="J876">
        <v>1340.0751952999999</v>
      </c>
      <c r="K876">
        <v>0</v>
      </c>
      <c r="L876">
        <v>550</v>
      </c>
      <c r="M876">
        <v>550</v>
      </c>
      <c r="N876">
        <v>0</v>
      </c>
    </row>
    <row r="877" spans="1:14" x14ac:dyDescent="0.25">
      <c r="A877">
        <v>943.91280700000004</v>
      </c>
      <c r="B877" s="1">
        <f>DATE(2012,11,29) + TIME(21,54,26)</f>
        <v>41242.912800925929</v>
      </c>
      <c r="C877">
        <v>80</v>
      </c>
      <c r="D877">
        <v>77.111961364999999</v>
      </c>
      <c r="E877">
        <v>40</v>
      </c>
      <c r="F877">
        <v>39.926342009999999</v>
      </c>
      <c r="G877">
        <v>1326.574707</v>
      </c>
      <c r="H877">
        <v>1324.1544189000001</v>
      </c>
      <c r="I877">
        <v>1345.6257324000001</v>
      </c>
      <c r="J877">
        <v>1340.074707</v>
      </c>
      <c r="K877">
        <v>0</v>
      </c>
      <c r="L877">
        <v>550</v>
      </c>
      <c r="M877">
        <v>550</v>
      </c>
      <c r="N877">
        <v>0</v>
      </c>
    </row>
    <row r="878" spans="1:14" x14ac:dyDescent="0.25">
      <c r="A878">
        <v>945</v>
      </c>
      <c r="B878" s="1">
        <f>DATE(2012,12,1) + TIME(0,0,0)</f>
        <v>41244</v>
      </c>
      <c r="C878">
        <v>80</v>
      </c>
      <c r="D878">
        <v>77.025543213000006</v>
      </c>
      <c r="E878">
        <v>40</v>
      </c>
      <c r="F878">
        <v>39.924987793</v>
      </c>
      <c r="G878">
        <v>1326.5325928</v>
      </c>
      <c r="H878">
        <v>1324.0985106999999</v>
      </c>
      <c r="I878">
        <v>1345.6257324000001</v>
      </c>
      <c r="J878">
        <v>1340.0743408000001</v>
      </c>
      <c r="K878">
        <v>0</v>
      </c>
      <c r="L878">
        <v>550</v>
      </c>
      <c r="M878">
        <v>550</v>
      </c>
      <c r="N878">
        <v>0</v>
      </c>
    </row>
    <row r="879" spans="1:14" x14ac:dyDescent="0.25">
      <c r="A879">
        <v>946.47574699999996</v>
      </c>
      <c r="B879" s="1">
        <f>DATE(2012,12,2) + TIME(11,25,4)</f>
        <v>41245.475740740738</v>
      </c>
      <c r="C879">
        <v>80</v>
      </c>
      <c r="D879">
        <v>76.917915343999994</v>
      </c>
      <c r="E879">
        <v>40</v>
      </c>
      <c r="F879">
        <v>39.923622131000002</v>
      </c>
      <c r="G879">
        <v>1326.4969481999999</v>
      </c>
      <c r="H879">
        <v>1324.0491943</v>
      </c>
      <c r="I879">
        <v>1345.6260986</v>
      </c>
      <c r="J879">
        <v>1340.0742187999999</v>
      </c>
      <c r="K879">
        <v>0</v>
      </c>
      <c r="L879">
        <v>550</v>
      </c>
      <c r="M879">
        <v>550</v>
      </c>
      <c r="N879">
        <v>0</v>
      </c>
    </row>
    <row r="880" spans="1:14" x14ac:dyDescent="0.25">
      <c r="A880">
        <v>948.06135800000004</v>
      </c>
      <c r="B880" s="1">
        <f>DATE(2012,12,4) + TIME(1,28,21)</f>
        <v>41247.061354166668</v>
      </c>
      <c r="C880">
        <v>80</v>
      </c>
      <c r="D880">
        <v>76.804771423000005</v>
      </c>
      <c r="E880">
        <v>40</v>
      </c>
      <c r="F880">
        <v>39.922550201</v>
      </c>
      <c r="G880">
        <v>1326.4516602000001</v>
      </c>
      <c r="H880">
        <v>1323.9880370999999</v>
      </c>
      <c r="I880">
        <v>1345.6265868999999</v>
      </c>
      <c r="J880">
        <v>1340.0739745999999</v>
      </c>
      <c r="K880">
        <v>0</v>
      </c>
      <c r="L880">
        <v>550</v>
      </c>
      <c r="M880">
        <v>550</v>
      </c>
      <c r="N880">
        <v>0</v>
      </c>
    </row>
    <row r="881" spans="1:14" x14ac:dyDescent="0.25">
      <c r="A881">
        <v>949.71507599999995</v>
      </c>
      <c r="B881" s="1">
        <f>DATE(2012,12,5) + TIME(17,9,42)</f>
        <v>41248.715069444443</v>
      </c>
      <c r="C881">
        <v>80</v>
      </c>
      <c r="D881">
        <v>76.688224792</v>
      </c>
      <c r="E881">
        <v>40</v>
      </c>
      <c r="F881">
        <v>39.921741486000002</v>
      </c>
      <c r="G881">
        <v>1326.4031981999999</v>
      </c>
      <c r="H881">
        <v>1323.9227295000001</v>
      </c>
      <c r="I881">
        <v>1345.6271973</v>
      </c>
      <c r="J881">
        <v>1340.0737305</v>
      </c>
      <c r="K881">
        <v>0</v>
      </c>
      <c r="L881">
        <v>550</v>
      </c>
      <c r="M881">
        <v>550</v>
      </c>
      <c r="N881">
        <v>0</v>
      </c>
    </row>
    <row r="882" spans="1:14" x14ac:dyDescent="0.25">
      <c r="A882">
        <v>951.43457599999999</v>
      </c>
      <c r="B882" s="1">
        <f>DATE(2012,12,7) + TIME(10,25,47)</f>
        <v>41250.434571759259</v>
      </c>
      <c r="C882">
        <v>80</v>
      </c>
      <c r="D882">
        <v>76.568496703999998</v>
      </c>
      <c r="E882">
        <v>40</v>
      </c>
      <c r="F882">
        <v>39.921138763000002</v>
      </c>
      <c r="G882">
        <v>1326.3525391000001</v>
      </c>
      <c r="H882">
        <v>1323.8543701000001</v>
      </c>
      <c r="I882">
        <v>1345.6279297000001</v>
      </c>
      <c r="J882">
        <v>1340.0734863</v>
      </c>
      <c r="K882">
        <v>0</v>
      </c>
      <c r="L882">
        <v>550</v>
      </c>
      <c r="M882">
        <v>550</v>
      </c>
      <c r="N882">
        <v>0</v>
      </c>
    </row>
    <row r="883" spans="1:14" x14ac:dyDescent="0.25">
      <c r="A883">
        <v>953.19879900000001</v>
      </c>
      <c r="B883" s="1">
        <f>DATE(2012,12,9) + TIME(4,46,16)</f>
        <v>41252.198796296296</v>
      </c>
      <c r="C883">
        <v>80</v>
      </c>
      <c r="D883">
        <v>76.446723938000005</v>
      </c>
      <c r="E883">
        <v>40</v>
      </c>
      <c r="F883">
        <v>39.920700072999999</v>
      </c>
      <c r="G883">
        <v>1326.2998047000001</v>
      </c>
      <c r="H883">
        <v>1323.7830810999999</v>
      </c>
      <c r="I883">
        <v>1345.6287841999999</v>
      </c>
      <c r="J883">
        <v>1340.0733643000001</v>
      </c>
      <c r="K883">
        <v>0</v>
      </c>
      <c r="L883">
        <v>550</v>
      </c>
      <c r="M883">
        <v>550</v>
      </c>
      <c r="N883">
        <v>0</v>
      </c>
    </row>
    <row r="884" spans="1:14" x14ac:dyDescent="0.25">
      <c r="A884">
        <v>955.01206100000002</v>
      </c>
      <c r="B884" s="1">
        <f>DATE(2012,12,11) + TIME(0,17,22)</f>
        <v>41254.012060185189</v>
      </c>
      <c r="C884">
        <v>80</v>
      </c>
      <c r="D884">
        <v>76.322891235</v>
      </c>
      <c r="E884">
        <v>40</v>
      </c>
      <c r="F884">
        <v>39.920387267999999</v>
      </c>
      <c r="G884">
        <v>1326.2454834</v>
      </c>
      <c r="H884">
        <v>1323.7095947</v>
      </c>
      <c r="I884">
        <v>1345.6296387</v>
      </c>
      <c r="J884">
        <v>1340.0732422000001</v>
      </c>
      <c r="K884">
        <v>0</v>
      </c>
      <c r="L884">
        <v>550</v>
      </c>
      <c r="M884">
        <v>550</v>
      </c>
      <c r="N884">
        <v>0</v>
      </c>
    </row>
    <row r="885" spans="1:14" x14ac:dyDescent="0.25">
      <c r="A885">
        <v>956.87832800000001</v>
      </c>
      <c r="B885" s="1">
        <f>DATE(2012,12,12) + TIME(21,4,47)</f>
        <v>41255.878321759257</v>
      </c>
      <c r="C885">
        <v>80</v>
      </c>
      <c r="D885">
        <v>76.196922302000004</v>
      </c>
      <c r="E885">
        <v>40</v>
      </c>
      <c r="F885">
        <v>39.920169829999999</v>
      </c>
      <c r="G885">
        <v>1326.1894531</v>
      </c>
      <c r="H885">
        <v>1323.6336670000001</v>
      </c>
      <c r="I885">
        <v>1345.6307373</v>
      </c>
      <c r="J885">
        <v>1340.0731201000001</v>
      </c>
      <c r="K885">
        <v>0</v>
      </c>
      <c r="L885">
        <v>550</v>
      </c>
      <c r="M885">
        <v>550</v>
      </c>
      <c r="N885">
        <v>0</v>
      </c>
    </row>
    <row r="886" spans="1:14" x14ac:dyDescent="0.25">
      <c r="A886">
        <v>958.80188999999996</v>
      </c>
      <c r="B886" s="1">
        <f>DATE(2012,12,14) + TIME(19,14,43)</f>
        <v>41257.801886574074</v>
      </c>
      <c r="C886">
        <v>80</v>
      </c>
      <c r="D886">
        <v>76.068695067999997</v>
      </c>
      <c r="E886">
        <v>40</v>
      </c>
      <c r="F886">
        <v>39.920028686999999</v>
      </c>
      <c r="G886">
        <v>1326.1317139</v>
      </c>
      <c r="H886">
        <v>1323.5554199000001</v>
      </c>
      <c r="I886">
        <v>1345.6319579999999</v>
      </c>
      <c r="J886">
        <v>1340.0731201000001</v>
      </c>
      <c r="K886">
        <v>0</v>
      </c>
      <c r="L886">
        <v>550</v>
      </c>
      <c r="M886">
        <v>550</v>
      </c>
      <c r="N886">
        <v>0</v>
      </c>
    </row>
    <row r="887" spans="1:14" x14ac:dyDescent="0.25">
      <c r="A887">
        <v>960.78727700000002</v>
      </c>
      <c r="B887" s="1">
        <f>DATE(2012,12,16) + TIME(18,53,40)</f>
        <v>41259.787268518521</v>
      </c>
      <c r="C887">
        <v>80</v>
      </c>
      <c r="D887">
        <v>75.938049316000004</v>
      </c>
      <c r="E887">
        <v>40</v>
      </c>
      <c r="F887">
        <v>39.919948578000003</v>
      </c>
      <c r="G887">
        <v>1326.0721435999999</v>
      </c>
      <c r="H887">
        <v>1323.4744873</v>
      </c>
      <c r="I887">
        <v>1345.6331786999999</v>
      </c>
      <c r="J887">
        <v>1340.0729980000001</v>
      </c>
      <c r="K887">
        <v>0</v>
      </c>
      <c r="L887">
        <v>550</v>
      </c>
      <c r="M887">
        <v>550</v>
      </c>
      <c r="N887">
        <v>0</v>
      </c>
    </row>
    <row r="888" spans="1:14" x14ac:dyDescent="0.25">
      <c r="A888">
        <v>962.83936400000005</v>
      </c>
      <c r="B888" s="1">
        <f>DATE(2012,12,18) + TIME(20,8,41)</f>
        <v>41261.839363425926</v>
      </c>
      <c r="C888">
        <v>80</v>
      </c>
      <c r="D888">
        <v>75.804756165000001</v>
      </c>
      <c r="E888">
        <v>40</v>
      </c>
      <c r="F888">
        <v>39.919910430999998</v>
      </c>
      <c r="G888">
        <v>1326.0106201000001</v>
      </c>
      <c r="H888">
        <v>1323.3907471</v>
      </c>
      <c r="I888">
        <v>1345.6345214999999</v>
      </c>
      <c r="J888">
        <v>1340.0729980000001</v>
      </c>
      <c r="K888">
        <v>0</v>
      </c>
      <c r="L888">
        <v>550</v>
      </c>
      <c r="M888">
        <v>550</v>
      </c>
      <c r="N888">
        <v>0</v>
      </c>
    </row>
    <row r="889" spans="1:14" x14ac:dyDescent="0.25">
      <c r="A889">
        <v>964.96341199999995</v>
      </c>
      <c r="B889" s="1">
        <f>DATE(2012,12,20) + TIME(23,7,18)</f>
        <v>41263.963402777779</v>
      </c>
      <c r="C889">
        <v>80</v>
      </c>
      <c r="D889">
        <v>75.668548584000007</v>
      </c>
      <c r="E889">
        <v>40</v>
      </c>
      <c r="F889">
        <v>39.919914245999998</v>
      </c>
      <c r="G889">
        <v>1325.9468993999999</v>
      </c>
      <c r="H889">
        <v>1323.3040771000001</v>
      </c>
      <c r="I889">
        <v>1345.6359863</v>
      </c>
      <c r="J889">
        <v>1340.0729980000001</v>
      </c>
      <c r="K889">
        <v>0</v>
      </c>
      <c r="L889">
        <v>550</v>
      </c>
      <c r="M889">
        <v>550</v>
      </c>
      <c r="N889">
        <v>0</v>
      </c>
    </row>
    <row r="890" spans="1:14" x14ac:dyDescent="0.25">
      <c r="A890">
        <v>967.16430400000002</v>
      </c>
      <c r="B890" s="1">
        <f>DATE(2012,12,23) + TIME(3,56,35)</f>
        <v>41266.164293981485</v>
      </c>
      <c r="C890">
        <v>80</v>
      </c>
      <c r="D890">
        <v>75.529159546000002</v>
      </c>
      <c r="E890">
        <v>40</v>
      </c>
      <c r="F890">
        <v>39.919944762999997</v>
      </c>
      <c r="G890">
        <v>1325.8809814000001</v>
      </c>
      <c r="H890">
        <v>1323.2143555</v>
      </c>
      <c r="I890">
        <v>1345.6375731999999</v>
      </c>
      <c r="J890">
        <v>1340.0731201000001</v>
      </c>
      <c r="K890">
        <v>0</v>
      </c>
      <c r="L890">
        <v>550</v>
      </c>
      <c r="M890">
        <v>550</v>
      </c>
      <c r="N890">
        <v>0</v>
      </c>
    </row>
    <row r="891" spans="1:14" x14ac:dyDescent="0.25">
      <c r="A891">
        <v>969.44870700000001</v>
      </c>
      <c r="B891" s="1">
        <f>DATE(2012,12,25) + TIME(10,46,8)</f>
        <v>41268.448703703703</v>
      </c>
      <c r="C891">
        <v>80</v>
      </c>
      <c r="D891">
        <v>75.386207580999994</v>
      </c>
      <c r="E891">
        <v>40</v>
      </c>
      <c r="F891">
        <v>39.919998169000003</v>
      </c>
      <c r="G891">
        <v>1325.8127440999999</v>
      </c>
      <c r="H891">
        <v>1323.1212158000001</v>
      </c>
      <c r="I891">
        <v>1345.6391602000001</v>
      </c>
      <c r="J891">
        <v>1340.0732422000001</v>
      </c>
      <c r="K891">
        <v>0</v>
      </c>
      <c r="L891">
        <v>550</v>
      </c>
      <c r="M891">
        <v>550</v>
      </c>
      <c r="N891">
        <v>0</v>
      </c>
    </row>
    <row r="892" spans="1:14" x14ac:dyDescent="0.25">
      <c r="A892">
        <v>971.82351500000004</v>
      </c>
      <c r="B892" s="1">
        <f>DATE(2012,12,27) + TIME(19,45,51)</f>
        <v>41270.823506944442</v>
      </c>
      <c r="C892">
        <v>80</v>
      </c>
      <c r="D892">
        <v>75.239280700999998</v>
      </c>
      <c r="E892">
        <v>40</v>
      </c>
      <c r="F892">
        <v>39.920074462999999</v>
      </c>
      <c r="G892">
        <v>1325.7418213000001</v>
      </c>
      <c r="H892">
        <v>1323.0244141000001</v>
      </c>
      <c r="I892">
        <v>1345.6408690999999</v>
      </c>
      <c r="J892">
        <v>1340.0733643000001</v>
      </c>
      <c r="K892">
        <v>0</v>
      </c>
      <c r="L892">
        <v>550</v>
      </c>
      <c r="M892">
        <v>550</v>
      </c>
      <c r="N892">
        <v>0</v>
      </c>
    </row>
    <row r="893" spans="1:14" x14ac:dyDescent="0.25">
      <c r="A893">
        <v>974.29021299999999</v>
      </c>
      <c r="B893" s="1">
        <f>DATE(2012,12,30) + TIME(6,57,54)</f>
        <v>41273.290208333332</v>
      </c>
      <c r="C893">
        <v>80</v>
      </c>
      <c r="D893">
        <v>75.088142395000006</v>
      </c>
      <c r="E893">
        <v>40</v>
      </c>
      <c r="F893">
        <v>39.920166016000003</v>
      </c>
      <c r="G893">
        <v>1325.6680908000001</v>
      </c>
      <c r="H893">
        <v>1322.9238281</v>
      </c>
      <c r="I893">
        <v>1345.6427002</v>
      </c>
      <c r="J893">
        <v>1340.0734863</v>
      </c>
      <c r="K893">
        <v>0</v>
      </c>
      <c r="L893">
        <v>550</v>
      </c>
      <c r="M893">
        <v>550</v>
      </c>
      <c r="N893">
        <v>0</v>
      </c>
    </row>
    <row r="894" spans="1:14" x14ac:dyDescent="0.25">
      <c r="A894">
        <v>976</v>
      </c>
      <c r="B894" s="1">
        <f>DATE(2013,1,1) + TIME(0,0,0)</f>
        <v>41275</v>
      </c>
      <c r="C894">
        <v>80</v>
      </c>
      <c r="D894">
        <v>74.968620299999998</v>
      </c>
      <c r="E894">
        <v>40</v>
      </c>
      <c r="F894">
        <v>39.920238495</v>
      </c>
      <c r="G894">
        <v>1325.5944824000001</v>
      </c>
      <c r="H894">
        <v>1322.8248291</v>
      </c>
      <c r="I894">
        <v>1345.6442870999999</v>
      </c>
      <c r="J894">
        <v>1340.0736084</v>
      </c>
      <c r="K894">
        <v>0</v>
      </c>
      <c r="L894">
        <v>550</v>
      </c>
      <c r="M894">
        <v>550</v>
      </c>
      <c r="N894">
        <v>0</v>
      </c>
    </row>
    <row r="895" spans="1:14" x14ac:dyDescent="0.25">
      <c r="A895">
        <v>978.529224</v>
      </c>
      <c r="B895" s="1">
        <f>DATE(2013,1,3) + TIME(12,42,4)</f>
        <v>41277.52921296296</v>
      </c>
      <c r="C895">
        <v>80</v>
      </c>
      <c r="D895">
        <v>74.819152832</v>
      </c>
      <c r="E895">
        <v>40</v>
      </c>
      <c r="F895">
        <v>39.920345306000002</v>
      </c>
      <c r="G895">
        <v>1325.5355225000001</v>
      </c>
      <c r="H895">
        <v>1322.7414550999999</v>
      </c>
      <c r="I895">
        <v>1345.645874</v>
      </c>
      <c r="J895">
        <v>1340.0738524999999</v>
      </c>
      <c r="K895">
        <v>0</v>
      </c>
      <c r="L895">
        <v>550</v>
      </c>
      <c r="M895">
        <v>550</v>
      </c>
      <c r="N895">
        <v>0</v>
      </c>
    </row>
    <row r="896" spans="1:14" x14ac:dyDescent="0.25">
      <c r="A896">
        <v>981.17769199999998</v>
      </c>
      <c r="B896" s="1">
        <f>DATE(2013,1,6) + TIME(4,15,52)</f>
        <v>41280.177685185183</v>
      </c>
      <c r="C896">
        <v>80</v>
      </c>
      <c r="D896">
        <v>74.662414550999998</v>
      </c>
      <c r="E896">
        <v>40</v>
      </c>
      <c r="F896">
        <v>39.920467377000001</v>
      </c>
      <c r="G896">
        <v>1325.4581298999999</v>
      </c>
      <c r="H896">
        <v>1322.6356201000001</v>
      </c>
      <c r="I896">
        <v>1345.6477050999999</v>
      </c>
      <c r="J896">
        <v>1340.0740966999999</v>
      </c>
      <c r="K896">
        <v>0</v>
      </c>
      <c r="L896">
        <v>550</v>
      </c>
      <c r="M896">
        <v>550</v>
      </c>
      <c r="N896">
        <v>0</v>
      </c>
    </row>
    <row r="897" spans="1:14" x14ac:dyDescent="0.25">
      <c r="A897">
        <v>983.90429600000004</v>
      </c>
      <c r="B897" s="1">
        <f>DATE(2013,1,8) + TIME(21,42,11)</f>
        <v>41282.904293981483</v>
      </c>
      <c r="C897">
        <v>80</v>
      </c>
      <c r="D897">
        <v>74.499832153</v>
      </c>
      <c r="E897">
        <v>40</v>
      </c>
      <c r="F897">
        <v>39.920593261999997</v>
      </c>
      <c r="G897">
        <v>1325.3769531</v>
      </c>
      <c r="H897">
        <v>1322.5245361</v>
      </c>
      <c r="I897">
        <v>1345.6496582</v>
      </c>
      <c r="J897">
        <v>1340.0744629000001</v>
      </c>
      <c r="K897">
        <v>0</v>
      </c>
      <c r="L897">
        <v>550</v>
      </c>
      <c r="M897">
        <v>550</v>
      </c>
      <c r="N897">
        <v>0</v>
      </c>
    </row>
    <row r="898" spans="1:14" x14ac:dyDescent="0.25">
      <c r="A898">
        <v>986.71695499999998</v>
      </c>
      <c r="B898" s="1">
        <f>DATE(2013,1,11) + TIME(17,12,24)</f>
        <v>41285.716944444444</v>
      </c>
      <c r="C898">
        <v>80</v>
      </c>
      <c r="D898">
        <v>74.331428528000004</v>
      </c>
      <c r="E898">
        <v>40</v>
      </c>
      <c r="F898">
        <v>39.920730591000002</v>
      </c>
      <c r="G898">
        <v>1325.2929687999999</v>
      </c>
      <c r="H898">
        <v>1322.4093018000001</v>
      </c>
      <c r="I898">
        <v>1345.6516113</v>
      </c>
      <c r="J898">
        <v>1340.0748291</v>
      </c>
      <c r="K898">
        <v>0</v>
      </c>
      <c r="L898">
        <v>550</v>
      </c>
      <c r="M898">
        <v>550</v>
      </c>
      <c r="N898">
        <v>0</v>
      </c>
    </row>
    <row r="899" spans="1:14" x14ac:dyDescent="0.25">
      <c r="A899">
        <v>989.61246000000006</v>
      </c>
      <c r="B899" s="1">
        <f>DATE(2013,1,14) + TIME(14,41,56)</f>
        <v>41288.612453703703</v>
      </c>
      <c r="C899">
        <v>80</v>
      </c>
      <c r="D899">
        <v>74.157241821</v>
      </c>
      <c r="E899">
        <v>40</v>
      </c>
      <c r="F899">
        <v>39.920867919999999</v>
      </c>
      <c r="G899">
        <v>1325.2062988</v>
      </c>
      <c r="H899">
        <v>1322.2901611</v>
      </c>
      <c r="I899">
        <v>1345.6536865</v>
      </c>
      <c r="J899">
        <v>1340.0751952999999</v>
      </c>
      <c r="K899">
        <v>0</v>
      </c>
      <c r="L899">
        <v>550</v>
      </c>
      <c r="M899">
        <v>550</v>
      </c>
      <c r="N899">
        <v>0</v>
      </c>
    </row>
    <row r="900" spans="1:14" x14ac:dyDescent="0.25">
      <c r="A900">
        <v>992.590507</v>
      </c>
      <c r="B900" s="1">
        <f>DATE(2013,1,17) + TIME(14,10,19)</f>
        <v>41291.590497685182</v>
      </c>
      <c r="C900">
        <v>80</v>
      </c>
      <c r="D900">
        <v>73.977111816000004</v>
      </c>
      <c r="E900">
        <v>40</v>
      </c>
      <c r="F900">
        <v>39.921012877999999</v>
      </c>
      <c r="G900">
        <v>1325.1170654</v>
      </c>
      <c r="H900">
        <v>1322.1672363</v>
      </c>
      <c r="I900">
        <v>1345.6556396000001</v>
      </c>
      <c r="J900">
        <v>1340.0756836</v>
      </c>
      <c r="K900">
        <v>0</v>
      </c>
      <c r="L900">
        <v>550</v>
      </c>
      <c r="M900">
        <v>550</v>
      </c>
      <c r="N900">
        <v>0</v>
      </c>
    </row>
    <row r="901" spans="1:14" x14ac:dyDescent="0.25">
      <c r="A901">
        <v>995.65928799999995</v>
      </c>
      <c r="B901" s="1">
        <f>DATE(2013,1,20) + TIME(15,49,22)</f>
        <v>41294.659282407411</v>
      </c>
      <c r="C901">
        <v>80</v>
      </c>
      <c r="D901">
        <v>73.790428161999998</v>
      </c>
      <c r="E901">
        <v>40</v>
      </c>
      <c r="F901">
        <v>39.921157837000003</v>
      </c>
      <c r="G901">
        <v>1325.0252685999999</v>
      </c>
      <c r="H901">
        <v>1322.0406493999999</v>
      </c>
      <c r="I901">
        <v>1345.6575928</v>
      </c>
      <c r="J901">
        <v>1340.0761719</v>
      </c>
      <c r="K901">
        <v>0</v>
      </c>
      <c r="L901">
        <v>550</v>
      </c>
      <c r="M901">
        <v>550</v>
      </c>
      <c r="N901">
        <v>0</v>
      </c>
    </row>
    <row r="902" spans="1:14" x14ac:dyDescent="0.25">
      <c r="A902">
        <v>998.81678299999999</v>
      </c>
      <c r="B902" s="1">
        <f>DATE(2013,1,23) + TIME(19,36,10)</f>
        <v>41297.816782407404</v>
      </c>
      <c r="C902">
        <v>80</v>
      </c>
      <c r="D902">
        <v>73.596717834000003</v>
      </c>
      <c r="E902">
        <v>40</v>
      </c>
      <c r="F902">
        <v>39.921310425000001</v>
      </c>
      <c r="G902">
        <v>1324.9309082</v>
      </c>
      <c r="H902">
        <v>1321.9104004000001</v>
      </c>
      <c r="I902">
        <v>1345.659668</v>
      </c>
      <c r="J902">
        <v>1340.0766602000001</v>
      </c>
      <c r="K902">
        <v>0</v>
      </c>
      <c r="L902">
        <v>550</v>
      </c>
      <c r="M902">
        <v>550</v>
      </c>
      <c r="N902">
        <v>0</v>
      </c>
    </row>
    <row r="903" spans="1:14" x14ac:dyDescent="0.25">
      <c r="A903">
        <v>1002.042155</v>
      </c>
      <c r="B903" s="1">
        <f>DATE(2013,1,27) + TIME(1,0,42)</f>
        <v>41301.04215277778</v>
      </c>
      <c r="C903">
        <v>80</v>
      </c>
      <c r="D903">
        <v>73.396102905000006</v>
      </c>
      <c r="E903">
        <v>40</v>
      </c>
      <c r="F903">
        <v>39.921463013</v>
      </c>
      <c r="G903">
        <v>1324.8342285000001</v>
      </c>
      <c r="H903">
        <v>1321.7764893000001</v>
      </c>
      <c r="I903">
        <v>1345.6616211</v>
      </c>
      <c r="J903">
        <v>1340.0772704999999</v>
      </c>
      <c r="K903">
        <v>0</v>
      </c>
      <c r="L903">
        <v>550</v>
      </c>
      <c r="M903">
        <v>550</v>
      </c>
      <c r="N903">
        <v>0</v>
      </c>
    </row>
    <row r="904" spans="1:14" x14ac:dyDescent="0.25">
      <c r="A904">
        <v>1005.336962</v>
      </c>
      <c r="B904" s="1">
        <f>DATE(2013,1,30) + TIME(8,5,13)</f>
        <v>41304.336956018517</v>
      </c>
      <c r="C904">
        <v>80</v>
      </c>
      <c r="D904">
        <v>73.188194275000001</v>
      </c>
      <c r="E904">
        <v>40</v>
      </c>
      <c r="F904">
        <v>39.921615600999999</v>
      </c>
      <c r="G904">
        <v>1324.7354736</v>
      </c>
      <c r="H904">
        <v>1321.6397704999999</v>
      </c>
      <c r="I904">
        <v>1345.6635742000001</v>
      </c>
      <c r="J904">
        <v>1340.0778809000001</v>
      </c>
      <c r="K904">
        <v>0</v>
      </c>
      <c r="L904">
        <v>550</v>
      </c>
      <c r="M904">
        <v>550</v>
      </c>
      <c r="N904">
        <v>0</v>
      </c>
    </row>
    <row r="905" spans="1:14" x14ac:dyDescent="0.25">
      <c r="A905">
        <v>1007</v>
      </c>
      <c r="B905" s="1">
        <f>DATE(2013,2,1) + TIME(0,0,0)</f>
        <v>41306</v>
      </c>
      <c r="C905">
        <v>80</v>
      </c>
      <c r="D905">
        <v>73.047302246000001</v>
      </c>
      <c r="E905">
        <v>40</v>
      </c>
      <c r="F905">
        <v>39.921695708999998</v>
      </c>
      <c r="G905">
        <v>1324.6403809000001</v>
      </c>
      <c r="H905">
        <v>1321.5118408000001</v>
      </c>
      <c r="I905">
        <v>1345.6649170000001</v>
      </c>
      <c r="J905">
        <v>1340.078125</v>
      </c>
      <c r="K905">
        <v>0</v>
      </c>
      <c r="L905">
        <v>550</v>
      </c>
      <c r="M905">
        <v>550</v>
      </c>
      <c r="N905">
        <v>0</v>
      </c>
    </row>
    <row r="906" spans="1:14" x14ac:dyDescent="0.25">
      <c r="A906">
        <v>1010.373095</v>
      </c>
      <c r="B906" s="1">
        <f>DATE(2013,2,4) + TIME(8,57,15)</f>
        <v>41309.373090277775</v>
      </c>
      <c r="C906">
        <v>80</v>
      </c>
      <c r="D906">
        <v>72.844757079999994</v>
      </c>
      <c r="E906">
        <v>40</v>
      </c>
      <c r="F906">
        <v>39.921852112000003</v>
      </c>
      <c r="G906">
        <v>1324.5777588000001</v>
      </c>
      <c r="H906">
        <v>1321.4180908000001</v>
      </c>
      <c r="I906">
        <v>1345.6663818</v>
      </c>
      <c r="J906">
        <v>1340.0786132999999</v>
      </c>
      <c r="K906">
        <v>0</v>
      </c>
      <c r="L906">
        <v>550</v>
      </c>
      <c r="M906">
        <v>550</v>
      </c>
      <c r="N906">
        <v>0</v>
      </c>
    </row>
    <row r="907" spans="1:14" x14ac:dyDescent="0.25">
      <c r="A907">
        <v>1013.831459</v>
      </c>
      <c r="B907" s="1">
        <f>DATE(2013,2,7) + TIME(19,57,18)</f>
        <v>41312.831458333334</v>
      </c>
      <c r="C907">
        <v>80</v>
      </c>
      <c r="D907">
        <v>72.625419617000006</v>
      </c>
      <c r="E907">
        <v>40</v>
      </c>
      <c r="F907">
        <v>39.922004700000002</v>
      </c>
      <c r="G907">
        <v>1324.4786377</v>
      </c>
      <c r="H907">
        <v>1321.2811279</v>
      </c>
      <c r="I907">
        <v>1345.6680908000001</v>
      </c>
      <c r="J907">
        <v>1340.0793457</v>
      </c>
      <c r="K907">
        <v>0</v>
      </c>
      <c r="L907">
        <v>550</v>
      </c>
      <c r="M907">
        <v>550</v>
      </c>
      <c r="N907">
        <v>0</v>
      </c>
    </row>
    <row r="908" spans="1:14" x14ac:dyDescent="0.25">
      <c r="A908">
        <v>1017.339093</v>
      </c>
      <c r="B908" s="1">
        <f>DATE(2013,2,11) + TIME(8,8,17)</f>
        <v>41316.339085648149</v>
      </c>
      <c r="C908">
        <v>80</v>
      </c>
      <c r="D908">
        <v>72.393028259000005</v>
      </c>
      <c r="E908">
        <v>40</v>
      </c>
      <c r="F908">
        <v>39.922161101999997</v>
      </c>
      <c r="G908">
        <v>1324.3760986</v>
      </c>
      <c r="H908">
        <v>1321.1386719</v>
      </c>
      <c r="I908">
        <v>1345.6696777</v>
      </c>
      <c r="J908">
        <v>1340.0800781</v>
      </c>
      <c r="K908">
        <v>0</v>
      </c>
      <c r="L908">
        <v>550</v>
      </c>
      <c r="M908">
        <v>550</v>
      </c>
      <c r="N908">
        <v>0</v>
      </c>
    </row>
    <row r="909" spans="1:14" x14ac:dyDescent="0.25">
      <c r="A909">
        <v>1020.912663</v>
      </c>
      <c r="B909" s="1">
        <f>DATE(2013,2,14) + TIME(21,54,14)</f>
        <v>41319.912662037037</v>
      </c>
      <c r="C909">
        <v>80</v>
      </c>
      <c r="D909">
        <v>72.148735045999999</v>
      </c>
      <c r="E909">
        <v>40</v>
      </c>
      <c r="F909">
        <v>39.922317505000002</v>
      </c>
      <c r="G909">
        <v>1324.2714844</v>
      </c>
      <c r="H909">
        <v>1320.9926757999999</v>
      </c>
      <c r="I909">
        <v>1345.6712646000001</v>
      </c>
      <c r="J909">
        <v>1340.0806885</v>
      </c>
      <c r="K909">
        <v>0</v>
      </c>
      <c r="L909">
        <v>550</v>
      </c>
      <c r="M909">
        <v>550</v>
      </c>
      <c r="N909">
        <v>0</v>
      </c>
    </row>
    <row r="910" spans="1:14" x14ac:dyDescent="0.25">
      <c r="A910">
        <v>1024.5679299999999</v>
      </c>
      <c r="B910" s="1">
        <f>DATE(2013,2,18) + TIME(13,37,49)</f>
        <v>41323.567928240744</v>
      </c>
      <c r="C910">
        <v>80</v>
      </c>
      <c r="D910">
        <v>71.892227172999995</v>
      </c>
      <c r="E910">
        <v>40</v>
      </c>
      <c r="F910">
        <v>39.922473906999997</v>
      </c>
      <c r="G910">
        <v>1324.1652832</v>
      </c>
      <c r="H910">
        <v>1320.84375</v>
      </c>
      <c r="I910">
        <v>1345.6727295000001</v>
      </c>
      <c r="J910">
        <v>1340.0814209</v>
      </c>
      <c r="K910">
        <v>0</v>
      </c>
      <c r="L910">
        <v>550</v>
      </c>
      <c r="M910">
        <v>550</v>
      </c>
      <c r="N910">
        <v>0</v>
      </c>
    </row>
    <row r="911" spans="1:14" x14ac:dyDescent="0.25">
      <c r="A911">
        <v>1028.3222109999999</v>
      </c>
      <c r="B911" s="1">
        <f>DATE(2013,2,22) + TIME(7,43,59)</f>
        <v>41327.322210648148</v>
      </c>
      <c r="C911">
        <v>80</v>
      </c>
      <c r="D911">
        <v>71.622306824000006</v>
      </c>
      <c r="E911">
        <v>40</v>
      </c>
      <c r="F911">
        <v>39.922630310000002</v>
      </c>
      <c r="G911">
        <v>1324.0571289</v>
      </c>
      <c r="H911">
        <v>1320.6918945</v>
      </c>
      <c r="I911">
        <v>1345.6739502</v>
      </c>
      <c r="J911">
        <v>1340.0820312000001</v>
      </c>
      <c r="K911">
        <v>0</v>
      </c>
      <c r="L911">
        <v>550</v>
      </c>
      <c r="M911">
        <v>550</v>
      </c>
      <c r="N911">
        <v>0</v>
      </c>
    </row>
    <row r="912" spans="1:14" x14ac:dyDescent="0.25">
      <c r="A912">
        <v>1032.1704810000001</v>
      </c>
      <c r="B912" s="1">
        <f>DATE(2013,2,26) + TIME(4,5,29)</f>
        <v>41331.170474537037</v>
      </c>
      <c r="C912">
        <v>80</v>
      </c>
      <c r="D912">
        <v>71.338043213000006</v>
      </c>
      <c r="E912">
        <v>40</v>
      </c>
      <c r="F912">
        <v>39.922790526999997</v>
      </c>
      <c r="G912">
        <v>1323.9470214999999</v>
      </c>
      <c r="H912">
        <v>1320.5368652</v>
      </c>
      <c r="I912">
        <v>1345.6751709</v>
      </c>
      <c r="J912">
        <v>1340.0827637</v>
      </c>
      <c r="K912">
        <v>0</v>
      </c>
      <c r="L912">
        <v>550</v>
      </c>
      <c r="M912">
        <v>550</v>
      </c>
      <c r="N912">
        <v>0</v>
      </c>
    </row>
    <row r="913" spans="1:14" x14ac:dyDescent="0.25">
      <c r="A913">
        <v>1035</v>
      </c>
      <c r="B913" s="1">
        <f>DATE(2013,3,1) + TIME(0,0,0)</f>
        <v>41334</v>
      </c>
      <c r="C913">
        <v>80</v>
      </c>
      <c r="D913">
        <v>71.084678650000001</v>
      </c>
      <c r="E913">
        <v>40</v>
      </c>
      <c r="F913">
        <v>39.922904967999997</v>
      </c>
      <c r="G913">
        <v>1323.8375243999999</v>
      </c>
      <c r="H913">
        <v>1320.3850098</v>
      </c>
      <c r="I913">
        <v>1345.6760254000001</v>
      </c>
      <c r="J913">
        <v>1340.0832519999999</v>
      </c>
      <c r="K913">
        <v>0</v>
      </c>
      <c r="L913">
        <v>550</v>
      </c>
      <c r="M913">
        <v>550</v>
      </c>
      <c r="N913">
        <v>0</v>
      </c>
    </row>
    <row r="914" spans="1:14" x14ac:dyDescent="0.25">
      <c r="A914">
        <v>1038.8754449999999</v>
      </c>
      <c r="B914" s="1">
        <f>DATE(2013,3,4) + TIME(21,0,38)</f>
        <v>41337.875439814816</v>
      </c>
      <c r="C914">
        <v>80</v>
      </c>
      <c r="D914">
        <v>70.799041747999993</v>
      </c>
      <c r="E914">
        <v>40</v>
      </c>
      <c r="F914">
        <v>39.923061371000003</v>
      </c>
      <c r="G914">
        <v>1323.7480469</v>
      </c>
      <c r="H914">
        <v>1320.2536620999999</v>
      </c>
      <c r="I914">
        <v>1345.6770019999999</v>
      </c>
      <c r="J914">
        <v>1340.0837402</v>
      </c>
      <c r="K914">
        <v>0</v>
      </c>
      <c r="L914">
        <v>550</v>
      </c>
      <c r="M914">
        <v>550</v>
      </c>
      <c r="N914">
        <v>0</v>
      </c>
    </row>
    <row r="915" spans="1:14" x14ac:dyDescent="0.25">
      <c r="A915">
        <v>1042.833228</v>
      </c>
      <c r="B915" s="1">
        <f>DATE(2013,3,8) + TIME(19,59,50)</f>
        <v>41341.83321759259</v>
      </c>
      <c r="C915">
        <v>80</v>
      </c>
      <c r="D915">
        <v>70.489730835000003</v>
      </c>
      <c r="E915">
        <v>40</v>
      </c>
      <c r="F915">
        <v>39.923217772999998</v>
      </c>
      <c r="G915">
        <v>1323.6394043</v>
      </c>
      <c r="H915">
        <v>1320.1005858999999</v>
      </c>
      <c r="I915">
        <v>1345.6777344</v>
      </c>
      <c r="J915">
        <v>1340.0844727000001</v>
      </c>
      <c r="K915">
        <v>0</v>
      </c>
      <c r="L915">
        <v>550</v>
      </c>
      <c r="M915">
        <v>550</v>
      </c>
      <c r="N915">
        <v>0</v>
      </c>
    </row>
    <row r="916" spans="1:14" x14ac:dyDescent="0.25">
      <c r="A916">
        <v>1046.861899</v>
      </c>
      <c r="B916" s="1">
        <f>DATE(2013,3,12) + TIME(20,41,8)</f>
        <v>41345.861898148149</v>
      </c>
      <c r="C916">
        <v>80</v>
      </c>
      <c r="D916">
        <v>70.160995482999994</v>
      </c>
      <c r="E916">
        <v>40</v>
      </c>
      <c r="F916">
        <v>39.923370361000003</v>
      </c>
      <c r="G916">
        <v>1323.5284423999999</v>
      </c>
      <c r="H916">
        <v>1319.9432373</v>
      </c>
      <c r="I916">
        <v>1345.6783447</v>
      </c>
      <c r="J916">
        <v>1340.0849608999999</v>
      </c>
      <c r="K916">
        <v>0</v>
      </c>
      <c r="L916">
        <v>550</v>
      </c>
      <c r="M916">
        <v>550</v>
      </c>
      <c r="N916">
        <v>0</v>
      </c>
    </row>
    <row r="917" spans="1:14" x14ac:dyDescent="0.25">
      <c r="A917">
        <v>1050.9788610000001</v>
      </c>
      <c r="B917" s="1">
        <f>DATE(2013,3,16) + TIME(23,29,33)</f>
        <v>41349.978854166664</v>
      </c>
      <c r="C917">
        <v>80</v>
      </c>
      <c r="D917">
        <v>69.813888550000001</v>
      </c>
      <c r="E917">
        <v>40</v>
      </c>
      <c r="F917">
        <v>39.923526764000002</v>
      </c>
      <c r="G917">
        <v>1323.4161377</v>
      </c>
      <c r="H917">
        <v>1319.7830810999999</v>
      </c>
      <c r="I917">
        <v>1345.6788329999999</v>
      </c>
      <c r="J917">
        <v>1340.0855713000001</v>
      </c>
      <c r="K917">
        <v>0</v>
      </c>
      <c r="L917">
        <v>550</v>
      </c>
      <c r="M917">
        <v>550</v>
      </c>
      <c r="N917">
        <v>0</v>
      </c>
    </row>
    <row r="918" spans="1:14" x14ac:dyDescent="0.25">
      <c r="A918">
        <v>1055.2026880000001</v>
      </c>
      <c r="B918" s="1">
        <f>DATE(2013,3,21) + TIME(4,51,52)</f>
        <v>41354.202685185184</v>
      </c>
      <c r="C918">
        <v>80</v>
      </c>
      <c r="D918">
        <v>69.447784424000005</v>
      </c>
      <c r="E918">
        <v>40</v>
      </c>
      <c r="F918">
        <v>39.923683167</v>
      </c>
      <c r="G918">
        <v>1323.3024902</v>
      </c>
      <c r="H918">
        <v>1319.6204834</v>
      </c>
      <c r="I918">
        <v>1345.6790771000001</v>
      </c>
      <c r="J918">
        <v>1340.0860596</v>
      </c>
      <c r="K918">
        <v>0</v>
      </c>
      <c r="L918">
        <v>550</v>
      </c>
      <c r="M918">
        <v>550</v>
      </c>
      <c r="N918">
        <v>0</v>
      </c>
    </row>
    <row r="919" spans="1:14" x14ac:dyDescent="0.25">
      <c r="A919">
        <v>1059.475614</v>
      </c>
      <c r="B919" s="1">
        <f>DATE(2013,3,25) + TIME(11,24,53)</f>
        <v>41358.475613425922</v>
      </c>
      <c r="C919">
        <v>80</v>
      </c>
      <c r="D919">
        <v>69.064346313000001</v>
      </c>
      <c r="E919">
        <v>40</v>
      </c>
      <c r="F919">
        <v>39.923839569000002</v>
      </c>
      <c r="G919">
        <v>1323.1877440999999</v>
      </c>
      <c r="H919">
        <v>1319.4558105000001</v>
      </c>
      <c r="I919">
        <v>1345.6791992000001</v>
      </c>
      <c r="J919">
        <v>1340.0865478999999</v>
      </c>
      <c r="K919">
        <v>0</v>
      </c>
      <c r="L919">
        <v>550</v>
      </c>
      <c r="M919">
        <v>550</v>
      </c>
      <c r="N919">
        <v>0</v>
      </c>
    </row>
    <row r="920" spans="1:14" x14ac:dyDescent="0.25">
      <c r="A920">
        <v>1063.7951740000001</v>
      </c>
      <c r="B920" s="1">
        <f>DATE(2013,3,29) + TIME(19,5,3)</f>
        <v>41362.795173611114</v>
      </c>
      <c r="C920">
        <v>80</v>
      </c>
      <c r="D920">
        <v>68.665100097999996</v>
      </c>
      <c r="E920">
        <v>40</v>
      </c>
      <c r="F920">
        <v>39.923995972</v>
      </c>
      <c r="G920">
        <v>1323.072876</v>
      </c>
      <c r="H920">
        <v>1319.2905272999999</v>
      </c>
      <c r="I920">
        <v>1345.6789550999999</v>
      </c>
      <c r="J920">
        <v>1340.0867920000001</v>
      </c>
      <c r="K920">
        <v>0</v>
      </c>
      <c r="L920">
        <v>550</v>
      </c>
      <c r="M920">
        <v>550</v>
      </c>
      <c r="N920">
        <v>0</v>
      </c>
    </row>
    <row r="921" spans="1:14" x14ac:dyDescent="0.25">
      <c r="A921">
        <v>1066</v>
      </c>
      <c r="B921" s="1">
        <f>DATE(2013,4,1) + TIME(0,0,0)</f>
        <v>41365</v>
      </c>
      <c r="C921">
        <v>80</v>
      </c>
      <c r="D921">
        <v>68.371902465999995</v>
      </c>
      <c r="E921">
        <v>40</v>
      </c>
      <c r="F921">
        <v>39.924072266000003</v>
      </c>
      <c r="G921">
        <v>1322.9624022999999</v>
      </c>
      <c r="H921">
        <v>1319.1380615</v>
      </c>
      <c r="I921">
        <v>1345.6782227000001</v>
      </c>
      <c r="J921">
        <v>1340.0867920000001</v>
      </c>
      <c r="K921">
        <v>0</v>
      </c>
      <c r="L921">
        <v>550</v>
      </c>
      <c r="M921">
        <v>550</v>
      </c>
      <c r="N921">
        <v>0</v>
      </c>
    </row>
    <row r="922" spans="1:14" x14ac:dyDescent="0.25">
      <c r="A922">
        <v>1070.3820169999999</v>
      </c>
      <c r="B922" s="1">
        <f>DATE(2013,4,5) + TIME(9,10,6)</f>
        <v>41369.382013888891</v>
      </c>
      <c r="C922">
        <v>80</v>
      </c>
      <c r="D922">
        <v>67.999450683999996</v>
      </c>
      <c r="E922">
        <v>40</v>
      </c>
      <c r="F922">
        <v>39.924228667999998</v>
      </c>
      <c r="G922">
        <v>1322.8925781</v>
      </c>
      <c r="H922">
        <v>1319.0257568</v>
      </c>
      <c r="I922">
        <v>1345.6784668</v>
      </c>
      <c r="J922">
        <v>1340.0871582</v>
      </c>
      <c r="K922">
        <v>0</v>
      </c>
      <c r="L922">
        <v>550</v>
      </c>
      <c r="M922">
        <v>550</v>
      </c>
      <c r="N922">
        <v>0</v>
      </c>
    </row>
    <row r="923" spans="1:14" x14ac:dyDescent="0.25">
      <c r="A923">
        <v>1074.894166</v>
      </c>
      <c r="B923" s="1">
        <f>DATE(2013,4,9) + TIME(21,27,35)</f>
        <v>41373.894155092596</v>
      </c>
      <c r="C923">
        <v>80</v>
      </c>
      <c r="D923">
        <v>67.581291199000006</v>
      </c>
      <c r="E923">
        <v>40</v>
      </c>
      <c r="F923">
        <v>39.924381255999997</v>
      </c>
      <c r="G923">
        <v>1322.7843018000001</v>
      </c>
      <c r="H923">
        <v>1318.8703613</v>
      </c>
      <c r="I923">
        <v>1345.6777344</v>
      </c>
      <c r="J923">
        <v>1340.0872803</v>
      </c>
      <c r="K923">
        <v>0</v>
      </c>
      <c r="L923">
        <v>550</v>
      </c>
      <c r="M923">
        <v>550</v>
      </c>
      <c r="N923">
        <v>0</v>
      </c>
    </row>
    <row r="924" spans="1:14" x14ac:dyDescent="0.25">
      <c r="A924">
        <v>1079.5179390000001</v>
      </c>
      <c r="B924" s="1">
        <f>DATE(2013,4,14) + TIME(12,25,49)</f>
        <v>41378.517928240741</v>
      </c>
      <c r="C924">
        <v>80</v>
      </c>
      <c r="D924">
        <v>67.131698607999994</v>
      </c>
      <c r="E924">
        <v>40</v>
      </c>
      <c r="F924">
        <v>39.924537659000002</v>
      </c>
      <c r="G924">
        <v>1322.6724853999999</v>
      </c>
      <c r="H924">
        <v>1318.7082519999999</v>
      </c>
      <c r="I924">
        <v>1345.6767577999999</v>
      </c>
      <c r="J924">
        <v>1340.0874022999999</v>
      </c>
      <c r="K924">
        <v>0</v>
      </c>
      <c r="L924">
        <v>550</v>
      </c>
      <c r="M924">
        <v>550</v>
      </c>
      <c r="N924">
        <v>0</v>
      </c>
    </row>
    <row r="925" spans="1:14" x14ac:dyDescent="0.25">
      <c r="A925">
        <v>1084.2002090000001</v>
      </c>
      <c r="B925" s="1">
        <f>DATE(2013,4,19) + TIME(4,48,18)</f>
        <v>41383.200208333335</v>
      </c>
      <c r="C925">
        <v>80</v>
      </c>
      <c r="D925">
        <v>66.659446716000005</v>
      </c>
      <c r="E925">
        <v>40</v>
      </c>
      <c r="F925">
        <v>39.924694060999997</v>
      </c>
      <c r="G925">
        <v>1322.559082</v>
      </c>
      <c r="H925">
        <v>1318.5428466999999</v>
      </c>
      <c r="I925">
        <v>1345.6755370999999</v>
      </c>
      <c r="J925">
        <v>1340.0872803</v>
      </c>
      <c r="K925">
        <v>0</v>
      </c>
      <c r="L925">
        <v>550</v>
      </c>
      <c r="M925">
        <v>550</v>
      </c>
      <c r="N925">
        <v>0</v>
      </c>
    </row>
    <row r="926" spans="1:14" x14ac:dyDescent="0.25">
      <c r="A926">
        <v>1088.9484870000001</v>
      </c>
      <c r="B926" s="1">
        <f>DATE(2013,4,23) + TIME(22,45,49)</f>
        <v>41387.948483796295</v>
      </c>
      <c r="C926">
        <v>80</v>
      </c>
      <c r="D926">
        <v>66.169418335000003</v>
      </c>
      <c r="E926">
        <v>40</v>
      </c>
      <c r="F926">
        <v>39.924850464000002</v>
      </c>
      <c r="G926">
        <v>1322.4459228999999</v>
      </c>
      <c r="H926">
        <v>1318.3768310999999</v>
      </c>
      <c r="I926">
        <v>1345.6741943</v>
      </c>
      <c r="J926">
        <v>1340.0870361</v>
      </c>
      <c r="K926">
        <v>0</v>
      </c>
      <c r="L926">
        <v>550</v>
      </c>
      <c r="M926">
        <v>550</v>
      </c>
      <c r="N926">
        <v>0</v>
      </c>
    </row>
    <row r="927" spans="1:14" x14ac:dyDescent="0.25">
      <c r="A927">
        <v>1093.7838200000001</v>
      </c>
      <c r="B927" s="1">
        <f>DATE(2013,4,28) + TIME(18,48,42)</f>
        <v>41392.783819444441</v>
      </c>
      <c r="C927">
        <v>80</v>
      </c>
      <c r="D927">
        <v>65.663078307999996</v>
      </c>
      <c r="E927">
        <v>40</v>
      </c>
      <c r="F927">
        <v>39.925003052000001</v>
      </c>
      <c r="G927">
        <v>1322.3336182</v>
      </c>
      <c r="H927">
        <v>1318.2111815999999</v>
      </c>
      <c r="I927">
        <v>1345.6724853999999</v>
      </c>
      <c r="J927">
        <v>1340.0866699000001</v>
      </c>
      <c r="K927">
        <v>0</v>
      </c>
      <c r="L927">
        <v>550</v>
      </c>
      <c r="M927">
        <v>550</v>
      </c>
      <c r="N927">
        <v>0</v>
      </c>
    </row>
    <row r="928" spans="1:14" x14ac:dyDescent="0.25">
      <c r="A928">
        <v>1096</v>
      </c>
      <c r="B928" s="1">
        <f>DATE(2013,5,1) + TIME(0,0,0)</f>
        <v>41395</v>
      </c>
      <c r="C928">
        <v>80</v>
      </c>
      <c r="D928">
        <v>65.306983947999996</v>
      </c>
      <c r="E928">
        <v>40</v>
      </c>
      <c r="F928">
        <v>39.925071715999998</v>
      </c>
      <c r="G928">
        <v>1322.2246094</v>
      </c>
      <c r="H928">
        <v>1318.0605469</v>
      </c>
      <c r="I928">
        <v>1345.6701660000001</v>
      </c>
      <c r="J928">
        <v>1340.0858154</v>
      </c>
      <c r="K928">
        <v>0</v>
      </c>
      <c r="L928">
        <v>550</v>
      </c>
      <c r="M928">
        <v>550</v>
      </c>
      <c r="N928">
        <v>0</v>
      </c>
    </row>
    <row r="929" spans="1:14" x14ac:dyDescent="0.25">
      <c r="A929">
        <v>1096.0000010000001</v>
      </c>
      <c r="B929" s="1">
        <f>DATE(2013,5,1) + TIME(0,0,0)</f>
        <v>41395</v>
      </c>
      <c r="C929">
        <v>80</v>
      </c>
      <c r="D929">
        <v>65.307029724000003</v>
      </c>
      <c r="E929">
        <v>40</v>
      </c>
      <c r="F929">
        <v>39.925045013000002</v>
      </c>
      <c r="G929">
        <v>1327.6156006000001</v>
      </c>
      <c r="H929">
        <v>1322.4908447</v>
      </c>
      <c r="I929">
        <v>1339.8854980000001</v>
      </c>
      <c r="J929">
        <v>1335.0272216999999</v>
      </c>
      <c r="K929">
        <v>550</v>
      </c>
      <c r="L929">
        <v>0</v>
      </c>
      <c r="M929">
        <v>0</v>
      </c>
      <c r="N929">
        <v>550</v>
      </c>
    </row>
    <row r="930" spans="1:14" x14ac:dyDescent="0.25">
      <c r="A930">
        <v>1096.000004</v>
      </c>
      <c r="B930" s="1">
        <f>DATE(2013,5,1) + TIME(0,0,0)</f>
        <v>41395</v>
      </c>
      <c r="C930">
        <v>80</v>
      </c>
      <c r="D930">
        <v>65.307136536000002</v>
      </c>
      <c r="E930">
        <v>40</v>
      </c>
      <c r="F930">
        <v>39.924980163999997</v>
      </c>
      <c r="G930">
        <v>1328.1820068</v>
      </c>
      <c r="H930">
        <v>1323.1730957</v>
      </c>
      <c r="I930">
        <v>1339.3415527</v>
      </c>
      <c r="J930">
        <v>1334.4827881000001</v>
      </c>
      <c r="K930">
        <v>550</v>
      </c>
      <c r="L930">
        <v>0</v>
      </c>
      <c r="M930">
        <v>0</v>
      </c>
      <c r="N930">
        <v>550</v>
      </c>
    </row>
    <row r="931" spans="1:14" x14ac:dyDescent="0.25">
      <c r="A931">
        <v>1096.0000130000001</v>
      </c>
      <c r="B931" s="1">
        <f>DATE(2013,5,1) + TIME(0,0,1)</f>
        <v>41395.000011574077</v>
      </c>
      <c r="C931">
        <v>80</v>
      </c>
      <c r="D931">
        <v>65.307373046999999</v>
      </c>
      <c r="E931">
        <v>40</v>
      </c>
      <c r="F931">
        <v>39.924827575999998</v>
      </c>
      <c r="G931">
        <v>1329.4442139</v>
      </c>
      <c r="H931">
        <v>1324.5944824000001</v>
      </c>
      <c r="I931">
        <v>1338.074707</v>
      </c>
      <c r="J931">
        <v>1333.215332</v>
      </c>
      <c r="K931">
        <v>550</v>
      </c>
      <c r="L931">
        <v>0</v>
      </c>
      <c r="M931">
        <v>0</v>
      </c>
      <c r="N931">
        <v>550</v>
      </c>
    </row>
    <row r="932" spans="1:14" x14ac:dyDescent="0.25">
      <c r="A932">
        <v>1096.0000399999999</v>
      </c>
      <c r="B932" s="1">
        <f>DATE(2013,5,1) + TIME(0,0,3)</f>
        <v>41395.000034722223</v>
      </c>
      <c r="C932">
        <v>80</v>
      </c>
      <c r="D932">
        <v>65.307823181000003</v>
      </c>
      <c r="E932">
        <v>40</v>
      </c>
      <c r="F932">
        <v>39.924560546999999</v>
      </c>
      <c r="G932">
        <v>1331.5598144999999</v>
      </c>
      <c r="H932">
        <v>1326.7810059000001</v>
      </c>
      <c r="I932">
        <v>1335.8382568</v>
      </c>
      <c r="J932">
        <v>1330.9790039</v>
      </c>
      <c r="K932">
        <v>550</v>
      </c>
      <c r="L932">
        <v>0</v>
      </c>
      <c r="M932">
        <v>0</v>
      </c>
      <c r="N932">
        <v>550</v>
      </c>
    </row>
    <row r="933" spans="1:14" x14ac:dyDescent="0.25">
      <c r="A933">
        <v>1096.000121</v>
      </c>
      <c r="B933" s="1">
        <f>DATE(2013,5,1) + TIME(0,0,10)</f>
        <v>41395.000115740739</v>
      </c>
      <c r="C933">
        <v>80</v>
      </c>
      <c r="D933">
        <v>65.308624268000003</v>
      </c>
      <c r="E933">
        <v>40</v>
      </c>
      <c r="F933">
        <v>39.924213408999996</v>
      </c>
      <c r="G933">
        <v>1334.1921387</v>
      </c>
      <c r="H933">
        <v>1329.3596190999999</v>
      </c>
      <c r="I933">
        <v>1332.9766846</v>
      </c>
      <c r="J933">
        <v>1328.1208495999999</v>
      </c>
      <c r="K933">
        <v>550</v>
      </c>
      <c r="L933">
        <v>0</v>
      </c>
      <c r="M933">
        <v>0</v>
      </c>
      <c r="N933">
        <v>550</v>
      </c>
    </row>
    <row r="934" spans="1:14" x14ac:dyDescent="0.25">
      <c r="A934">
        <v>1096.000364</v>
      </c>
      <c r="B934" s="1">
        <f>DATE(2013,5,1) + TIME(0,0,31)</f>
        <v>41395.000358796293</v>
      </c>
      <c r="C934">
        <v>80</v>
      </c>
      <c r="D934">
        <v>65.310379028</v>
      </c>
      <c r="E934">
        <v>40</v>
      </c>
      <c r="F934">
        <v>39.923835754000002</v>
      </c>
      <c r="G934">
        <v>1336.9799805</v>
      </c>
      <c r="H934">
        <v>1332.0666504000001</v>
      </c>
      <c r="I934">
        <v>1329.9753418</v>
      </c>
      <c r="J934">
        <v>1325.1208495999999</v>
      </c>
      <c r="K934">
        <v>550</v>
      </c>
      <c r="L934">
        <v>0</v>
      </c>
      <c r="M934">
        <v>0</v>
      </c>
      <c r="N934">
        <v>550</v>
      </c>
    </row>
    <row r="935" spans="1:14" x14ac:dyDescent="0.25">
      <c r="A935">
        <v>1096.0010930000001</v>
      </c>
      <c r="B935" s="1">
        <f>DATE(2013,5,1) + TIME(0,1,34)</f>
        <v>41395.001087962963</v>
      </c>
      <c r="C935">
        <v>80</v>
      </c>
      <c r="D935">
        <v>65.314987183</v>
      </c>
      <c r="E935">
        <v>40</v>
      </c>
      <c r="F935">
        <v>39.923423767000003</v>
      </c>
      <c r="G935">
        <v>1339.8087158000001</v>
      </c>
      <c r="H935">
        <v>1334.8204346</v>
      </c>
      <c r="I935">
        <v>1327.0075684000001</v>
      </c>
      <c r="J935">
        <v>1322.1240233999999</v>
      </c>
      <c r="K935">
        <v>550</v>
      </c>
      <c r="L935">
        <v>0</v>
      </c>
      <c r="M935">
        <v>0</v>
      </c>
      <c r="N935">
        <v>550</v>
      </c>
    </row>
    <row r="936" spans="1:14" x14ac:dyDescent="0.25">
      <c r="A936">
        <v>1096.0032799999999</v>
      </c>
      <c r="B936" s="1">
        <f>DATE(2013,5,1) + TIME(0,4,43)</f>
        <v>41395.003275462965</v>
      </c>
      <c r="C936">
        <v>80</v>
      </c>
      <c r="D936">
        <v>65.328170775999993</v>
      </c>
      <c r="E936">
        <v>40</v>
      </c>
      <c r="F936">
        <v>39.922935486</v>
      </c>
      <c r="G936">
        <v>1342.3765868999999</v>
      </c>
      <c r="H936">
        <v>1337.3356934000001</v>
      </c>
      <c r="I936">
        <v>1324.3524170000001</v>
      </c>
      <c r="J936">
        <v>1319.3831786999999</v>
      </c>
      <c r="K936">
        <v>550</v>
      </c>
      <c r="L936">
        <v>0</v>
      </c>
      <c r="M936">
        <v>0</v>
      </c>
      <c r="N936">
        <v>550</v>
      </c>
    </row>
    <row r="937" spans="1:14" x14ac:dyDescent="0.25">
      <c r="A937">
        <v>1096.0098410000001</v>
      </c>
      <c r="B937" s="1">
        <f>DATE(2013,5,1) + TIME(0,14,10)</f>
        <v>41395.009837962964</v>
      </c>
      <c r="C937">
        <v>80</v>
      </c>
      <c r="D937">
        <v>65.366966247999997</v>
      </c>
      <c r="E937">
        <v>40</v>
      </c>
      <c r="F937">
        <v>39.922187805</v>
      </c>
      <c r="G937">
        <v>1344.2139893000001</v>
      </c>
      <c r="H937">
        <v>1339.1600341999999</v>
      </c>
      <c r="I937">
        <v>1322.4552002</v>
      </c>
      <c r="J937">
        <v>1317.3913574000001</v>
      </c>
      <c r="K937">
        <v>550</v>
      </c>
      <c r="L937">
        <v>0</v>
      </c>
      <c r="M937">
        <v>0</v>
      </c>
      <c r="N937">
        <v>550</v>
      </c>
    </row>
    <row r="938" spans="1:14" x14ac:dyDescent="0.25">
      <c r="A938">
        <v>1096.029524</v>
      </c>
      <c r="B938" s="1">
        <f>DATE(2013,5,1) + TIME(0,42,30)</f>
        <v>41395.029513888891</v>
      </c>
      <c r="C938">
        <v>80</v>
      </c>
      <c r="D938">
        <v>65.481803893999995</v>
      </c>
      <c r="E938">
        <v>40</v>
      </c>
      <c r="F938">
        <v>39.920516968000001</v>
      </c>
      <c r="G938">
        <v>1345.2093506000001</v>
      </c>
      <c r="H938">
        <v>1340.1643065999999</v>
      </c>
      <c r="I938">
        <v>1321.4468993999999</v>
      </c>
      <c r="J938">
        <v>1316.333374</v>
      </c>
      <c r="K938">
        <v>550</v>
      </c>
      <c r="L938">
        <v>0</v>
      </c>
      <c r="M938">
        <v>0</v>
      </c>
      <c r="N938">
        <v>550</v>
      </c>
    </row>
    <row r="939" spans="1:14" x14ac:dyDescent="0.25">
      <c r="A939">
        <v>1096.088573</v>
      </c>
      <c r="B939" s="1">
        <f>DATE(2013,5,1) + TIME(2,7,32)</f>
        <v>41395.088564814818</v>
      </c>
      <c r="C939">
        <v>80</v>
      </c>
      <c r="D939">
        <v>65.817733765</v>
      </c>
      <c r="E939">
        <v>40</v>
      </c>
      <c r="F939">
        <v>39.915878296000002</v>
      </c>
      <c r="G939">
        <v>1345.5921631000001</v>
      </c>
      <c r="H939">
        <v>1340.5733643000001</v>
      </c>
      <c r="I939">
        <v>1321.1033935999999</v>
      </c>
      <c r="J939">
        <v>1315.9753418</v>
      </c>
      <c r="K939">
        <v>550</v>
      </c>
      <c r="L939">
        <v>0</v>
      </c>
      <c r="M939">
        <v>0</v>
      </c>
      <c r="N939">
        <v>550</v>
      </c>
    </row>
    <row r="940" spans="1:14" x14ac:dyDescent="0.25">
      <c r="A940">
        <v>1096.197285</v>
      </c>
      <c r="B940" s="1">
        <f>DATE(2013,5,1) + TIME(4,44,5)</f>
        <v>41395.197280092594</v>
      </c>
      <c r="C940">
        <v>80</v>
      </c>
      <c r="D940">
        <v>66.410247803000004</v>
      </c>
      <c r="E940">
        <v>40</v>
      </c>
      <c r="F940">
        <v>39.907566070999998</v>
      </c>
      <c r="G940">
        <v>1345.6442870999999</v>
      </c>
      <c r="H940">
        <v>1340.6645507999999</v>
      </c>
      <c r="I940">
        <v>1321.0620117000001</v>
      </c>
      <c r="J940">
        <v>1315.9312743999999</v>
      </c>
      <c r="K940">
        <v>550</v>
      </c>
      <c r="L940">
        <v>0</v>
      </c>
      <c r="M940">
        <v>0</v>
      </c>
      <c r="N940">
        <v>550</v>
      </c>
    </row>
    <row r="941" spans="1:14" x14ac:dyDescent="0.25">
      <c r="A941">
        <v>1096.30826</v>
      </c>
      <c r="B941" s="1">
        <f>DATE(2013,5,1) + TIME(7,23,53)</f>
        <v>41395.308252314811</v>
      </c>
      <c r="C941">
        <v>80</v>
      </c>
      <c r="D941">
        <v>66.990737914999997</v>
      </c>
      <c r="E941">
        <v>40</v>
      </c>
      <c r="F941">
        <v>39.899177551000001</v>
      </c>
      <c r="G941">
        <v>1345.6387939000001</v>
      </c>
      <c r="H941">
        <v>1340.6843262</v>
      </c>
      <c r="I941">
        <v>1321.0650635</v>
      </c>
      <c r="J941">
        <v>1315.9332274999999</v>
      </c>
      <c r="K941">
        <v>550</v>
      </c>
      <c r="L941">
        <v>0</v>
      </c>
      <c r="M941">
        <v>0</v>
      </c>
      <c r="N941">
        <v>550</v>
      </c>
    </row>
    <row r="942" spans="1:14" x14ac:dyDescent="0.25">
      <c r="A942">
        <v>1096.421662</v>
      </c>
      <c r="B942" s="1">
        <f>DATE(2013,5,1) + TIME(10,7,11)</f>
        <v>41395.421655092592</v>
      </c>
      <c r="C942">
        <v>80</v>
      </c>
      <c r="D942">
        <v>67.559440613000007</v>
      </c>
      <c r="E942">
        <v>40</v>
      </c>
      <c r="F942">
        <v>39.890693665000001</v>
      </c>
      <c r="G942">
        <v>1345.6191406</v>
      </c>
      <c r="H942">
        <v>1340.6884766000001</v>
      </c>
      <c r="I942">
        <v>1321.0682373</v>
      </c>
      <c r="J942">
        <v>1315.9354248</v>
      </c>
      <c r="K942">
        <v>550</v>
      </c>
      <c r="L942">
        <v>0</v>
      </c>
      <c r="M942">
        <v>0</v>
      </c>
      <c r="N942">
        <v>550</v>
      </c>
    </row>
    <row r="943" spans="1:14" x14ac:dyDescent="0.25">
      <c r="A943">
        <v>1096.5376180000001</v>
      </c>
      <c r="B943" s="1">
        <f>DATE(2013,5,1) + TIME(12,54,10)</f>
        <v>41395.537615740737</v>
      </c>
      <c r="C943">
        <v>80</v>
      </c>
      <c r="D943">
        <v>68.116363524999997</v>
      </c>
      <c r="E943">
        <v>40</v>
      </c>
      <c r="F943">
        <v>39.88211441</v>
      </c>
      <c r="G943">
        <v>1345.5983887</v>
      </c>
      <c r="H943">
        <v>1340.6901855000001</v>
      </c>
      <c r="I943">
        <v>1321.0699463000001</v>
      </c>
      <c r="J943">
        <v>1315.9361572</v>
      </c>
      <c r="K943">
        <v>550</v>
      </c>
      <c r="L943">
        <v>0</v>
      </c>
      <c r="M943">
        <v>0</v>
      </c>
      <c r="N943">
        <v>550</v>
      </c>
    </row>
    <row r="944" spans="1:14" x14ac:dyDescent="0.25">
      <c r="A944">
        <v>1096.656262</v>
      </c>
      <c r="B944" s="1">
        <f>DATE(2013,5,1) + TIME(15,45,1)</f>
        <v>41395.656261574077</v>
      </c>
      <c r="C944">
        <v>80</v>
      </c>
      <c r="D944">
        <v>68.661460876000007</v>
      </c>
      <c r="E944">
        <v>40</v>
      </c>
      <c r="F944">
        <v>39.873428345000001</v>
      </c>
      <c r="G944">
        <v>1345.5793457</v>
      </c>
      <c r="H944">
        <v>1340.6920166</v>
      </c>
      <c r="I944">
        <v>1321.0710449000001</v>
      </c>
      <c r="J944">
        <v>1315.9362793</v>
      </c>
      <c r="K944">
        <v>550</v>
      </c>
      <c r="L944">
        <v>0</v>
      </c>
      <c r="M944">
        <v>0</v>
      </c>
      <c r="N944">
        <v>550</v>
      </c>
    </row>
    <row r="945" spans="1:14" x14ac:dyDescent="0.25">
      <c r="A945">
        <v>1096.777738</v>
      </c>
      <c r="B945" s="1">
        <f>DATE(2013,5,1) + TIME(18,39,56)</f>
        <v>41395.777731481481</v>
      </c>
      <c r="C945">
        <v>80</v>
      </c>
      <c r="D945">
        <v>69.194694518999995</v>
      </c>
      <c r="E945">
        <v>40</v>
      </c>
      <c r="F945">
        <v>39.864635468000003</v>
      </c>
      <c r="G945">
        <v>1345.5625</v>
      </c>
      <c r="H945">
        <v>1340.6948242000001</v>
      </c>
      <c r="I945">
        <v>1321.0720214999999</v>
      </c>
      <c r="J945">
        <v>1315.9361572</v>
      </c>
      <c r="K945">
        <v>550</v>
      </c>
      <c r="L945">
        <v>0</v>
      </c>
      <c r="M945">
        <v>0</v>
      </c>
      <c r="N945">
        <v>550</v>
      </c>
    </row>
    <row r="946" spans="1:14" x14ac:dyDescent="0.25">
      <c r="A946">
        <v>1096.902202</v>
      </c>
      <c r="B946" s="1">
        <f>DATE(2013,5,1) + TIME(21,39,10)</f>
        <v>41395.902199074073</v>
      </c>
      <c r="C946">
        <v>80</v>
      </c>
      <c r="D946">
        <v>69.716018676999994</v>
      </c>
      <c r="E946">
        <v>40</v>
      </c>
      <c r="F946">
        <v>39.855720519999998</v>
      </c>
      <c r="G946">
        <v>1345.5477295000001</v>
      </c>
      <c r="H946">
        <v>1340.6984863</v>
      </c>
      <c r="I946">
        <v>1321.072876</v>
      </c>
      <c r="J946">
        <v>1315.9360352000001</v>
      </c>
      <c r="K946">
        <v>550</v>
      </c>
      <c r="L946">
        <v>0</v>
      </c>
      <c r="M946">
        <v>0</v>
      </c>
      <c r="N946">
        <v>550</v>
      </c>
    </row>
    <row r="947" spans="1:14" x14ac:dyDescent="0.25">
      <c r="A947">
        <v>1097.0298170000001</v>
      </c>
      <c r="B947" s="1">
        <f>DATE(2013,5,2) + TIME(0,42,56)</f>
        <v>41396.029814814814</v>
      </c>
      <c r="C947">
        <v>80</v>
      </c>
      <c r="D947">
        <v>70.225189209000007</v>
      </c>
      <c r="E947">
        <v>40</v>
      </c>
      <c r="F947">
        <v>39.846679688000002</v>
      </c>
      <c r="G947">
        <v>1345.5352783000001</v>
      </c>
      <c r="H947">
        <v>1340.703125</v>
      </c>
      <c r="I947">
        <v>1321.0737305</v>
      </c>
      <c r="J947">
        <v>1315.9356689000001</v>
      </c>
      <c r="K947">
        <v>550</v>
      </c>
      <c r="L947">
        <v>0</v>
      </c>
      <c r="M947">
        <v>0</v>
      </c>
      <c r="N947">
        <v>550</v>
      </c>
    </row>
    <row r="948" spans="1:14" x14ac:dyDescent="0.25">
      <c r="A948">
        <v>1097.1607590000001</v>
      </c>
      <c r="B948" s="1">
        <f>DATE(2013,5,2) + TIME(3,51,29)</f>
        <v>41396.160752314812</v>
      </c>
      <c r="C948">
        <v>80</v>
      </c>
      <c r="D948">
        <v>70.722068786999998</v>
      </c>
      <c r="E948">
        <v>40</v>
      </c>
      <c r="F948">
        <v>39.837509154999999</v>
      </c>
      <c r="G948">
        <v>1345.5247803</v>
      </c>
      <c r="H948">
        <v>1340.7084961</v>
      </c>
      <c r="I948">
        <v>1321.0745850000001</v>
      </c>
      <c r="J948">
        <v>1315.9354248</v>
      </c>
      <c r="K948">
        <v>550</v>
      </c>
      <c r="L948">
        <v>0</v>
      </c>
      <c r="M948">
        <v>0</v>
      </c>
      <c r="N948">
        <v>550</v>
      </c>
    </row>
    <row r="949" spans="1:14" x14ac:dyDescent="0.25">
      <c r="A949">
        <v>1097.2951989999999</v>
      </c>
      <c r="B949" s="1">
        <f>DATE(2013,5,2) + TIME(7,5,5)</f>
        <v>41396.29519675926</v>
      </c>
      <c r="C949">
        <v>80</v>
      </c>
      <c r="D949">
        <v>71.206710814999994</v>
      </c>
      <c r="E949">
        <v>40</v>
      </c>
      <c r="F949">
        <v>39.828197479000004</v>
      </c>
      <c r="G949">
        <v>1345.5162353999999</v>
      </c>
      <c r="H949">
        <v>1340.7148437999999</v>
      </c>
      <c r="I949">
        <v>1321.0754394999999</v>
      </c>
      <c r="J949">
        <v>1315.9350586</v>
      </c>
      <c r="K949">
        <v>550</v>
      </c>
      <c r="L949">
        <v>0</v>
      </c>
      <c r="M949">
        <v>0</v>
      </c>
      <c r="N949">
        <v>550</v>
      </c>
    </row>
    <row r="950" spans="1:14" x14ac:dyDescent="0.25">
      <c r="A950">
        <v>1097.4333160000001</v>
      </c>
      <c r="B950" s="1">
        <f>DATE(2013,5,2) + TIME(10,23,58)</f>
        <v>41396.433310185188</v>
      </c>
      <c r="C950">
        <v>80</v>
      </c>
      <c r="D950">
        <v>71.678924561000002</v>
      </c>
      <c r="E950">
        <v>40</v>
      </c>
      <c r="F950">
        <v>39.818740845000001</v>
      </c>
      <c r="G950">
        <v>1345.5095214999999</v>
      </c>
      <c r="H950">
        <v>1340.7219238</v>
      </c>
      <c r="I950">
        <v>1321.0761719</v>
      </c>
      <c r="J950">
        <v>1315.9345702999999</v>
      </c>
      <c r="K950">
        <v>550</v>
      </c>
      <c r="L950">
        <v>0</v>
      </c>
      <c r="M950">
        <v>0</v>
      </c>
      <c r="N950">
        <v>550</v>
      </c>
    </row>
    <row r="951" spans="1:14" x14ac:dyDescent="0.25">
      <c r="A951">
        <v>1097.5751909999999</v>
      </c>
      <c r="B951" s="1">
        <f>DATE(2013,5,2) + TIME(13,48,16)</f>
        <v>41396.575185185182</v>
      </c>
      <c r="C951">
        <v>80</v>
      </c>
      <c r="D951">
        <v>72.138198853000006</v>
      </c>
      <c r="E951">
        <v>40</v>
      </c>
      <c r="F951">
        <v>39.809135437000002</v>
      </c>
      <c r="G951">
        <v>1345.5045166</v>
      </c>
      <c r="H951">
        <v>1340.7296143000001</v>
      </c>
      <c r="I951">
        <v>1321.0770264</v>
      </c>
      <c r="J951">
        <v>1315.9342041</v>
      </c>
      <c r="K951">
        <v>550</v>
      </c>
      <c r="L951">
        <v>0</v>
      </c>
      <c r="M951">
        <v>0</v>
      </c>
      <c r="N951">
        <v>550</v>
      </c>
    </row>
    <row r="952" spans="1:14" x14ac:dyDescent="0.25">
      <c r="A952">
        <v>1097.721045</v>
      </c>
      <c r="B952" s="1">
        <f>DATE(2013,5,2) + TIME(17,18,18)</f>
        <v>41396.721041666664</v>
      </c>
      <c r="C952">
        <v>80</v>
      </c>
      <c r="D952">
        <v>72.584457396999994</v>
      </c>
      <c r="E952">
        <v>40</v>
      </c>
      <c r="F952">
        <v>39.799373627000001</v>
      </c>
      <c r="G952">
        <v>1345.5010986</v>
      </c>
      <c r="H952">
        <v>1340.7380370999999</v>
      </c>
      <c r="I952">
        <v>1321.0777588000001</v>
      </c>
      <c r="J952">
        <v>1315.9335937999999</v>
      </c>
      <c r="K952">
        <v>550</v>
      </c>
      <c r="L952">
        <v>0</v>
      </c>
      <c r="M952">
        <v>0</v>
      </c>
      <c r="N952">
        <v>550</v>
      </c>
    </row>
    <row r="953" spans="1:14" x14ac:dyDescent="0.25">
      <c r="A953">
        <v>1097.8711149999999</v>
      </c>
      <c r="B953" s="1">
        <f>DATE(2013,5,2) + TIME(20,54,24)</f>
        <v>41396.871111111112</v>
      </c>
      <c r="C953">
        <v>80</v>
      </c>
      <c r="D953">
        <v>73.017608643000003</v>
      </c>
      <c r="E953">
        <v>40</v>
      </c>
      <c r="F953">
        <v>39.789443970000001</v>
      </c>
      <c r="G953">
        <v>1345.4992675999999</v>
      </c>
      <c r="H953">
        <v>1340.7469481999999</v>
      </c>
      <c r="I953">
        <v>1321.0786132999999</v>
      </c>
      <c r="J953">
        <v>1315.9331055</v>
      </c>
      <c r="K953">
        <v>550</v>
      </c>
      <c r="L953">
        <v>0</v>
      </c>
      <c r="M953">
        <v>0</v>
      </c>
      <c r="N953">
        <v>550</v>
      </c>
    </row>
    <row r="954" spans="1:14" x14ac:dyDescent="0.25">
      <c r="A954">
        <v>1098.0256220000001</v>
      </c>
      <c r="B954" s="1">
        <f>DATE(2013,5,3) + TIME(0,36,53)</f>
        <v>41397.025613425925</v>
      </c>
      <c r="C954">
        <v>80</v>
      </c>
      <c r="D954">
        <v>73.437477111999996</v>
      </c>
      <c r="E954">
        <v>40</v>
      </c>
      <c r="F954">
        <v>39.779338836999997</v>
      </c>
      <c r="G954">
        <v>1345.4987793</v>
      </c>
      <c r="H954">
        <v>1340.7563477000001</v>
      </c>
      <c r="I954">
        <v>1321.0793457</v>
      </c>
      <c r="J954">
        <v>1315.9324951000001</v>
      </c>
      <c r="K954">
        <v>550</v>
      </c>
      <c r="L954">
        <v>0</v>
      </c>
      <c r="M954">
        <v>0</v>
      </c>
      <c r="N954">
        <v>550</v>
      </c>
    </row>
    <row r="955" spans="1:14" x14ac:dyDescent="0.25">
      <c r="A955">
        <v>1098.1848600000001</v>
      </c>
      <c r="B955" s="1">
        <f>DATE(2013,5,3) + TIME(4,26,11)</f>
        <v>41397.184849537036</v>
      </c>
      <c r="C955">
        <v>80</v>
      </c>
      <c r="D955">
        <v>73.844009399000001</v>
      </c>
      <c r="E955">
        <v>40</v>
      </c>
      <c r="F955">
        <v>39.769042968999997</v>
      </c>
      <c r="G955">
        <v>1345.4995117000001</v>
      </c>
      <c r="H955">
        <v>1340.7662353999999</v>
      </c>
      <c r="I955">
        <v>1321.0800781</v>
      </c>
      <c r="J955">
        <v>1315.9318848</v>
      </c>
      <c r="K955">
        <v>550</v>
      </c>
      <c r="L955">
        <v>0</v>
      </c>
      <c r="M955">
        <v>0</v>
      </c>
      <c r="N955">
        <v>550</v>
      </c>
    </row>
    <row r="956" spans="1:14" x14ac:dyDescent="0.25">
      <c r="A956">
        <v>1098.3491260000001</v>
      </c>
      <c r="B956" s="1">
        <f>DATE(2013,5,3) + TIME(8,22,44)</f>
        <v>41397.349120370367</v>
      </c>
      <c r="C956">
        <v>80</v>
      </c>
      <c r="D956">
        <v>74.237121582</v>
      </c>
      <c r="E956">
        <v>40</v>
      </c>
      <c r="F956">
        <v>39.758552551000001</v>
      </c>
      <c r="G956">
        <v>1345.5014647999999</v>
      </c>
      <c r="H956">
        <v>1340.7764893000001</v>
      </c>
      <c r="I956">
        <v>1321.0809326000001</v>
      </c>
      <c r="J956">
        <v>1315.9311522999999</v>
      </c>
      <c r="K956">
        <v>550</v>
      </c>
      <c r="L956">
        <v>0</v>
      </c>
      <c r="M956">
        <v>0</v>
      </c>
      <c r="N956">
        <v>550</v>
      </c>
    </row>
    <row r="957" spans="1:14" x14ac:dyDescent="0.25">
      <c r="A957">
        <v>1098.5187370000001</v>
      </c>
      <c r="B957" s="1">
        <f>DATE(2013,5,3) + TIME(12,26,58)</f>
        <v>41397.518726851849</v>
      </c>
      <c r="C957">
        <v>80</v>
      </c>
      <c r="D957">
        <v>74.616691588999998</v>
      </c>
      <c r="E957">
        <v>40</v>
      </c>
      <c r="F957">
        <v>39.747848511000001</v>
      </c>
      <c r="G957">
        <v>1345.5045166</v>
      </c>
      <c r="H957">
        <v>1340.7869873</v>
      </c>
      <c r="I957">
        <v>1321.0816649999999</v>
      </c>
      <c r="J957">
        <v>1315.9304199000001</v>
      </c>
      <c r="K957">
        <v>550</v>
      </c>
      <c r="L957">
        <v>0</v>
      </c>
      <c r="M957">
        <v>0</v>
      </c>
      <c r="N957">
        <v>550</v>
      </c>
    </row>
    <row r="958" spans="1:14" x14ac:dyDescent="0.25">
      <c r="A958">
        <v>1098.6940360000001</v>
      </c>
      <c r="B958" s="1">
        <f>DATE(2013,5,3) + TIME(16,39,24)</f>
        <v>41397.694027777776</v>
      </c>
      <c r="C958">
        <v>80</v>
      </c>
      <c r="D958">
        <v>74.982612610000004</v>
      </c>
      <c r="E958">
        <v>40</v>
      </c>
      <c r="F958">
        <v>39.736915588000002</v>
      </c>
      <c r="G958">
        <v>1345.5085449000001</v>
      </c>
      <c r="H958">
        <v>1340.7978516000001</v>
      </c>
      <c r="I958">
        <v>1321.0823975000001</v>
      </c>
      <c r="J958">
        <v>1315.9296875</v>
      </c>
      <c r="K958">
        <v>550</v>
      </c>
      <c r="L958">
        <v>0</v>
      </c>
      <c r="M958">
        <v>0</v>
      </c>
      <c r="N958">
        <v>550</v>
      </c>
    </row>
    <row r="959" spans="1:14" x14ac:dyDescent="0.25">
      <c r="A959">
        <v>1098.8753919999999</v>
      </c>
      <c r="B959" s="1">
        <f>DATE(2013,5,3) + TIME(21,0,33)</f>
        <v>41397.875381944446</v>
      </c>
      <c r="C959">
        <v>80</v>
      </c>
      <c r="D959">
        <v>75.334526061999995</v>
      </c>
      <c r="E959">
        <v>40</v>
      </c>
      <c r="F959">
        <v>39.725742339999996</v>
      </c>
      <c r="G959">
        <v>1345.5135498</v>
      </c>
      <c r="H959">
        <v>1340.8088379000001</v>
      </c>
      <c r="I959">
        <v>1321.0831298999999</v>
      </c>
      <c r="J959">
        <v>1315.9288329999999</v>
      </c>
      <c r="K959">
        <v>550</v>
      </c>
      <c r="L959">
        <v>0</v>
      </c>
      <c r="M959">
        <v>0</v>
      </c>
      <c r="N959">
        <v>550</v>
      </c>
    </row>
    <row r="960" spans="1:14" x14ac:dyDescent="0.25">
      <c r="A960">
        <v>1099.0632089999999</v>
      </c>
      <c r="B960" s="1">
        <f>DATE(2013,5,4) + TIME(1,31,1)</f>
        <v>41398.063206018516</v>
      </c>
      <c r="C960">
        <v>80</v>
      </c>
      <c r="D960">
        <v>75.672546386999997</v>
      </c>
      <c r="E960">
        <v>40</v>
      </c>
      <c r="F960">
        <v>39.714313507</v>
      </c>
      <c r="G960">
        <v>1345.5192870999999</v>
      </c>
      <c r="H960">
        <v>1340.8199463000001</v>
      </c>
      <c r="I960">
        <v>1321.0838623</v>
      </c>
      <c r="J960">
        <v>1315.9279785000001</v>
      </c>
      <c r="K960">
        <v>550</v>
      </c>
      <c r="L960">
        <v>0</v>
      </c>
      <c r="M960">
        <v>0</v>
      </c>
      <c r="N960">
        <v>550</v>
      </c>
    </row>
    <row r="961" spans="1:14" x14ac:dyDescent="0.25">
      <c r="A961">
        <v>1099.2579249999999</v>
      </c>
      <c r="B961" s="1">
        <f>DATE(2013,5,4) + TIME(6,11,24)</f>
        <v>41398.257916666669</v>
      </c>
      <c r="C961">
        <v>80</v>
      </c>
      <c r="D961">
        <v>75.996604919000006</v>
      </c>
      <c r="E961">
        <v>40</v>
      </c>
      <c r="F961">
        <v>39.702610016000001</v>
      </c>
      <c r="G961">
        <v>1345.5256348</v>
      </c>
      <c r="H961">
        <v>1340.8311768000001</v>
      </c>
      <c r="I961">
        <v>1321.0844727000001</v>
      </c>
      <c r="J961">
        <v>1315.927124</v>
      </c>
      <c r="K961">
        <v>550</v>
      </c>
      <c r="L961">
        <v>0</v>
      </c>
      <c r="M961">
        <v>0</v>
      </c>
      <c r="N961">
        <v>550</v>
      </c>
    </row>
    <row r="962" spans="1:14" x14ac:dyDescent="0.25">
      <c r="A962">
        <v>1099.4600170000001</v>
      </c>
      <c r="B962" s="1">
        <f>DATE(2013,5,4) + TIME(11,2,25)</f>
        <v>41398.460011574076</v>
      </c>
      <c r="C962">
        <v>80</v>
      </c>
      <c r="D962">
        <v>76.306602478000002</v>
      </c>
      <c r="E962">
        <v>40</v>
      </c>
      <c r="F962">
        <v>39.690612793</v>
      </c>
      <c r="G962">
        <v>1345.5327147999999</v>
      </c>
      <c r="H962">
        <v>1340.8424072</v>
      </c>
      <c r="I962">
        <v>1321.0852050999999</v>
      </c>
      <c r="J962">
        <v>1315.9261475000001</v>
      </c>
      <c r="K962">
        <v>550</v>
      </c>
      <c r="L962">
        <v>0</v>
      </c>
      <c r="M962">
        <v>0</v>
      </c>
      <c r="N962">
        <v>550</v>
      </c>
    </row>
    <row r="963" spans="1:14" x14ac:dyDescent="0.25">
      <c r="A963">
        <v>1099.67001</v>
      </c>
      <c r="B963" s="1">
        <f>DATE(2013,5,4) + TIME(16,4,48)</f>
        <v>41398.67</v>
      </c>
      <c r="C963">
        <v>80</v>
      </c>
      <c r="D963">
        <v>76.602478027000004</v>
      </c>
      <c r="E963">
        <v>40</v>
      </c>
      <c r="F963">
        <v>39.678306579999997</v>
      </c>
      <c r="G963">
        <v>1345.5402832</v>
      </c>
      <c r="H963">
        <v>1340.8536377</v>
      </c>
      <c r="I963">
        <v>1321.0859375</v>
      </c>
      <c r="J963">
        <v>1315.9251709</v>
      </c>
      <c r="K963">
        <v>550</v>
      </c>
      <c r="L963">
        <v>0</v>
      </c>
      <c r="M963">
        <v>0</v>
      </c>
      <c r="N963">
        <v>550</v>
      </c>
    </row>
    <row r="964" spans="1:14" x14ac:dyDescent="0.25">
      <c r="A964">
        <v>1099.888524</v>
      </c>
      <c r="B964" s="1">
        <f>DATE(2013,5,4) + TIME(21,19,28)</f>
        <v>41398.888518518521</v>
      </c>
      <c r="C964">
        <v>80</v>
      </c>
      <c r="D964">
        <v>76.884231567</v>
      </c>
      <c r="E964">
        <v>40</v>
      </c>
      <c r="F964">
        <v>39.665660858000003</v>
      </c>
      <c r="G964">
        <v>1345.5482178</v>
      </c>
      <c r="H964">
        <v>1340.8648682</v>
      </c>
      <c r="I964">
        <v>1321.0865478999999</v>
      </c>
      <c r="J964">
        <v>1315.9241943</v>
      </c>
      <c r="K964">
        <v>550</v>
      </c>
      <c r="L964">
        <v>0</v>
      </c>
      <c r="M964">
        <v>0</v>
      </c>
      <c r="N964">
        <v>550</v>
      </c>
    </row>
    <row r="965" spans="1:14" x14ac:dyDescent="0.25">
      <c r="A965">
        <v>1100.116207</v>
      </c>
      <c r="B965" s="1">
        <f>DATE(2013,5,5) + TIME(2,47,20)</f>
        <v>41399.116203703707</v>
      </c>
      <c r="C965">
        <v>80</v>
      </c>
      <c r="D965">
        <v>77.151824950999995</v>
      </c>
      <c r="E965">
        <v>40</v>
      </c>
      <c r="F965">
        <v>39.652656555</v>
      </c>
      <c r="G965">
        <v>1345.5565185999999</v>
      </c>
      <c r="H965">
        <v>1340.8758545000001</v>
      </c>
      <c r="I965">
        <v>1321.0872803</v>
      </c>
      <c r="J965">
        <v>1315.9230957</v>
      </c>
      <c r="K965">
        <v>550</v>
      </c>
      <c r="L965">
        <v>0</v>
      </c>
      <c r="M965">
        <v>0</v>
      </c>
      <c r="N965">
        <v>550</v>
      </c>
    </row>
    <row r="966" spans="1:14" x14ac:dyDescent="0.25">
      <c r="A966">
        <v>1100.353703</v>
      </c>
      <c r="B966" s="1">
        <f>DATE(2013,5,5) + TIME(8,29,19)</f>
        <v>41399.353692129633</v>
      </c>
      <c r="C966">
        <v>80</v>
      </c>
      <c r="D966">
        <v>77.405189514</v>
      </c>
      <c r="E966">
        <v>40</v>
      </c>
      <c r="F966">
        <v>39.639266968000001</v>
      </c>
      <c r="G966">
        <v>1345.5649414</v>
      </c>
      <c r="H966">
        <v>1340.8865966999999</v>
      </c>
      <c r="I966">
        <v>1321.0878906</v>
      </c>
      <c r="J966">
        <v>1315.9219971</v>
      </c>
      <c r="K966">
        <v>550</v>
      </c>
      <c r="L966">
        <v>0</v>
      </c>
      <c r="M966">
        <v>0</v>
      </c>
      <c r="N966">
        <v>550</v>
      </c>
    </row>
    <row r="967" spans="1:14" x14ac:dyDescent="0.25">
      <c r="A967">
        <v>1100.601784</v>
      </c>
      <c r="B967" s="1">
        <f>DATE(2013,5,5) + TIME(14,26,34)</f>
        <v>41399.601782407408</v>
      </c>
      <c r="C967">
        <v>80</v>
      </c>
      <c r="D967">
        <v>77.644325256000002</v>
      </c>
      <c r="E967">
        <v>40</v>
      </c>
      <c r="F967">
        <v>39.625465392999999</v>
      </c>
      <c r="G967">
        <v>1345.5736084</v>
      </c>
      <c r="H967">
        <v>1340.8970947</v>
      </c>
      <c r="I967">
        <v>1321.088501</v>
      </c>
      <c r="J967">
        <v>1315.9207764</v>
      </c>
      <c r="K967">
        <v>550</v>
      </c>
      <c r="L967">
        <v>0</v>
      </c>
      <c r="M967">
        <v>0</v>
      </c>
      <c r="N967">
        <v>550</v>
      </c>
    </row>
    <row r="968" spans="1:14" x14ac:dyDescent="0.25">
      <c r="A968">
        <v>1100.8613049999999</v>
      </c>
      <c r="B968" s="1">
        <f>DATE(2013,5,5) + TIME(20,40,16)</f>
        <v>41399.861296296294</v>
      </c>
      <c r="C968">
        <v>80</v>
      </c>
      <c r="D968">
        <v>77.869277953999998</v>
      </c>
      <c r="E968">
        <v>40</v>
      </c>
      <c r="F968">
        <v>39.611221313000001</v>
      </c>
      <c r="G968">
        <v>1345.5822754000001</v>
      </c>
      <c r="H968">
        <v>1340.9073486</v>
      </c>
      <c r="I968">
        <v>1321.0891113</v>
      </c>
      <c r="J968">
        <v>1315.9195557</v>
      </c>
      <c r="K968">
        <v>550</v>
      </c>
      <c r="L968">
        <v>0</v>
      </c>
      <c r="M968">
        <v>0</v>
      </c>
      <c r="N968">
        <v>550</v>
      </c>
    </row>
    <row r="969" spans="1:14" x14ac:dyDescent="0.25">
      <c r="A969">
        <v>1101.1332179999999</v>
      </c>
      <c r="B969" s="1">
        <f>DATE(2013,5,6) + TIME(3,11,50)</f>
        <v>41400.133217592593</v>
      </c>
      <c r="C969">
        <v>80</v>
      </c>
      <c r="D969">
        <v>78.080131531000006</v>
      </c>
      <c r="E969">
        <v>40</v>
      </c>
      <c r="F969">
        <v>39.596496582</v>
      </c>
      <c r="G969">
        <v>1345.5909423999999</v>
      </c>
      <c r="H969">
        <v>1340.9171143000001</v>
      </c>
      <c r="I969">
        <v>1321.0897216999999</v>
      </c>
      <c r="J969">
        <v>1315.9183350000001</v>
      </c>
      <c r="K969">
        <v>550</v>
      </c>
      <c r="L969">
        <v>0</v>
      </c>
      <c r="M969">
        <v>0</v>
      </c>
      <c r="N969">
        <v>550</v>
      </c>
    </row>
    <row r="970" spans="1:14" x14ac:dyDescent="0.25">
      <c r="A970">
        <v>1101.41859</v>
      </c>
      <c r="B970" s="1">
        <f>DATE(2013,5,6) + TIME(10,2,46)</f>
        <v>41400.418587962966</v>
      </c>
      <c r="C970">
        <v>80</v>
      </c>
      <c r="D970">
        <v>78.276992797999995</v>
      </c>
      <c r="E970">
        <v>40</v>
      </c>
      <c r="F970">
        <v>39.581256865999997</v>
      </c>
      <c r="G970">
        <v>1345.5993652</v>
      </c>
      <c r="H970">
        <v>1340.9263916</v>
      </c>
      <c r="I970">
        <v>1321.090332</v>
      </c>
      <c r="J970">
        <v>1315.9169922000001</v>
      </c>
      <c r="K970">
        <v>550</v>
      </c>
      <c r="L970">
        <v>0</v>
      </c>
      <c r="M970">
        <v>0</v>
      </c>
      <c r="N970">
        <v>550</v>
      </c>
    </row>
    <row r="971" spans="1:14" x14ac:dyDescent="0.25">
      <c r="A971">
        <v>1101.7186139999999</v>
      </c>
      <c r="B971" s="1">
        <f>DATE(2013,5,6) + TIME(17,14,48)</f>
        <v>41400.718611111108</v>
      </c>
      <c r="C971">
        <v>80</v>
      </c>
      <c r="D971">
        <v>78.460014342999997</v>
      </c>
      <c r="E971">
        <v>40</v>
      </c>
      <c r="F971">
        <v>39.565456390000001</v>
      </c>
      <c r="G971">
        <v>1345.6076660000001</v>
      </c>
      <c r="H971">
        <v>1340.9353027</v>
      </c>
      <c r="I971">
        <v>1321.0909423999999</v>
      </c>
      <c r="J971">
        <v>1315.9155272999999</v>
      </c>
      <c r="K971">
        <v>550</v>
      </c>
      <c r="L971">
        <v>0</v>
      </c>
      <c r="M971">
        <v>0</v>
      </c>
      <c r="N971">
        <v>550</v>
      </c>
    </row>
    <row r="972" spans="1:14" x14ac:dyDescent="0.25">
      <c r="A972">
        <v>1102.0346380000001</v>
      </c>
      <c r="B972" s="1">
        <f>DATE(2013,5,7) + TIME(0,49,52)</f>
        <v>41401.034629629627</v>
      </c>
      <c r="C972">
        <v>80</v>
      </c>
      <c r="D972">
        <v>78.629386901999993</v>
      </c>
      <c r="E972">
        <v>40</v>
      </c>
      <c r="F972">
        <v>39.549045563</v>
      </c>
      <c r="G972">
        <v>1345.6154785000001</v>
      </c>
      <c r="H972">
        <v>1340.9436035000001</v>
      </c>
      <c r="I972">
        <v>1321.0914307</v>
      </c>
      <c r="J972">
        <v>1315.9140625</v>
      </c>
      <c r="K972">
        <v>550</v>
      </c>
      <c r="L972">
        <v>0</v>
      </c>
      <c r="M972">
        <v>0</v>
      </c>
      <c r="N972">
        <v>550</v>
      </c>
    </row>
    <row r="973" spans="1:14" x14ac:dyDescent="0.25">
      <c r="A973">
        <v>1102.3681879999999</v>
      </c>
      <c r="B973" s="1">
        <f>DATE(2013,5,7) + TIME(8,50,11)</f>
        <v>41401.36818287037</v>
      </c>
      <c r="C973">
        <v>80</v>
      </c>
      <c r="D973">
        <v>78.785354613999999</v>
      </c>
      <c r="E973">
        <v>40</v>
      </c>
      <c r="F973">
        <v>39.531974792</v>
      </c>
      <c r="G973">
        <v>1345.6228027</v>
      </c>
      <c r="H973">
        <v>1340.9511719</v>
      </c>
      <c r="I973">
        <v>1321.0920410000001</v>
      </c>
      <c r="J973">
        <v>1315.9124756000001</v>
      </c>
      <c r="K973">
        <v>550</v>
      </c>
      <c r="L973">
        <v>0</v>
      </c>
      <c r="M973">
        <v>0</v>
      </c>
      <c r="N973">
        <v>550</v>
      </c>
    </row>
    <row r="974" spans="1:14" x14ac:dyDescent="0.25">
      <c r="A974">
        <v>1102.721002</v>
      </c>
      <c r="B974" s="1">
        <f>DATE(2013,5,7) + TIME(17,18,14)</f>
        <v>41401.720995370371</v>
      </c>
      <c r="C974">
        <v>80</v>
      </c>
      <c r="D974">
        <v>78.928199767999999</v>
      </c>
      <c r="E974">
        <v>40</v>
      </c>
      <c r="F974">
        <v>39.514183043999999</v>
      </c>
      <c r="G974">
        <v>1345.6296387</v>
      </c>
      <c r="H974">
        <v>1340.9581298999999</v>
      </c>
      <c r="I974">
        <v>1321.0925293</v>
      </c>
      <c r="J974">
        <v>1315.9108887</v>
      </c>
      <c r="K974">
        <v>550</v>
      </c>
      <c r="L974">
        <v>0</v>
      </c>
      <c r="M974">
        <v>0</v>
      </c>
      <c r="N974">
        <v>550</v>
      </c>
    </row>
    <row r="975" spans="1:14" x14ac:dyDescent="0.25">
      <c r="A975">
        <v>1103.0953400000001</v>
      </c>
      <c r="B975" s="1">
        <f>DATE(2013,5,8) + TIME(2,17,17)</f>
        <v>41402.095335648148</v>
      </c>
      <c r="C975">
        <v>80</v>
      </c>
      <c r="D975">
        <v>79.058341979999994</v>
      </c>
      <c r="E975">
        <v>40</v>
      </c>
      <c r="F975">
        <v>39.495586394999997</v>
      </c>
      <c r="G975">
        <v>1345.6357422000001</v>
      </c>
      <c r="H975">
        <v>1340.9643555</v>
      </c>
      <c r="I975">
        <v>1321.0930175999999</v>
      </c>
      <c r="J975">
        <v>1315.9090576000001</v>
      </c>
      <c r="K975">
        <v>550</v>
      </c>
      <c r="L975">
        <v>0</v>
      </c>
      <c r="M975">
        <v>0</v>
      </c>
      <c r="N975">
        <v>550</v>
      </c>
    </row>
    <row r="976" spans="1:14" x14ac:dyDescent="0.25">
      <c r="A976">
        <v>1103.4932779999999</v>
      </c>
      <c r="B976" s="1">
        <f>DATE(2013,5,8) + TIME(11,50,19)</f>
        <v>41402.493275462963</v>
      </c>
      <c r="C976">
        <v>80</v>
      </c>
      <c r="D976">
        <v>79.176078795999999</v>
      </c>
      <c r="E976">
        <v>40</v>
      </c>
      <c r="F976">
        <v>39.476119994999998</v>
      </c>
      <c r="G976">
        <v>1345.6409911999999</v>
      </c>
      <c r="H976">
        <v>1340.9697266000001</v>
      </c>
      <c r="I976">
        <v>1321.0933838000001</v>
      </c>
      <c r="J976">
        <v>1315.9072266000001</v>
      </c>
      <c r="K976">
        <v>550</v>
      </c>
      <c r="L976">
        <v>0</v>
      </c>
      <c r="M976">
        <v>0</v>
      </c>
      <c r="N976">
        <v>550</v>
      </c>
    </row>
    <row r="977" spans="1:14" x14ac:dyDescent="0.25">
      <c r="A977">
        <v>1103.9174840000001</v>
      </c>
      <c r="B977" s="1">
        <f>DATE(2013,5,8) + TIME(22,1,10)</f>
        <v>41402.91747685185</v>
      </c>
      <c r="C977">
        <v>80</v>
      </c>
      <c r="D977">
        <v>79.281845093000001</v>
      </c>
      <c r="E977">
        <v>40</v>
      </c>
      <c r="F977">
        <v>39.455688477000002</v>
      </c>
      <c r="G977">
        <v>1345.6455077999999</v>
      </c>
      <c r="H977">
        <v>1340.9742432</v>
      </c>
      <c r="I977">
        <v>1321.09375</v>
      </c>
      <c r="J977">
        <v>1315.9052733999999</v>
      </c>
      <c r="K977">
        <v>550</v>
      </c>
      <c r="L977">
        <v>0</v>
      </c>
      <c r="M977">
        <v>0</v>
      </c>
      <c r="N977">
        <v>550</v>
      </c>
    </row>
    <row r="978" spans="1:14" x14ac:dyDescent="0.25">
      <c r="A978">
        <v>1104.371077</v>
      </c>
      <c r="B978" s="1">
        <f>DATE(2013,5,9) + TIME(8,54,21)</f>
        <v>41403.371076388888</v>
      </c>
      <c r="C978">
        <v>80</v>
      </c>
      <c r="D978">
        <v>79.376129149999997</v>
      </c>
      <c r="E978">
        <v>40</v>
      </c>
      <c r="F978">
        <v>39.434196471999996</v>
      </c>
      <c r="G978">
        <v>1345.6488036999999</v>
      </c>
      <c r="H978">
        <v>1340.9777832</v>
      </c>
      <c r="I978">
        <v>1321.0941161999999</v>
      </c>
      <c r="J978">
        <v>1315.9031981999999</v>
      </c>
      <c r="K978">
        <v>550</v>
      </c>
      <c r="L978">
        <v>0</v>
      </c>
      <c r="M978">
        <v>0</v>
      </c>
      <c r="N978">
        <v>550</v>
      </c>
    </row>
    <row r="979" spans="1:14" x14ac:dyDescent="0.25">
      <c r="A979">
        <v>1104.857735</v>
      </c>
      <c r="B979" s="1">
        <f>DATE(2013,5,9) + TIME(20,35,8)</f>
        <v>41403.857731481483</v>
      </c>
      <c r="C979">
        <v>80</v>
      </c>
      <c r="D979">
        <v>79.459480286000002</v>
      </c>
      <c r="E979">
        <v>40</v>
      </c>
      <c r="F979">
        <v>39.411514281999999</v>
      </c>
      <c r="G979">
        <v>1345.651001</v>
      </c>
      <c r="H979">
        <v>1340.9803466999999</v>
      </c>
      <c r="I979">
        <v>1321.0944824000001</v>
      </c>
      <c r="J979">
        <v>1315.9008789</v>
      </c>
      <c r="K979">
        <v>550</v>
      </c>
      <c r="L979">
        <v>0</v>
      </c>
      <c r="M979">
        <v>0</v>
      </c>
      <c r="N979">
        <v>550</v>
      </c>
    </row>
    <row r="980" spans="1:14" x14ac:dyDescent="0.25">
      <c r="A980">
        <v>1105.3650700000001</v>
      </c>
      <c r="B980" s="1">
        <f>DATE(2013,5,10) + TIME(8,45,42)</f>
        <v>41404.365069444444</v>
      </c>
      <c r="C980">
        <v>80</v>
      </c>
      <c r="D980">
        <v>79.530578613000003</v>
      </c>
      <c r="E980">
        <v>40</v>
      </c>
      <c r="F980">
        <v>39.388183593999997</v>
      </c>
      <c r="G980">
        <v>1345.6525879000001</v>
      </c>
      <c r="H980">
        <v>1340.9820557</v>
      </c>
      <c r="I980">
        <v>1321.0947266000001</v>
      </c>
      <c r="J980">
        <v>1315.8985596</v>
      </c>
      <c r="K980">
        <v>550</v>
      </c>
      <c r="L980">
        <v>0</v>
      </c>
      <c r="M980">
        <v>0</v>
      </c>
      <c r="N980">
        <v>550</v>
      </c>
    </row>
    <row r="981" spans="1:14" x14ac:dyDescent="0.25">
      <c r="A981">
        <v>1105.8819229999999</v>
      </c>
      <c r="B981" s="1">
        <f>DATE(2013,5,10) + TIME(21,9,58)</f>
        <v>41404.881921296299</v>
      </c>
      <c r="C981">
        <v>80</v>
      </c>
      <c r="D981">
        <v>79.589675903</v>
      </c>
      <c r="E981">
        <v>40</v>
      </c>
      <c r="F981">
        <v>39.364662170000003</v>
      </c>
      <c r="G981">
        <v>1345.6529541</v>
      </c>
      <c r="H981">
        <v>1340.9827881000001</v>
      </c>
      <c r="I981">
        <v>1321.0948486</v>
      </c>
      <c r="J981">
        <v>1315.8959961</v>
      </c>
      <c r="K981">
        <v>550</v>
      </c>
      <c r="L981">
        <v>0</v>
      </c>
      <c r="M981">
        <v>0</v>
      </c>
      <c r="N981">
        <v>550</v>
      </c>
    </row>
    <row r="982" spans="1:14" x14ac:dyDescent="0.25">
      <c r="A982">
        <v>1106.4095620000001</v>
      </c>
      <c r="B982" s="1">
        <f>DATE(2013,5,11) + TIME(9,49,46)</f>
        <v>41405.409560185188</v>
      </c>
      <c r="C982">
        <v>80</v>
      </c>
      <c r="D982">
        <v>79.638755798000005</v>
      </c>
      <c r="E982">
        <v>40</v>
      </c>
      <c r="F982">
        <v>39.340900421000001</v>
      </c>
      <c r="G982">
        <v>1345.6519774999999</v>
      </c>
      <c r="H982">
        <v>1340.9824219</v>
      </c>
      <c r="I982">
        <v>1321.0948486</v>
      </c>
      <c r="J982">
        <v>1315.8934326000001</v>
      </c>
      <c r="K982">
        <v>550</v>
      </c>
      <c r="L982">
        <v>0</v>
      </c>
      <c r="M982">
        <v>0</v>
      </c>
      <c r="N982">
        <v>550</v>
      </c>
    </row>
    <row r="983" spans="1:14" x14ac:dyDescent="0.25">
      <c r="A983">
        <v>1106.9452630000001</v>
      </c>
      <c r="B983" s="1">
        <f>DATE(2013,5,11) + TIME(22,41,10)</f>
        <v>41405.945254629631</v>
      </c>
      <c r="C983">
        <v>80</v>
      </c>
      <c r="D983">
        <v>79.679206848000007</v>
      </c>
      <c r="E983">
        <v>40</v>
      </c>
      <c r="F983">
        <v>39.317020415999998</v>
      </c>
      <c r="G983">
        <v>1345.6496582</v>
      </c>
      <c r="H983">
        <v>1340.9810791</v>
      </c>
      <c r="I983">
        <v>1321.0949707</v>
      </c>
      <c r="J983">
        <v>1315.8907471</v>
      </c>
      <c r="K983">
        <v>550</v>
      </c>
      <c r="L983">
        <v>0</v>
      </c>
      <c r="M983">
        <v>0</v>
      </c>
      <c r="N983">
        <v>550</v>
      </c>
    </row>
    <row r="984" spans="1:14" x14ac:dyDescent="0.25">
      <c r="A984">
        <v>1107.4905530000001</v>
      </c>
      <c r="B984" s="1">
        <f>DATE(2013,5,12) + TIME(11,46,23)</f>
        <v>41406.490543981483</v>
      </c>
      <c r="C984">
        <v>80</v>
      </c>
      <c r="D984">
        <v>79.712570189999994</v>
      </c>
      <c r="E984">
        <v>40</v>
      </c>
      <c r="F984">
        <v>39.292961120999998</v>
      </c>
      <c r="G984">
        <v>1345.6459961</v>
      </c>
      <c r="H984">
        <v>1340.9787598</v>
      </c>
      <c r="I984">
        <v>1321.0948486</v>
      </c>
      <c r="J984">
        <v>1315.8879394999999</v>
      </c>
      <c r="K984">
        <v>550</v>
      </c>
      <c r="L984">
        <v>0</v>
      </c>
      <c r="M984">
        <v>0</v>
      </c>
      <c r="N984">
        <v>550</v>
      </c>
    </row>
    <row r="985" spans="1:14" x14ac:dyDescent="0.25">
      <c r="A985">
        <v>1108.0466160000001</v>
      </c>
      <c r="B985" s="1">
        <f>DATE(2013,5,13) + TIME(1,7,7)</f>
        <v>41407.0466087963</v>
      </c>
      <c r="C985">
        <v>80</v>
      </c>
      <c r="D985">
        <v>79.740058899000005</v>
      </c>
      <c r="E985">
        <v>40</v>
      </c>
      <c r="F985">
        <v>39.268684387</v>
      </c>
      <c r="G985">
        <v>1345.6413574000001</v>
      </c>
      <c r="H985">
        <v>1340.9755858999999</v>
      </c>
      <c r="I985">
        <v>1321.0947266000001</v>
      </c>
      <c r="J985">
        <v>1315.8851318</v>
      </c>
      <c r="K985">
        <v>550</v>
      </c>
      <c r="L985">
        <v>0</v>
      </c>
      <c r="M985">
        <v>0</v>
      </c>
      <c r="N985">
        <v>550</v>
      </c>
    </row>
    <row r="986" spans="1:14" x14ac:dyDescent="0.25">
      <c r="A986">
        <v>1108.614861</v>
      </c>
      <c r="B986" s="1">
        <f>DATE(2013,5,13) + TIME(14,45,23)</f>
        <v>41407.614849537036</v>
      </c>
      <c r="C986">
        <v>80</v>
      </c>
      <c r="D986">
        <v>79.762718200999998</v>
      </c>
      <c r="E986">
        <v>40</v>
      </c>
      <c r="F986">
        <v>39.244155884000001</v>
      </c>
      <c r="G986">
        <v>1345.6354980000001</v>
      </c>
      <c r="H986">
        <v>1340.9716797000001</v>
      </c>
      <c r="I986">
        <v>1321.0946045000001</v>
      </c>
      <c r="J986">
        <v>1315.8822021000001</v>
      </c>
      <c r="K986">
        <v>550</v>
      </c>
      <c r="L986">
        <v>0</v>
      </c>
      <c r="M986">
        <v>0</v>
      </c>
      <c r="N986">
        <v>550</v>
      </c>
    </row>
    <row r="987" spans="1:14" x14ac:dyDescent="0.25">
      <c r="A987">
        <v>1109.196778</v>
      </c>
      <c r="B987" s="1">
        <f>DATE(2013,5,14) + TIME(4,43,21)</f>
        <v>41408.196770833332</v>
      </c>
      <c r="C987">
        <v>80</v>
      </c>
      <c r="D987">
        <v>79.781372070000003</v>
      </c>
      <c r="E987">
        <v>40</v>
      </c>
      <c r="F987">
        <v>39.219318389999998</v>
      </c>
      <c r="G987">
        <v>1345.6287841999999</v>
      </c>
      <c r="H987">
        <v>1340.9670410000001</v>
      </c>
      <c r="I987">
        <v>1321.0943603999999</v>
      </c>
      <c r="J987">
        <v>1315.8792725000001</v>
      </c>
      <c r="K987">
        <v>550</v>
      </c>
      <c r="L987">
        <v>0</v>
      </c>
      <c r="M987">
        <v>0</v>
      </c>
      <c r="N987">
        <v>550</v>
      </c>
    </row>
    <row r="988" spans="1:14" x14ac:dyDescent="0.25">
      <c r="A988">
        <v>1109.7941900000001</v>
      </c>
      <c r="B988" s="1">
        <f>DATE(2013,5,14) + TIME(19,3,37)</f>
        <v>41408.794178240743</v>
      </c>
      <c r="C988">
        <v>80</v>
      </c>
      <c r="D988">
        <v>79.796722411999994</v>
      </c>
      <c r="E988">
        <v>40</v>
      </c>
      <c r="F988">
        <v>39.194126128999997</v>
      </c>
      <c r="G988">
        <v>1345.6210937999999</v>
      </c>
      <c r="H988">
        <v>1340.9617920000001</v>
      </c>
      <c r="I988">
        <v>1321.0939940999999</v>
      </c>
      <c r="J988">
        <v>1315.8760986</v>
      </c>
      <c r="K988">
        <v>550</v>
      </c>
      <c r="L988">
        <v>0</v>
      </c>
      <c r="M988">
        <v>0</v>
      </c>
      <c r="N988">
        <v>550</v>
      </c>
    </row>
    <row r="989" spans="1:14" x14ac:dyDescent="0.25">
      <c r="A989">
        <v>1110.4089959999999</v>
      </c>
      <c r="B989" s="1">
        <f>DATE(2013,5,15) + TIME(9,48,57)</f>
        <v>41409.408993055556</v>
      </c>
      <c r="C989">
        <v>80</v>
      </c>
      <c r="D989">
        <v>79.809356688999998</v>
      </c>
      <c r="E989">
        <v>40</v>
      </c>
      <c r="F989">
        <v>39.168518065999997</v>
      </c>
      <c r="G989">
        <v>1345.6124268000001</v>
      </c>
      <c r="H989">
        <v>1340.9559326000001</v>
      </c>
      <c r="I989">
        <v>1321.0936279</v>
      </c>
      <c r="J989">
        <v>1315.8728027</v>
      </c>
      <c r="K989">
        <v>550</v>
      </c>
      <c r="L989">
        <v>0</v>
      </c>
      <c r="M989">
        <v>0</v>
      </c>
      <c r="N989">
        <v>550</v>
      </c>
    </row>
    <row r="990" spans="1:14" x14ac:dyDescent="0.25">
      <c r="A990">
        <v>1111.0431679999999</v>
      </c>
      <c r="B990" s="1">
        <f>DATE(2013,5,16) + TIME(1,2,9)</f>
        <v>41410.04315972222</v>
      </c>
      <c r="C990">
        <v>80</v>
      </c>
      <c r="D990">
        <v>79.819747925000001</v>
      </c>
      <c r="E990">
        <v>40</v>
      </c>
      <c r="F990">
        <v>39.142444611000002</v>
      </c>
      <c r="G990">
        <v>1345.6030272999999</v>
      </c>
      <c r="H990">
        <v>1340.9494629000001</v>
      </c>
      <c r="I990">
        <v>1321.0932617000001</v>
      </c>
      <c r="J990">
        <v>1315.8695068</v>
      </c>
      <c r="K990">
        <v>550</v>
      </c>
      <c r="L990">
        <v>0</v>
      </c>
      <c r="M990">
        <v>0</v>
      </c>
      <c r="N990">
        <v>550</v>
      </c>
    </row>
    <row r="991" spans="1:14" x14ac:dyDescent="0.25">
      <c r="A991">
        <v>1111.6985179999999</v>
      </c>
      <c r="B991" s="1">
        <f>DATE(2013,5,16) + TIME(16,45,51)</f>
        <v>41410.698506944442</v>
      </c>
      <c r="C991">
        <v>80</v>
      </c>
      <c r="D991">
        <v>79.828277588000006</v>
      </c>
      <c r="E991">
        <v>40</v>
      </c>
      <c r="F991">
        <v>39.1158638</v>
      </c>
      <c r="G991">
        <v>1345.5928954999999</v>
      </c>
      <c r="H991">
        <v>1340.9425048999999</v>
      </c>
      <c r="I991">
        <v>1321.0927733999999</v>
      </c>
      <c r="J991">
        <v>1315.8659668</v>
      </c>
      <c r="K991">
        <v>550</v>
      </c>
      <c r="L991">
        <v>0</v>
      </c>
      <c r="M991">
        <v>0</v>
      </c>
      <c r="N991">
        <v>550</v>
      </c>
    </row>
    <row r="992" spans="1:14" x14ac:dyDescent="0.25">
      <c r="A992">
        <v>1112.369655</v>
      </c>
      <c r="B992" s="1">
        <f>DATE(2013,5,17) + TIME(8,52,18)</f>
        <v>41411.369652777779</v>
      </c>
      <c r="C992">
        <v>80</v>
      </c>
      <c r="D992">
        <v>79.835220336999996</v>
      </c>
      <c r="E992">
        <v>40</v>
      </c>
      <c r="F992">
        <v>39.088973998999997</v>
      </c>
      <c r="G992">
        <v>1345.5819091999999</v>
      </c>
      <c r="H992">
        <v>1340.9350586</v>
      </c>
      <c r="I992">
        <v>1321.0921631000001</v>
      </c>
      <c r="J992">
        <v>1315.8621826000001</v>
      </c>
      <c r="K992">
        <v>550</v>
      </c>
      <c r="L992">
        <v>0</v>
      </c>
      <c r="M992">
        <v>0</v>
      </c>
      <c r="N992">
        <v>550</v>
      </c>
    </row>
    <row r="993" spans="1:14" x14ac:dyDescent="0.25">
      <c r="A993">
        <v>1113.0584060000001</v>
      </c>
      <c r="B993" s="1">
        <f>DATE(2013,5,18) + TIME(1,24,6)</f>
        <v>41412.05840277778</v>
      </c>
      <c r="C993">
        <v>80</v>
      </c>
      <c r="D993">
        <v>79.840873717999997</v>
      </c>
      <c r="E993">
        <v>40</v>
      </c>
      <c r="F993">
        <v>39.061737061000002</v>
      </c>
      <c r="G993">
        <v>1345.5704346</v>
      </c>
      <c r="H993">
        <v>1340.9272461</v>
      </c>
      <c r="I993">
        <v>1321.0915527</v>
      </c>
      <c r="J993">
        <v>1315.8583983999999</v>
      </c>
      <c r="K993">
        <v>550</v>
      </c>
      <c r="L993">
        <v>0</v>
      </c>
      <c r="M993">
        <v>0</v>
      </c>
      <c r="N993">
        <v>550</v>
      </c>
    </row>
    <row r="994" spans="1:14" x14ac:dyDescent="0.25">
      <c r="A994">
        <v>1113.766443</v>
      </c>
      <c r="B994" s="1">
        <f>DATE(2013,5,18) + TIME(18,23,40)</f>
        <v>41412.766435185185</v>
      </c>
      <c r="C994">
        <v>80</v>
      </c>
      <c r="D994">
        <v>79.845481872999997</v>
      </c>
      <c r="E994">
        <v>40</v>
      </c>
      <c r="F994">
        <v>39.034118651999997</v>
      </c>
      <c r="G994">
        <v>1345.5582274999999</v>
      </c>
      <c r="H994">
        <v>1340.9189452999999</v>
      </c>
      <c r="I994">
        <v>1321.0908202999999</v>
      </c>
      <c r="J994">
        <v>1315.8543701000001</v>
      </c>
      <c r="K994">
        <v>550</v>
      </c>
      <c r="L994">
        <v>0</v>
      </c>
      <c r="M994">
        <v>0</v>
      </c>
      <c r="N994">
        <v>550</v>
      </c>
    </row>
    <row r="995" spans="1:14" x14ac:dyDescent="0.25">
      <c r="A995">
        <v>1114.4956159999999</v>
      </c>
      <c r="B995" s="1">
        <f>DATE(2013,5,19) + TIME(11,53,41)</f>
        <v>41413.495613425926</v>
      </c>
      <c r="C995">
        <v>80</v>
      </c>
      <c r="D995">
        <v>79.849250792999996</v>
      </c>
      <c r="E995">
        <v>40</v>
      </c>
      <c r="F995">
        <v>39.006084442000002</v>
      </c>
      <c r="G995">
        <v>1345.5456543</v>
      </c>
      <c r="H995">
        <v>1340.9104004000001</v>
      </c>
      <c r="I995">
        <v>1321.0900879000001</v>
      </c>
      <c r="J995">
        <v>1315.8500977000001</v>
      </c>
      <c r="K995">
        <v>550</v>
      </c>
      <c r="L995">
        <v>0</v>
      </c>
      <c r="M995">
        <v>0</v>
      </c>
      <c r="N995">
        <v>550</v>
      </c>
    </row>
    <row r="996" spans="1:14" x14ac:dyDescent="0.25">
      <c r="A996">
        <v>1115.2484999999999</v>
      </c>
      <c r="B996" s="1">
        <f>DATE(2013,5,20) + TIME(5,57,50)</f>
        <v>41414.248495370368</v>
      </c>
      <c r="C996">
        <v>80</v>
      </c>
      <c r="D996">
        <v>79.852340698000006</v>
      </c>
      <c r="E996">
        <v>40</v>
      </c>
      <c r="F996">
        <v>38.977581024000003</v>
      </c>
      <c r="G996">
        <v>1345.5323486</v>
      </c>
      <c r="H996">
        <v>1340.9014893000001</v>
      </c>
      <c r="I996">
        <v>1321.0892334</v>
      </c>
      <c r="J996">
        <v>1315.8458252</v>
      </c>
      <c r="K996">
        <v>550</v>
      </c>
      <c r="L996">
        <v>0</v>
      </c>
      <c r="M996">
        <v>0</v>
      </c>
      <c r="N996">
        <v>550</v>
      </c>
    </row>
    <row r="997" spans="1:14" x14ac:dyDescent="0.25">
      <c r="A997">
        <v>1116.0275979999999</v>
      </c>
      <c r="B997" s="1">
        <f>DATE(2013,5,21) + TIME(0,39,44)</f>
        <v>41415.027592592596</v>
      </c>
      <c r="C997">
        <v>80</v>
      </c>
      <c r="D997">
        <v>79.854873656999999</v>
      </c>
      <c r="E997">
        <v>40</v>
      </c>
      <c r="F997">
        <v>38.948562621999997</v>
      </c>
      <c r="G997">
        <v>1345.5185547000001</v>
      </c>
      <c r="H997">
        <v>1340.8922118999999</v>
      </c>
      <c r="I997">
        <v>1321.0883789</v>
      </c>
      <c r="J997">
        <v>1315.8411865</v>
      </c>
      <c r="K997">
        <v>550</v>
      </c>
      <c r="L997">
        <v>0</v>
      </c>
      <c r="M997">
        <v>0</v>
      </c>
      <c r="N997">
        <v>550</v>
      </c>
    </row>
    <row r="998" spans="1:14" x14ac:dyDescent="0.25">
      <c r="A998">
        <v>1116.835609</v>
      </c>
      <c r="B998" s="1">
        <f>DATE(2013,5,21) + TIME(20,3,16)</f>
        <v>41415.835601851853</v>
      </c>
      <c r="C998">
        <v>80</v>
      </c>
      <c r="D998">
        <v>79.856964110999996</v>
      </c>
      <c r="E998">
        <v>40</v>
      </c>
      <c r="F998">
        <v>38.918983459000003</v>
      </c>
      <c r="G998">
        <v>1345.5042725000001</v>
      </c>
      <c r="H998">
        <v>1340.8826904</v>
      </c>
      <c r="I998">
        <v>1321.0872803</v>
      </c>
      <c r="J998">
        <v>1315.8364257999999</v>
      </c>
      <c r="K998">
        <v>550</v>
      </c>
      <c r="L998">
        <v>0</v>
      </c>
      <c r="M998">
        <v>0</v>
      </c>
      <c r="N998">
        <v>550</v>
      </c>
    </row>
    <row r="999" spans="1:14" x14ac:dyDescent="0.25">
      <c r="A999">
        <v>1117.675581</v>
      </c>
      <c r="B999" s="1">
        <f>DATE(2013,5,22) + TIME(16,12,50)</f>
        <v>41416.675578703704</v>
      </c>
      <c r="C999">
        <v>80</v>
      </c>
      <c r="D999">
        <v>79.858688353999995</v>
      </c>
      <c r="E999">
        <v>40</v>
      </c>
      <c r="F999">
        <v>38.888797760000003</v>
      </c>
      <c r="G999">
        <v>1345.4895019999999</v>
      </c>
      <c r="H999">
        <v>1340.8728027</v>
      </c>
      <c r="I999">
        <v>1321.0863036999999</v>
      </c>
      <c r="J999">
        <v>1315.8312988</v>
      </c>
      <c r="K999">
        <v>550</v>
      </c>
      <c r="L999">
        <v>0</v>
      </c>
      <c r="M999">
        <v>0</v>
      </c>
      <c r="N999">
        <v>550</v>
      </c>
    </row>
    <row r="1000" spans="1:14" x14ac:dyDescent="0.25">
      <c r="A1000">
        <v>1118.5509770000001</v>
      </c>
      <c r="B1000" s="1">
        <f>DATE(2013,5,23) + TIME(13,13,24)</f>
        <v>41417.55097222222</v>
      </c>
      <c r="C1000">
        <v>80</v>
      </c>
      <c r="D1000">
        <v>79.860115050999994</v>
      </c>
      <c r="E1000">
        <v>40</v>
      </c>
      <c r="F1000">
        <v>38.857948303000001</v>
      </c>
      <c r="G1000">
        <v>1345.4741211</v>
      </c>
      <c r="H1000">
        <v>1340.8625488</v>
      </c>
      <c r="I1000">
        <v>1321.0850829999999</v>
      </c>
      <c r="J1000">
        <v>1315.8260498</v>
      </c>
      <c r="K1000">
        <v>550</v>
      </c>
      <c r="L1000">
        <v>0</v>
      </c>
      <c r="M1000">
        <v>0</v>
      </c>
      <c r="N1000">
        <v>550</v>
      </c>
    </row>
    <row r="1001" spans="1:14" x14ac:dyDescent="0.25">
      <c r="A1001">
        <v>1119.466314</v>
      </c>
      <c r="B1001" s="1">
        <f>DATE(2013,5,24) + TIME(11,11,29)</f>
        <v>41418.466307870367</v>
      </c>
      <c r="C1001">
        <v>80</v>
      </c>
      <c r="D1001">
        <v>79.861305236999996</v>
      </c>
      <c r="E1001">
        <v>40</v>
      </c>
      <c r="F1001">
        <v>38.826366425000003</v>
      </c>
      <c r="G1001">
        <v>1345.4581298999999</v>
      </c>
      <c r="H1001">
        <v>1340.8520507999999</v>
      </c>
      <c r="I1001">
        <v>1321.0838623</v>
      </c>
      <c r="J1001">
        <v>1315.8204346</v>
      </c>
      <c r="K1001">
        <v>550</v>
      </c>
      <c r="L1001">
        <v>0</v>
      </c>
      <c r="M1001">
        <v>0</v>
      </c>
      <c r="N1001">
        <v>550</v>
      </c>
    </row>
    <row r="1002" spans="1:14" x14ac:dyDescent="0.25">
      <c r="A1002">
        <v>1120.411699</v>
      </c>
      <c r="B1002" s="1">
        <f>DATE(2013,5,25) + TIME(9,52,50)</f>
        <v>41419.411689814813</v>
      </c>
      <c r="C1002">
        <v>80</v>
      </c>
      <c r="D1002">
        <v>79.862274170000006</v>
      </c>
      <c r="E1002">
        <v>40</v>
      </c>
      <c r="F1002">
        <v>38.794384002999998</v>
      </c>
      <c r="G1002">
        <v>1345.4416504000001</v>
      </c>
      <c r="H1002">
        <v>1340.8410644999999</v>
      </c>
      <c r="I1002">
        <v>1321.0825195</v>
      </c>
      <c r="J1002">
        <v>1315.8144531</v>
      </c>
      <c r="K1002">
        <v>550</v>
      </c>
      <c r="L1002">
        <v>0</v>
      </c>
      <c r="M1002">
        <v>0</v>
      </c>
      <c r="N1002">
        <v>550</v>
      </c>
    </row>
    <row r="1003" spans="1:14" x14ac:dyDescent="0.25">
      <c r="A1003">
        <v>1121.3873160000001</v>
      </c>
      <c r="B1003" s="1">
        <f>DATE(2013,5,26) + TIME(9,17,44)</f>
        <v>41420.387314814812</v>
      </c>
      <c r="C1003">
        <v>80</v>
      </c>
      <c r="D1003">
        <v>79.863075256000002</v>
      </c>
      <c r="E1003">
        <v>40</v>
      </c>
      <c r="F1003">
        <v>38.762065886999999</v>
      </c>
      <c r="G1003">
        <v>1345.4248047000001</v>
      </c>
      <c r="H1003">
        <v>1340.8299560999999</v>
      </c>
      <c r="I1003">
        <v>1321.0810547000001</v>
      </c>
      <c r="J1003">
        <v>1315.8082274999999</v>
      </c>
      <c r="K1003">
        <v>550</v>
      </c>
      <c r="L1003">
        <v>0</v>
      </c>
      <c r="M1003">
        <v>0</v>
      </c>
      <c r="N1003">
        <v>550</v>
      </c>
    </row>
    <row r="1004" spans="1:14" x14ac:dyDescent="0.25">
      <c r="A1004">
        <v>1122.372357</v>
      </c>
      <c r="B1004" s="1">
        <f>DATE(2013,5,27) + TIME(8,56,11)</f>
        <v>41421.372349537036</v>
      </c>
      <c r="C1004">
        <v>80</v>
      </c>
      <c r="D1004">
        <v>79.863716124999996</v>
      </c>
      <c r="E1004">
        <v>40</v>
      </c>
      <c r="F1004">
        <v>38.730007172000001</v>
      </c>
      <c r="G1004">
        <v>1345.4075928</v>
      </c>
      <c r="H1004">
        <v>1340.8187256000001</v>
      </c>
      <c r="I1004">
        <v>1321.0795897999999</v>
      </c>
      <c r="J1004">
        <v>1315.8017577999999</v>
      </c>
      <c r="K1004">
        <v>550</v>
      </c>
      <c r="L1004">
        <v>0</v>
      </c>
      <c r="M1004">
        <v>0</v>
      </c>
      <c r="N1004">
        <v>550</v>
      </c>
    </row>
    <row r="1005" spans="1:14" x14ac:dyDescent="0.25">
      <c r="A1005">
        <v>1123.369993</v>
      </c>
      <c r="B1005" s="1">
        <f>DATE(2013,5,28) + TIME(8,52,47)</f>
        <v>41422.369988425926</v>
      </c>
      <c r="C1005">
        <v>80</v>
      </c>
      <c r="D1005">
        <v>79.864242554</v>
      </c>
      <c r="E1005">
        <v>40</v>
      </c>
      <c r="F1005">
        <v>38.698204040999997</v>
      </c>
      <c r="G1005">
        <v>1345.3905029</v>
      </c>
      <c r="H1005">
        <v>1340.8074951000001</v>
      </c>
      <c r="I1005">
        <v>1321.0780029</v>
      </c>
      <c r="J1005">
        <v>1315.7951660000001</v>
      </c>
      <c r="K1005">
        <v>550</v>
      </c>
      <c r="L1005">
        <v>0</v>
      </c>
      <c r="M1005">
        <v>0</v>
      </c>
      <c r="N1005">
        <v>550</v>
      </c>
    </row>
    <row r="1006" spans="1:14" x14ac:dyDescent="0.25">
      <c r="A1006">
        <v>1124.3843489999999</v>
      </c>
      <c r="B1006" s="1">
        <f>DATE(2013,5,29) + TIME(9,13,27)</f>
        <v>41423.384340277778</v>
      </c>
      <c r="C1006">
        <v>80</v>
      </c>
      <c r="D1006">
        <v>79.864662170000003</v>
      </c>
      <c r="E1006">
        <v>40</v>
      </c>
      <c r="F1006">
        <v>38.666618346999996</v>
      </c>
      <c r="G1006">
        <v>1345.3734131000001</v>
      </c>
      <c r="H1006">
        <v>1340.7962646000001</v>
      </c>
      <c r="I1006">
        <v>1321.0764160000001</v>
      </c>
      <c r="J1006">
        <v>1315.7883300999999</v>
      </c>
      <c r="K1006">
        <v>550</v>
      </c>
      <c r="L1006">
        <v>0</v>
      </c>
      <c r="M1006">
        <v>0</v>
      </c>
      <c r="N1006">
        <v>550</v>
      </c>
    </row>
    <row r="1007" spans="1:14" x14ac:dyDescent="0.25">
      <c r="A1007">
        <v>1125.4188939999999</v>
      </c>
      <c r="B1007" s="1">
        <f>DATE(2013,5,30) + TIME(10,3,12)</f>
        <v>41424.418888888889</v>
      </c>
      <c r="C1007">
        <v>80</v>
      </c>
      <c r="D1007">
        <v>79.865013122999997</v>
      </c>
      <c r="E1007">
        <v>40</v>
      </c>
      <c r="F1007">
        <v>38.635231017999999</v>
      </c>
      <c r="G1007">
        <v>1345.3563231999999</v>
      </c>
      <c r="H1007">
        <v>1340.7851562000001</v>
      </c>
      <c r="I1007">
        <v>1321.074707</v>
      </c>
      <c r="J1007">
        <v>1315.78125</v>
      </c>
      <c r="K1007">
        <v>550</v>
      </c>
      <c r="L1007">
        <v>0</v>
      </c>
      <c r="M1007">
        <v>0</v>
      </c>
      <c r="N1007">
        <v>550</v>
      </c>
    </row>
    <row r="1008" spans="1:14" x14ac:dyDescent="0.25">
      <c r="A1008">
        <v>1126.4770189999999</v>
      </c>
      <c r="B1008" s="1">
        <f>DATE(2013,5,31) + TIME(11,26,54)</f>
        <v>41425.477013888885</v>
      </c>
      <c r="C1008">
        <v>80</v>
      </c>
      <c r="D1008">
        <v>79.865295410000002</v>
      </c>
      <c r="E1008">
        <v>40</v>
      </c>
      <c r="F1008">
        <v>38.604026793999999</v>
      </c>
      <c r="G1008">
        <v>1345.3391113</v>
      </c>
      <c r="H1008">
        <v>1340.7739257999999</v>
      </c>
      <c r="I1008">
        <v>1321.072876</v>
      </c>
      <c r="J1008">
        <v>1315.7740478999999</v>
      </c>
      <c r="K1008">
        <v>550</v>
      </c>
      <c r="L1008">
        <v>0</v>
      </c>
      <c r="M1008">
        <v>0</v>
      </c>
      <c r="N1008">
        <v>550</v>
      </c>
    </row>
    <row r="1009" spans="1:14" x14ac:dyDescent="0.25">
      <c r="A1009">
        <v>1127</v>
      </c>
      <c r="B1009" s="1">
        <f>DATE(2013,6,1) + TIME(0,0,0)</f>
        <v>41426</v>
      </c>
      <c r="C1009">
        <v>80</v>
      </c>
      <c r="D1009">
        <v>79.865394592000001</v>
      </c>
      <c r="E1009">
        <v>40</v>
      </c>
      <c r="F1009">
        <v>38.587089538999997</v>
      </c>
      <c r="G1009">
        <v>1345.3221435999999</v>
      </c>
      <c r="H1009">
        <v>1340.7630615</v>
      </c>
      <c r="I1009">
        <v>1321.0711670000001</v>
      </c>
      <c r="J1009">
        <v>1315.7679443</v>
      </c>
      <c r="K1009">
        <v>550</v>
      </c>
      <c r="L1009">
        <v>0</v>
      </c>
      <c r="M1009">
        <v>0</v>
      </c>
      <c r="N1009">
        <v>550</v>
      </c>
    </row>
    <row r="1010" spans="1:14" x14ac:dyDescent="0.25">
      <c r="A1010">
        <v>1128.0853099999999</v>
      </c>
      <c r="B1010" s="1">
        <f>DATE(2013,6,2) + TIME(2,2,50)</f>
        <v>41427.085300925923</v>
      </c>
      <c r="C1010">
        <v>80</v>
      </c>
      <c r="D1010">
        <v>79.865600585999999</v>
      </c>
      <c r="E1010">
        <v>40</v>
      </c>
      <c r="F1010">
        <v>38.556926726999997</v>
      </c>
      <c r="G1010">
        <v>1345.3133545000001</v>
      </c>
      <c r="H1010">
        <v>1340.7573242000001</v>
      </c>
      <c r="I1010">
        <v>1321.0700684000001</v>
      </c>
      <c r="J1010">
        <v>1315.7625731999999</v>
      </c>
      <c r="K1010">
        <v>550</v>
      </c>
      <c r="L1010">
        <v>0</v>
      </c>
      <c r="M1010">
        <v>0</v>
      </c>
      <c r="N1010">
        <v>550</v>
      </c>
    </row>
    <row r="1011" spans="1:14" x14ac:dyDescent="0.25">
      <c r="A1011">
        <v>1129.200392</v>
      </c>
      <c r="B1011" s="1">
        <f>DATE(2013,6,3) + TIME(4,48,33)</f>
        <v>41428.200381944444</v>
      </c>
      <c r="C1011">
        <v>80</v>
      </c>
      <c r="D1011">
        <v>79.865768433</v>
      </c>
      <c r="E1011">
        <v>40</v>
      </c>
      <c r="F1011">
        <v>38.526912689</v>
      </c>
      <c r="G1011">
        <v>1345.2961425999999</v>
      </c>
      <c r="H1011">
        <v>1340.7460937999999</v>
      </c>
      <c r="I1011">
        <v>1321.0682373</v>
      </c>
      <c r="J1011">
        <v>1315.7548827999999</v>
      </c>
      <c r="K1011">
        <v>550</v>
      </c>
      <c r="L1011">
        <v>0</v>
      </c>
      <c r="M1011">
        <v>0</v>
      </c>
      <c r="N1011">
        <v>550</v>
      </c>
    </row>
    <row r="1012" spans="1:14" x14ac:dyDescent="0.25">
      <c r="A1012">
        <v>1130.331612</v>
      </c>
      <c r="B1012" s="1">
        <f>DATE(2013,6,4) + TIME(7,57,31)</f>
        <v>41429.331608796296</v>
      </c>
      <c r="C1012">
        <v>80</v>
      </c>
      <c r="D1012">
        <v>79.865898131999998</v>
      </c>
      <c r="E1012">
        <v>40</v>
      </c>
      <c r="F1012">
        <v>38.497436522999998</v>
      </c>
      <c r="G1012">
        <v>1345.2786865</v>
      </c>
      <c r="H1012">
        <v>1340.7348632999999</v>
      </c>
      <c r="I1012">
        <v>1321.0662841999999</v>
      </c>
      <c r="J1012">
        <v>1315.7468262</v>
      </c>
      <c r="K1012">
        <v>550</v>
      </c>
      <c r="L1012">
        <v>0</v>
      </c>
      <c r="M1012">
        <v>0</v>
      </c>
      <c r="N1012">
        <v>550</v>
      </c>
    </row>
    <row r="1013" spans="1:14" x14ac:dyDescent="0.25">
      <c r="A1013">
        <v>1131.4820219999999</v>
      </c>
      <c r="B1013" s="1">
        <f>DATE(2013,6,5) + TIME(11,34,6)</f>
        <v>41430.48201388889</v>
      </c>
      <c r="C1013">
        <v>80</v>
      </c>
      <c r="D1013">
        <v>79.865989685000002</v>
      </c>
      <c r="E1013">
        <v>40</v>
      </c>
      <c r="F1013">
        <v>38.468532562</v>
      </c>
      <c r="G1013">
        <v>1345.2612305</v>
      </c>
      <c r="H1013">
        <v>1340.7236327999999</v>
      </c>
      <c r="I1013">
        <v>1321.0642089999999</v>
      </c>
      <c r="J1013">
        <v>1315.7386475000001</v>
      </c>
      <c r="K1013">
        <v>550</v>
      </c>
      <c r="L1013">
        <v>0</v>
      </c>
      <c r="M1013">
        <v>0</v>
      </c>
      <c r="N1013">
        <v>550</v>
      </c>
    </row>
    <row r="1014" spans="1:14" x14ac:dyDescent="0.25">
      <c r="A1014">
        <v>1132.655671</v>
      </c>
      <c r="B1014" s="1">
        <f>DATE(2013,6,6) + TIME(15,44,10)</f>
        <v>41431.655671296299</v>
      </c>
      <c r="C1014">
        <v>80</v>
      </c>
      <c r="D1014">
        <v>79.866065978999998</v>
      </c>
      <c r="E1014">
        <v>40</v>
      </c>
      <c r="F1014">
        <v>38.440235137999998</v>
      </c>
      <c r="G1014">
        <v>1345.2438964999999</v>
      </c>
      <c r="H1014">
        <v>1340.7124022999999</v>
      </c>
      <c r="I1014">
        <v>1321.0621338000001</v>
      </c>
      <c r="J1014">
        <v>1315.7303466999999</v>
      </c>
      <c r="K1014">
        <v>550</v>
      </c>
      <c r="L1014">
        <v>0</v>
      </c>
      <c r="M1014">
        <v>0</v>
      </c>
      <c r="N1014">
        <v>550</v>
      </c>
    </row>
    <row r="1015" spans="1:14" x14ac:dyDescent="0.25">
      <c r="A1015">
        <v>1133.856859</v>
      </c>
      <c r="B1015" s="1">
        <f>DATE(2013,6,7) + TIME(20,33,52)</f>
        <v>41432.856851851851</v>
      </c>
      <c r="C1015">
        <v>80</v>
      </c>
      <c r="D1015">
        <v>79.866119385000005</v>
      </c>
      <c r="E1015">
        <v>40</v>
      </c>
      <c r="F1015">
        <v>38.412570952999999</v>
      </c>
      <c r="G1015">
        <v>1345.2264404</v>
      </c>
      <c r="H1015">
        <v>1340.7012939000001</v>
      </c>
      <c r="I1015">
        <v>1321.0600586</v>
      </c>
      <c r="J1015">
        <v>1315.7216797000001</v>
      </c>
      <c r="K1015">
        <v>550</v>
      </c>
      <c r="L1015">
        <v>0</v>
      </c>
      <c r="M1015">
        <v>0</v>
      </c>
      <c r="N1015">
        <v>550</v>
      </c>
    </row>
    <row r="1016" spans="1:14" x14ac:dyDescent="0.25">
      <c r="A1016">
        <v>1135.0892899999999</v>
      </c>
      <c r="B1016" s="1">
        <f>DATE(2013,6,9) + TIME(2,8,34)</f>
        <v>41434.089282407411</v>
      </c>
      <c r="C1016">
        <v>80</v>
      </c>
      <c r="D1016">
        <v>79.866149902000004</v>
      </c>
      <c r="E1016">
        <v>40</v>
      </c>
      <c r="F1016">
        <v>38.385597228999998</v>
      </c>
      <c r="G1016">
        <v>1345.2089844</v>
      </c>
      <c r="H1016">
        <v>1340.6900635</v>
      </c>
      <c r="I1016">
        <v>1321.0578613</v>
      </c>
      <c r="J1016">
        <v>1315.7127685999999</v>
      </c>
      <c r="K1016">
        <v>550</v>
      </c>
      <c r="L1016">
        <v>0</v>
      </c>
      <c r="M1016">
        <v>0</v>
      </c>
      <c r="N1016">
        <v>550</v>
      </c>
    </row>
    <row r="1017" spans="1:14" x14ac:dyDescent="0.25">
      <c r="A1017">
        <v>1136.3570460000001</v>
      </c>
      <c r="B1017" s="1">
        <f>DATE(2013,6,10) + TIME(8,34,8)</f>
        <v>41435.357037037036</v>
      </c>
      <c r="C1017">
        <v>80</v>
      </c>
      <c r="D1017">
        <v>79.866165160999998</v>
      </c>
      <c r="E1017">
        <v>40</v>
      </c>
      <c r="F1017">
        <v>38.359378814999999</v>
      </c>
      <c r="G1017">
        <v>1345.1914062000001</v>
      </c>
      <c r="H1017">
        <v>1340.6787108999999</v>
      </c>
      <c r="I1017">
        <v>1321.0556641000001</v>
      </c>
      <c r="J1017">
        <v>1315.7036132999999</v>
      </c>
      <c r="K1017">
        <v>550</v>
      </c>
      <c r="L1017">
        <v>0</v>
      </c>
      <c r="M1017">
        <v>0</v>
      </c>
      <c r="N1017">
        <v>550</v>
      </c>
    </row>
    <row r="1018" spans="1:14" x14ac:dyDescent="0.25">
      <c r="A1018">
        <v>1137.6646490000001</v>
      </c>
      <c r="B1018" s="1">
        <f>DATE(2013,6,11) + TIME(15,57,5)</f>
        <v>41436.664641203701</v>
      </c>
      <c r="C1018">
        <v>80</v>
      </c>
      <c r="D1018">
        <v>79.866172790999997</v>
      </c>
      <c r="E1018">
        <v>40</v>
      </c>
      <c r="F1018">
        <v>38.334003447999997</v>
      </c>
      <c r="G1018">
        <v>1345.1737060999999</v>
      </c>
      <c r="H1018">
        <v>1340.6673584</v>
      </c>
      <c r="I1018">
        <v>1321.0533447</v>
      </c>
      <c r="J1018">
        <v>1315.6942139</v>
      </c>
      <c r="K1018">
        <v>550</v>
      </c>
      <c r="L1018">
        <v>0</v>
      </c>
      <c r="M1018">
        <v>0</v>
      </c>
      <c r="N1018">
        <v>550</v>
      </c>
    </row>
    <row r="1019" spans="1:14" x14ac:dyDescent="0.25">
      <c r="A1019">
        <v>1139.0171800000001</v>
      </c>
      <c r="B1019" s="1">
        <f>DATE(2013,6,13) + TIME(0,24,44)</f>
        <v>41438.017175925925</v>
      </c>
      <c r="C1019">
        <v>80</v>
      </c>
      <c r="D1019">
        <v>79.866165160999998</v>
      </c>
      <c r="E1019">
        <v>40</v>
      </c>
      <c r="F1019">
        <v>38.309562683000003</v>
      </c>
      <c r="G1019">
        <v>1345.1556396000001</v>
      </c>
      <c r="H1019">
        <v>1340.6558838000001</v>
      </c>
      <c r="I1019">
        <v>1321.0510254000001</v>
      </c>
      <c r="J1019">
        <v>1315.6844481999999</v>
      </c>
      <c r="K1019">
        <v>550</v>
      </c>
      <c r="L1019">
        <v>0</v>
      </c>
      <c r="M1019">
        <v>0</v>
      </c>
      <c r="N1019">
        <v>550</v>
      </c>
    </row>
    <row r="1020" spans="1:14" x14ac:dyDescent="0.25">
      <c r="A1020">
        <v>1140.4172579999999</v>
      </c>
      <c r="B1020" s="1">
        <f>DATE(2013,6,14) + TIME(10,0,51)</f>
        <v>41439.417256944442</v>
      </c>
      <c r="C1020">
        <v>80</v>
      </c>
      <c r="D1020">
        <v>79.866157532000003</v>
      </c>
      <c r="E1020">
        <v>40</v>
      </c>
      <c r="F1020">
        <v>38.286224365000002</v>
      </c>
      <c r="G1020">
        <v>1345.1374512</v>
      </c>
      <c r="H1020">
        <v>1340.6441649999999</v>
      </c>
      <c r="I1020">
        <v>1321.0485839999999</v>
      </c>
      <c r="J1020">
        <v>1315.6744385</v>
      </c>
      <c r="K1020">
        <v>550</v>
      </c>
      <c r="L1020">
        <v>0</v>
      </c>
      <c r="M1020">
        <v>0</v>
      </c>
      <c r="N1020">
        <v>550</v>
      </c>
    </row>
    <row r="1021" spans="1:14" x14ac:dyDescent="0.25">
      <c r="A1021">
        <v>1141.843721</v>
      </c>
      <c r="B1021" s="1">
        <f>DATE(2013,6,15) + TIME(20,14,57)</f>
        <v>41440.843715277777</v>
      </c>
      <c r="C1021">
        <v>80</v>
      </c>
      <c r="D1021">
        <v>79.866127014</v>
      </c>
      <c r="E1021">
        <v>40</v>
      </c>
      <c r="F1021">
        <v>38.264446259000003</v>
      </c>
      <c r="G1021">
        <v>1345.1190185999999</v>
      </c>
      <c r="H1021">
        <v>1340.6323242000001</v>
      </c>
      <c r="I1021">
        <v>1321.0462646000001</v>
      </c>
      <c r="J1021">
        <v>1315.6640625</v>
      </c>
      <c r="K1021">
        <v>550</v>
      </c>
      <c r="L1021">
        <v>0</v>
      </c>
      <c r="M1021">
        <v>0</v>
      </c>
      <c r="N1021">
        <v>550</v>
      </c>
    </row>
    <row r="1022" spans="1:14" x14ac:dyDescent="0.25">
      <c r="A1022">
        <v>1143.3005700000001</v>
      </c>
      <c r="B1022" s="1">
        <f>DATE(2013,6,17) + TIME(7,12,49)</f>
        <v>41442.300567129627</v>
      </c>
      <c r="C1022">
        <v>80</v>
      </c>
      <c r="D1022">
        <v>79.866096497000001</v>
      </c>
      <c r="E1022">
        <v>40</v>
      </c>
      <c r="F1022">
        <v>38.244369507000002</v>
      </c>
      <c r="G1022">
        <v>1345.1004639</v>
      </c>
      <c r="H1022">
        <v>1340.6206055</v>
      </c>
      <c r="I1022">
        <v>1321.0438231999999</v>
      </c>
      <c r="J1022">
        <v>1315.6535644999999</v>
      </c>
      <c r="K1022">
        <v>550</v>
      </c>
      <c r="L1022">
        <v>0</v>
      </c>
      <c r="M1022">
        <v>0</v>
      </c>
      <c r="N1022">
        <v>550</v>
      </c>
    </row>
    <row r="1023" spans="1:14" x14ac:dyDescent="0.25">
      <c r="A1023">
        <v>1144.7948899999999</v>
      </c>
      <c r="B1023" s="1">
        <f>DATE(2013,6,18) + TIME(19,4,38)</f>
        <v>41443.79488425926</v>
      </c>
      <c r="C1023">
        <v>80</v>
      </c>
      <c r="D1023">
        <v>79.866065978999998</v>
      </c>
      <c r="E1023">
        <v>40</v>
      </c>
      <c r="F1023">
        <v>38.226146698000001</v>
      </c>
      <c r="G1023">
        <v>1345.0820312000001</v>
      </c>
      <c r="H1023">
        <v>1340.6087646000001</v>
      </c>
      <c r="I1023">
        <v>1321.0413818</v>
      </c>
      <c r="J1023">
        <v>1315.6428223</v>
      </c>
      <c r="K1023">
        <v>550</v>
      </c>
      <c r="L1023">
        <v>0</v>
      </c>
      <c r="M1023">
        <v>0</v>
      </c>
      <c r="N1023">
        <v>550</v>
      </c>
    </row>
    <row r="1024" spans="1:14" x14ac:dyDescent="0.25">
      <c r="A1024">
        <v>1146.331565</v>
      </c>
      <c r="B1024" s="1">
        <f>DATE(2013,6,20) + TIME(7,57,27)</f>
        <v>41445.331562500003</v>
      </c>
      <c r="C1024">
        <v>80</v>
      </c>
      <c r="D1024">
        <v>79.866027832</v>
      </c>
      <c r="E1024">
        <v>40</v>
      </c>
      <c r="F1024">
        <v>38.209968566999997</v>
      </c>
      <c r="G1024">
        <v>1345.0633545000001</v>
      </c>
      <c r="H1024">
        <v>1340.5968018000001</v>
      </c>
      <c r="I1024">
        <v>1321.0389404</v>
      </c>
      <c r="J1024">
        <v>1315.6318358999999</v>
      </c>
      <c r="K1024">
        <v>550</v>
      </c>
      <c r="L1024">
        <v>0</v>
      </c>
      <c r="M1024">
        <v>0</v>
      </c>
      <c r="N1024">
        <v>550</v>
      </c>
    </row>
    <row r="1025" spans="1:14" x14ac:dyDescent="0.25">
      <c r="A1025">
        <v>1147.9110969999999</v>
      </c>
      <c r="B1025" s="1">
        <f>DATE(2013,6,21) + TIME(21,51,58)</f>
        <v>41446.911087962966</v>
      </c>
      <c r="C1025">
        <v>80</v>
      </c>
      <c r="D1025">
        <v>79.865982056000007</v>
      </c>
      <c r="E1025">
        <v>40</v>
      </c>
      <c r="F1025">
        <v>38.196102142000001</v>
      </c>
      <c r="G1025">
        <v>1345.0445557</v>
      </c>
      <c r="H1025">
        <v>1340.5848389</v>
      </c>
      <c r="I1025">
        <v>1321.036499</v>
      </c>
      <c r="J1025">
        <v>1315.6206055</v>
      </c>
      <c r="K1025">
        <v>550</v>
      </c>
      <c r="L1025">
        <v>0</v>
      </c>
      <c r="M1025">
        <v>0</v>
      </c>
      <c r="N1025">
        <v>550</v>
      </c>
    </row>
    <row r="1026" spans="1:14" x14ac:dyDescent="0.25">
      <c r="A1026">
        <v>1149.5189459999999</v>
      </c>
      <c r="B1026" s="1">
        <f>DATE(2013,6,23) + TIME(12,27,16)</f>
        <v>41448.518935185188</v>
      </c>
      <c r="C1026">
        <v>80</v>
      </c>
      <c r="D1026">
        <v>79.865936278999996</v>
      </c>
      <c r="E1026">
        <v>40</v>
      </c>
      <c r="F1026">
        <v>38.184906005999999</v>
      </c>
      <c r="G1026">
        <v>1345.0256348</v>
      </c>
      <c r="H1026">
        <v>1340.5727539</v>
      </c>
      <c r="I1026">
        <v>1321.0340576000001</v>
      </c>
      <c r="J1026">
        <v>1315.6092529</v>
      </c>
      <c r="K1026">
        <v>550</v>
      </c>
      <c r="L1026">
        <v>0</v>
      </c>
      <c r="M1026">
        <v>0</v>
      </c>
      <c r="N1026">
        <v>550</v>
      </c>
    </row>
    <row r="1027" spans="1:14" x14ac:dyDescent="0.25">
      <c r="A1027">
        <v>1151.1395680000001</v>
      </c>
      <c r="B1027" s="1">
        <f>DATE(2013,6,25) + TIME(3,20,58)</f>
        <v>41450.139560185184</v>
      </c>
      <c r="C1027">
        <v>80</v>
      </c>
      <c r="D1027">
        <v>79.865890503000003</v>
      </c>
      <c r="E1027">
        <v>40</v>
      </c>
      <c r="F1027">
        <v>38.176685333000002</v>
      </c>
      <c r="G1027">
        <v>1345.0068358999999</v>
      </c>
      <c r="H1027">
        <v>1340.5606689000001</v>
      </c>
      <c r="I1027">
        <v>1321.0317382999999</v>
      </c>
      <c r="J1027">
        <v>1315.5979004000001</v>
      </c>
      <c r="K1027">
        <v>550</v>
      </c>
      <c r="L1027">
        <v>0</v>
      </c>
      <c r="M1027">
        <v>0</v>
      </c>
      <c r="N1027">
        <v>550</v>
      </c>
    </row>
    <row r="1028" spans="1:14" x14ac:dyDescent="0.25">
      <c r="A1028">
        <v>1152.780898</v>
      </c>
      <c r="B1028" s="1">
        <f>DATE(2013,6,26) + TIME(18,44,29)</f>
        <v>41451.780891203707</v>
      </c>
      <c r="C1028">
        <v>80</v>
      </c>
      <c r="D1028">
        <v>79.865844726999995</v>
      </c>
      <c r="E1028">
        <v>40</v>
      </c>
      <c r="F1028">
        <v>38.171615600999999</v>
      </c>
      <c r="G1028">
        <v>1344.9881591999999</v>
      </c>
      <c r="H1028">
        <v>1340.5487060999999</v>
      </c>
      <c r="I1028">
        <v>1321.0295410000001</v>
      </c>
      <c r="J1028">
        <v>1315.5865478999999</v>
      </c>
      <c r="K1028">
        <v>550</v>
      </c>
      <c r="L1028">
        <v>0</v>
      </c>
      <c r="M1028">
        <v>0</v>
      </c>
      <c r="N1028">
        <v>550</v>
      </c>
    </row>
    <row r="1029" spans="1:14" x14ac:dyDescent="0.25">
      <c r="A1029">
        <v>1154.4478959999999</v>
      </c>
      <c r="B1029" s="1">
        <f>DATE(2013,6,28) + TIME(10,44,58)</f>
        <v>41453.447893518518</v>
      </c>
      <c r="C1029">
        <v>80</v>
      </c>
      <c r="D1029">
        <v>79.865791321000003</v>
      </c>
      <c r="E1029">
        <v>40</v>
      </c>
      <c r="F1029">
        <v>38.169925689999999</v>
      </c>
      <c r="G1029">
        <v>1344.9694824000001</v>
      </c>
      <c r="H1029">
        <v>1340.5367432</v>
      </c>
      <c r="I1029">
        <v>1321.0274658000001</v>
      </c>
      <c r="J1029">
        <v>1315.5751952999999</v>
      </c>
      <c r="K1029">
        <v>550</v>
      </c>
      <c r="L1029">
        <v>0</v>
      </c>
      <c r="M1029">
        <v>0</v>
      </c>
      <c r="N1029">
        <v>550</v>
      </c>
    </row>
    <row r="1030" spans="1:14" x14ac:dyDescent="0.25">
      <c r="A1030">
        <v>1156.1457539999999</v>
      </c>
      <c r="B1030" s="1">
        <f>DATE(2013,6,30) + TIME(3,29,53)</f>
        <v>41455.145752314813</v>
      </c>
      <c r="C1030">
        <v>80</v>
      </c>
      <c r="D1030">
        <v>79.865745544000006</v>
      </c>
      <c r="E1030">
        <v>40</v>
      </c>
      <c r="F1030">
        <v>38.171875</v>
      </c>
      <c r="G1030">
        <v>1344.9510498</v>
      </c>
      <c r="H1030">
        <v>1340.5249022999999</v>
      </c>
      <c r="I1030">
        <v>1321.0253906</v>
      </c>
      <c r="J1030">
        <v>1315.5639647999999</v>
      </c>
      <c r="K1030">
        <v>550</v>
      </c>
      <c r="L1030">
        <v>0</v>
      </c>
      <c r="M1030">
        <v>0</v>
      </c>
      <c r="N1030">
        <v>550</v>
      </c>
    </row>
    <row r="1031" spans="1:14" x14ac:dyDescent="0.25">
      <c r="A1031">
        <v>1157</v>
      </c>
      <c r="B1031" s="1">
        <f>DATE(2013,7,1) + TIME(0,0,0)</f>
        <v>41456</v>
      </c>
      <c r="C1031">
        <v>80</v>
      </c>
      <c r="D1031">
        <v>79.865692139000004</v>
      </c>
      <c r="E1031">
        <v>40</v>
      </c>
      <c r="F1031">
        <v>38.175346374999997</v>
      </c>
      <c r="G1031">
        <v>1344.9324951000001</v>
      </c>
      <c r="H1031">
        <v>1340.5130615</v>
      </c>
      <c r="I1031">
        <v>1321.0250243999999</v>
      </c>
      <c r="J1031">
        <v>1315.5550536999999</v>
      </c>
      <c r="K1031">
        <v>550</v>
      </c>
      <c r="L1031">
        <v>0</v>
      </c>
      <c r="M1031">
        <v>0</v>
      </c>
      <c r="N1031">
        <v>550</v>
      </c>
    </row>
    <row r="1032" spans="1:14" x14ac:dyDescent="0.25">
      <c r="A1032">
        <v>1158.734277</v>
      </c>
      <c r="B1032" s="1">
        <f>DATE(2013,7,2) + TIME(17,37,21)</f>
        <v>41457.734270833331</v>
      </c>
      <c r="C1032">
        <v>80</v>
      </c>
      <c r="D1032">
        <v>79.865661621000001</v>
      </c>
      <c r="E1032">
        <v>40</v>
      </c>
      <c r="F1032">
        <v>38.183094025000003</v>
      </c>
      <c r="G1032">
        <v>1344.9233397999999</v>
      </c>
      <c r="H1032">
        <v>1340.5070800999999</v>
      </c>
      <c r="I1032">
        <v>1321.0222168</v>
      </c>
      <c r="J1032">
        <v>1315.5466309000001</v>
      </c>
      <c r="K1032">
        <v>550</v>
      </c>
      <c r="L1032">
        <v>0</v>
      </c>
      <c r="M1032">
        <v>0</v>
      </c>
      <c r="N1032">
        <v>550</v>
      </c>
    </row>
    <row r="1033" spans="1:14" x14ac:dyDescent="0.25">
      <c r="A1033">
        <v>1160.5345299999999</v>
      </c>
      <c r="B1033" s="1">
        <f>DATE(2013,7,4) + TIME(12,49,43)</f>
        <v>41459.534525462965</v>
      </c>
      <c r="C1033">
        <v>80</v>
      </c>
      <c r="D1033">
        <v>79.865623474000003</v>
      </c>
      <c r="E1033">
        <v>40</v>
      </c>
      <c r="F1033">
        <v>38.195426941000001</v>
      </c>
      <c r="G1033">
        <v>1344.9049072</v>
      </c>
      <c r="H1033">
        <v>1340.4953613</v>
      </c>
      <c r="I1033">
        <v>1321.0205077999999</v>
      </c>
      <c r="J1033">
        <v>1315.5356445</v>
      </c>
      <c r="K1033">
        <v>550</v>
      </c>
      <c r="L1033">
        <v>0</v>
      </c>
      <c r="M1033">
        <v>0</v>
      </c>
      <c r="N1033">
        <v>550</v>
      </c>
    </row>
    <row r="1034" spans="1:14" x14ac:dyDescent="0.25">
      <c r="A1034">
        <v>1162.3863289999999</v>
      </c>
      <c r="B1034" s="1">
        <f>DATE(2013,7,6) + TIME(9,16,18)</f>
        <v>41461.386319444442</v>
      </c>
      <c r="C1034">
        <v>80</v>
      </c>
      <c r="D1034">
        <v>79.865585327000005</v>
      </c>
      <c r="E1034">
        <v>40</v>
      </c>
      <c r="F1034">
        <v>38.212810515999998</v>
      </c>
      <c r="G1034">
        <v>1344.8862305</v>
      </c>
      <c r="H1034">
        <v>1340.4832764</v>
      </c>
      <c r="I1034">
        <v>1321.019043</v>
      </c>
      <c r="J1034">
        <v>1315.5246582</v>
      </c>
      <c r="K1034">
        <v>550</v>
      </c>
      <c r="L1034">
        <v>0</v>
      </c>
      <c r="M1034">
        <v>0</v>
      </c>
      <c r="N1034">
        <v>550</v>
      </c>
    </row>
    <row r="1035" spans="1:14" x14ac:dyDescent="0.25">
      <c r="A1035">
        <v>1164.297699</v>
      </c>
      <c r="B1035" s="1">
        <f>DATE(2013,7,8) + TIME(7,8,41)</f>
        <v>41463.297696759262</v>
      </c>
      <c r="C1035">
        <v>80</v>
      </c>
      <c r="D1035">
        <v>79.865547179999993</v>
      </c>
      <c r="E1035">
        <v>40</v>
      </c>
      <c r="F1035">
        <v>38.235805511000002</v>
      </c>
      <c r="G1035">
        <v>1344.8671875</v>
      </c>
      <c r="H1035">
        <v>1340.4709473</v>
      </c>
      <c r="I1035">
        <v>1321.0178223</v>
      </c>
      <c r="J1035">
        <v>1315.5136719</v>
      </c>
      <c r="K1035">
        <v>550</v>
      </c>
      <c r="L1035">
        <v>0</v>
      </c>
      <c r="M1035">
        <v>0</v>
      </c>
      <c r="N1035">
        <v>550</v>
      </c>
    </row>
    <row r="1036" spans="1:14" x14ac:dyDescent="0.25">
      <c r="A1036">
        <v>1166.2770909999999</v>
      </c>
      <c r="B1036" s="1">
        <f>DATE(2013,7,10) + TIME(6,39,0)</f>
        <v>41465.277083333334</v>
      </c>
      <c r="C1036">
        <v>80</v>
      </c>
      <c r="D1036">
        <v>79.865516662999994</v>
      </c>
      <c r="E1036">
        <v>40</v>
      </c>
      <c r="F1036">
        <v>38.265106201000002</v>
      </c>
      <c r="G1036">
        <v>1344.8480225000001</v>
      </c>
      <c r="H1036">
        <v>1340.4586182</v>
      </c>
      <c r="I1036">
        <v>1321.0167236</v>
      </c>
      <c r="J1036">
        <v>1315.5028076000001</v>
      </c>
      <c r="K1036">
        <v>550</v>
      </c>
      <c r="L1036">
        <v>0</v>
      </c>
      <c r="M1036">
        <v>0</v>
      </c>
      <c r="N1036">
        <v>550</v>
      </c>
    </row>
    <row r="1037" spans="1:14" x14ac:dyDescent="0.25">
      <c r="A1037">
        <v>1168.2851800000001</v>
      </c>
      <c r="B1037" s="1">
        <f>DATE(2013,7,12) + TIME(6,50,39)</f>
        <v>41467.285173611112</v>
      </c>
      <c r="C1037">
        <v>80</v>
      </c>
      <c r="D1037">
        <v>79.865478515999996</v>
      </c>
      <c r="E1037">
        <v>40</v>
      </c>
      <c r="F1037">
        <v>38.301006317000002</v>
      </c>
      <c r="G1037">
        <v>1344.8283690999999</v>
      </c>
      <c r="H1037">
        <v>1340.4459228999999</v>
      </c>
      <c r="I1037">
        <v>1321.0158690999999</v>
      </c>
      <c r="J1037">
        <v>1315.4920654</v>
      </c>
      <c r="K1037">
        <v>550</v>
      </c>
      <c r="L1037">
        <v>0</v>
      </c>
      <c r="M1037">
        <v>0</v>
      </c>
      <c r="N1037">
        <v>550</v>
      </c>
    </row>
    <row r="1038" spans="1:14" x14ac:dyDescent="0.25">
      <c r="A1038">
        <v>1170.3304909999999</v>
      </c>
      <c r="B1038" s="1">
        <f>DATE(2013,7,14) + TIME(7,55,54)</f>
        <v>41469.33048611111</v>
      </c>
      <c r="C1038">
        <v>80</v>
      </c>
      <c r="D1038">
        <v>79.865440368999998</v>
      </c>
      <c r="E1038">
        <v>40</v>
      </c>
      <c r="F1038">
        <v>38.344032288000001</v>
      </c>
      <c r="G1038">
        <v>1344.8089600000001</v>
      </c>
      <c r="H1038">
        <v>1340.4332274999999</v>
      </c>
      <c r="I1038">
        <v>1321.0152588000001</v>
      </c>
      <c r="J1038">
        <v>1315.4816894999999</v>
      </c>
      <c r="K1038">
        <v>550</v>
      </c>
      <c r="L1038">
        <v>0</v>
      </c>
      <c r="M1038">
        <v>0</v>
      </c>
      <c r="N1038">
        <v>550</v>
      </c>
    </row>
    <row r="1039" spans="1:14" x14ac:dyDescent="0.25">
      <c r="A1039">
        <v>1172.4192149999999</v>
      </c>
      <c r="B1039" s="1">
        <f>DATE(2013,7,16) + TIME(10,3,40)</f>
        <v>41471.419212962966</v>
      </c>
      <c r="C1039">
        <v>80</v>
      </c>
      <c r="D1039">
        <v>79.865409850999995</v>
      </c>
      <c r="E1039">
        <v>40</v>
      </c>
      <c r="F1039">
        <v>38.394824982000003</v>
      </c>
      <c r="G1039">
        <v>1344.7894286999999</v>
      </c>
      <c r="H1039">
        <v>1340.4205322</v>
      </c>
      <c r="I1039">
        <v>1321.0150146000001</v>
      </c>
      <c r="J1039">
        <v>1315.4718018000001</v>
      </c>
      <c r="K1039">
        <v>550</v>
      </c>
      <c r="L1039">
        <v>0</v>
      </c>
      <c r="M1039">
        <v>0</v>
      </c>
      <c r="N1039">
        <v>550</v>
      </c>
    </row>
    <row r="1040" spans="1:14" x14ac:dyDescent="0.25">
      <c r="A1040">
        <v>1174.552641</v>
      </c>
      <c r="B1040" s="1">
        <f>DATE(2013,7,18) + TIME(13,15,48)</f>
        <v>41473.55263888889</v>
      </c>
      <c r="C1040">
        <v>80</v>
      </c>
      <c r="D1040">
        <v>79.865379333000007</v>
      </c>
      <c r="E1040">
        <v>40</v>
      </c>
      <c r="F1040">
        <v>38.454036713000001</v>
      </c>
      <c r="G1040">
        <v>1344.7698975000001</v>
      </c>
      <c r="H1040">
        <v>1340.4078368999999</v>
      </c>
      <c r="I1040">
        <v>1321.0151367000001</v>
      </c>
      <c r="J1040">
        <v>1315.4624022999999</v>
      </c>
      <c r="K1040">
        <v>550</v>
      </c>
      <c r="L1040">
        <v>0</v>
      </c>
      <c r="M1040">
        <v>0</v>
      </c>
      <c r="N1040">
        <v>550</v>
      </c>
    </row>
    <row r="1041" spans="1:14" x14ac:dyDescent="0.25">
      <c r="A1041">
        <v>1176.72847</v>
      </c>
      <c r="B1041" s="1">
        <f>DATE(2013,7,20) + TIME(17,28,59)</f>
        <v>41475.728460648148</v>
      </c>
      <c r="C1041">
        <v>80</v>
      </c>
      <c r="D1041">
        <v>79.865348815999994</v>
      </c>
      <c r="E1041">
        <v>40</v>
      </c>
      <c r="F1041">
        <v>38.522323608000001</v>
      </c>
      <c r="G1041">
        <v>1344.7501221</v>
      </c>
      <c r="H1041">
        <v>1340.3950195</v>
      </c>
      <c r="I1041">
        <v>1321.0157471</v>
      </c>
      <c r="J1041">
        <v>1315.4536132999999</v>
      </c>
      <c r="K1041">
        <v>550</v>
      </c>
      <c r="L1041">
        <v>0</v>
      </c>
      <c r="M1041">
        <v>0</v>
      </c>
      <c r="N1041">
        <v>550</v>
      </c>
    </row>
    <row r="1042" spans="1:14" x14ac:dyDescent="0.25">
      <c r="A1042">
        <v>1178.954606</v>
      </c>
      <c r="B1042" s="1">
        <f>DATE(2013,7,22) + TIME(22,54,37)</f>
        <v>41477.954594907409</v>
      </c>
      <c r="C1042">
        <v>80</v>
      </c>
      <c r="D1042">
        <v>79.865325928000004</v>
      </c>
      <c r="E1042">
        <v>40</v>
      </c>
      <c r="F1042">
        <v>38.600543975999997</v>
      </c>
      <c r="G1042">
        <v>1344.7304687999999</v>
      </c>
      <c r="H1042">
        <v>1340.3820800999999</v>
      </c>
      <c r="I1042">
        <v>1321.0166016000001</v>
      </c>
      <c r="J1042">
        <v>1315.4454346</v>
      </c>
      <c r="K1042">
        <v>550</v>
      </c>
      <c r="L1042">
        <v>0</v>
      </c>
      <c r="M1042">
        <v>0</v>
      </c>
      <c r="N1042">
        <v>550</v>
      </c>
    </row>
    <row r="1043" spans="1:14" x14ac:dyDescent="0.25">
      <c r="A1043">
        <v>1181.2162049999999</v>
      </c>
      <c r="B1043" s="1">
        <f>DATE(2013,7,25) + TIME(5,11,20)</f>
        <v>41480.216203703705</v>
      </c>
      <c r="C1043">
        <v>80</v>
      </c>
      <c r="D1043">
        <v>79.865303040000001</v>
      </c>
      <c r="E1043">
        <v>40</v>
      </c>
      <c r="F1043">
        <v>38.689189911</v>
      </c>
      <c r="G1043">
        <v>1344.7106934000001</v>
      </c>
      <c r="H1043">
        <v>1340.3690185999999</v>
      </c>
      <c r="I1043">
        <v>1321.0180664</v>
      </c>
      <c r="J1043">
        <v>1315.4381103999999</v>
      </c>
      <c r="K1043">
        <v>550</v>
      </c>
      <c r="L1043">
        <v>0</v>
      </c>
      <c r="M1043">
        <v>0</v>
      </c>
      <c r="N1043">
        <v>550</v>
      </c>
    </row>
    <row r="1044" spans="1:14" x14ac:dyDescent="0.25">
      <c r="A1044">
        <v>1183.516711</v>
      </c>
      <c r="B1044" s="1">
        <f>DATE(2013,7,27) + TIME(12,24,3)</f>
        <v>41482.516701388886</v>
      </c>
      <c r="C1044">
        <v>80</v>
      </c>
      <c r="D1044">
        <v>79.865287781000006</v>
      </c>
      <c r="E1044">
        <v>40</v>
      </c>
      <c r="F1044">
        <v>38.789005279999998</v>
      </c>
      <c r="G1044">
        <v>1344.6907959</v>
      </c>
      <c r="H1044">
        <v>1340.355957</v>
      </c>
      <c r="I1044">
        <v>1321.0200195</v>
      </c>
      <c r="J1044">
        <v>1315.4316406</v>
      </c>
      <c r="K1044">
        <v>550</v>
      </c>
      <c r="L1044">
        <v>0</v>
      </c>
      <c r="M1044">
        <v>0</v>
      </c>
      <c r="N1044">
        <v>550</v>
      </c>
    </row>
    <row r="1045" spans="1:14" x14ac:dyDescent="0.25">
      <c r="A1045">
        <v>1185.864429</v>
      </c>
      <c r="B1045" s="1">
        <f>DATE(2013,7,29) + TIME(20,44,46)</f>
        <v>41484.864421296297</v>
      </c>
      <c r="C1045">
        <v>80</v>
      </c>
      <c r="D1045">
        <v>79.865272521999998</v>
      </c>
      <c r="E1045">
        <v>40</v>
      </c>
      <c r="F1045">
        <v>38.900962829999997</v>
      </c>
      <c r="G1045">
        <v>1344.6710204999999</v>
      </c>
      <c r="H1045">
        <v>1340.3428954999999</v>
      </c>
      <c r="I1045">
        <v>1321.0225829999999</v>
      </c>
      <c r="J1045">
        <v>1315.4262695</v>
      </c>
      <c r="K1045">
        <v>550</v>
      </c>
      <c r="L1045">
        <v>0</v>
      </c>
      <c r="M1045">
        <v>0</v>
      </c>
      <c r="N1045">
        <v>550</v>
      </c>
    </row>
    <row r="1046" spans="1:14" x14ac:dyDescent="0.25">
      <c r="A1046">
        <v>1188</v>
      </c>
      <c r="B1046" s="1">
        <f>DATE(2013,8,1) + TIME(0,0,0)</f>
        <v>41487</v>
      </c>
      <c r="C1046">
        <v>80</v>
      </c>
      <c r="D1046">
        <v>79.865249633999994</v>
      </c>
      <c r="E1046">
        <v>40</v>
      </c>
      <c r="F1046">
        <v>39.017585754000002</v>
      </c>
      <c r="G1046">
        <v>1344.6511230000001</v>
      </c>
      <c r="H1046">
        <v>1340.3297118999999</v>
      </c>
      <c r="I1046">
        <v>1321.0263672000001</v>
      </c>
      <c r="J1046">
        <v>1315.4222411999999</v>
      </c>
      <c r="K1046">
        <v>550</v>
      </c>
      <c r="L1046">
        <v>0</v>
      </c>
      <c r="M1046">
        <v>0</v>
      </c>
      <c r="N1046">
        <v>550</v>
      </c>
    </row>
    <row r="1047" spans="1:14" x14ac:dyDescent="0.25">
      <c r="A1047">
        <v>1190.4037089999999</v>
      </c>
      <c r="B1047" s="1">
        <f>DATE(2013,8,3) + TIME(9,41,20)</f>
        <v>41489.403703703705</v>
      </c>
      <c r="C1047">
        <v>80</v>
      </c>
      <c r="D1047">
        <v>79.865242003999995</v>
      </c>
      <c r="E1047">
        <v>40</v>
      </c>
      <c r="F1047">
        <v>39.151824951000002</v>
      </c>
      <c r="G1047">
        <v>1344.6333007999999</v>
      </c>
      <c r="H1047">
        <v>1340.3178711</v>
      </c>
      <c r="I1047">
        <v>1321.0288086</v>
      </c>
      <c r="J1047">
        <v>1315.4190673999999</v>
      </c>
      <c r="K1047">
        <v>550</v>
      </c>
      <c r="L1047">
        <v>0</v>
      </c>
      <c r="M1047">
        <v>0</v>
      </c>
      <c r="N1047">
        <v>550</v>
      </c>
    </row>
    <row r="1048" spans="1:14" x14ac:dyDescent="0.25">
      <c r="A1048">
        <v>1192.8852750000001</v>
      </c>
      <c r="B1048" s="1">
        <f>DATE(2013,8,5) + TIME(21,14,47)</f>
        <v>41491.885266203702</v>
      </c>
      <c r="C1048">
        <v>80</v>
      </c>
      <c r="D1048">
        <v>79.865242003999995</v>
      </c>
      <c r="E1048">
        <v>40</v>
      </c>
      <c r="F1048">
        <v>39.302207946999999</v>
      </c>
      <c r="G1048">
        <v>1344.6135254000001</v>
      </c>
      <c r="H1048">
        <v>1340.3046875</v>
      </c>
      <c r="I1048">
        <v>1321.0330810999999</v>
      </c>
      <c r="J1048">
        <v>1315.4172363</v>
      </c>
      <c r="K1048">
        <v>550</v>
      </c>
      <c r="L1048">
        <v>0</v>
      </c>
      <c r="M1048">
        <v>0</v>
      </c>
      <c r="N1048">
        <v>550</v>
      </c>
    </row>
    <row r="1049" spans="1:14" x14ac:dyDescent="0.25">
      <c r="A1049">
        <v>1195.4210860000001</v>
      </c>
      <c r="B1049" s="1">
        <f>DATE(2013,8,8) + TIME(10,6,21)</f>
        <v>41494.421076388891</v>
      </c>
      <c r="C1049">
        <v>80</v>
      </c>
      <c r="D1049">
        <v>79.865242003999995</v>
      </c>
      <c r="E1049">
        <v>40</v>
      </c>
      <c r="F1049">
        <v>39.469173431000002</v>
      </c>
      <c r="G1049">
        <v>1344.5933838000001</v>
      </c>
      <c r="H1049">
        <v>1340.2911377</v>
      </c>
      <c r="I1049">
        <v>1321.0382079999999</v>
      </c>
      <c r="J1049">
        <v>1315.4168701000001</v>
      </c>
      <c r="K1049">
        <v>550</v>
      </c>
      <c r="L1049">
        <v>0</v>
      </c>
      <c r="M1049">
        <v>0</v>
      </c>
      <c r="N1049">
        <v>550</v>
      </c>
    </row>
    <row r="1050" spans="1:14" x14ac:dyDescent="0.25">
      <c r="A1050">
        <v>1198.0207170000001</v>
      </c>
      <c r="B1050" s="1">
        <f>DATE(2013,8,11) + TIME(0,29,49)</f>
        <v>41497.02070601852</v>
      </c>
      <c r="C1050">
        <v>80</v>
      </c>
      <c r="D1050">
        <v>79.865249633999994</v>
      </c>
      <c r="E1050">
        <v>40</v>
      </c>
      <c r="F1050">
        <v>39.653911591000004</v>
      </c>
      <c r="G1050">
        <v>1344.5731201000001</v>
      </c>
      <c r="H1050">
        <v>1340.2775879000001</v>
      </c>
      <c r="I1050">
        <v>1321.0440673999999</v>
      </c>
      <c r="J1050">
        <v>1315.4182129000001</v>
      </c>
      <c r="K1050">
        <v>550</v>
      </c>
      <c r="L1050">
        <v>0</v>
      </c>
      <c r="M1050">
        <v>0</v>
      </c>
      <c r="N1050">
        <v>550</v>
      </c>
    </row>
    <row r="1051" spans="1:14" x14ac:dyDescent="0.25">
      <c r="A1051">
        <v>1200.6814340000001</v>
      </c>
      <c r="B1051" s="1">
        <f>DATE(2013,8,13) + TIME(16,21,15)</f>
        <v>41499.681423611109</v>
      </c>
      <c r="C1051">
        <v>80</v>
      </c>
      <c r="D1051">
        <v>79.865249633999994</v>
      </c>
      <c r="E1051">
        <v>40</v>
      </c>
      <c r="F1051">
        <v>39.857406615999999</v>
      </c>
      <c r="G1051">
        <v>1344.5527344</v>
      </c>
      <c r="H1051">
        <v>1340.2639160000001</v>
      </c>
      <c r="I1051">
        <v>1321.0509033000001</v>
      </c>
      <c r="J1051">
        <v>1315.4213867000001</v>
      </c>
      <c r="K1051">
        <v>550</v>
      </c>
      <c r="L1051">
        <v>0</v>
      </c>
      <c r="M1051">
        <v>0</v>
      </c>
      <c r="N1051">
        <v>550</v>
      </c>
    </row>
    <row r="1052" spans="1:14" x14ac:dyDescent="0.25">
      <c r="A1052">
        <v>1203.38582</v>
      </c>
      <c r="B1052" s="1">
        <f>DATE(2013,8,16) + TIME(9,15,34)</f>
        <v>41502.385810185187</v>
      </c>
      <c r="C1052">
        <v>80</v>
      </c>
      <c r="D1052">
        <v>79.865264893000003</v>
      </c>
      <c r="E1052">
        <v>40</v>
      </c>
      <c r="F1052">
        <v>40.079875946000001</v>
      </c>
      <c r="G1052">
        <v>1344.5322266000001</v>
      </c>
      <c r="H1052">
        <v>1340.25</v>
      </c>
      <c r="I1052">
        <v>1321.0585937999999</v>
      </c>
      <c r="J1052">
        <v>1315.4265137</v>
      </c>
      <c r="K1052">
        <v>550</v>
      </c>
      <c r="L1052">
        <v>0</v>
      </c>
      <c r="M1052">
        <v>0</v>
      </c>
      <c r="N1052">
        <v>550</v>
      </c>
    </row>
    <row r="1053" spans="1:14" x14ac:dyDescent="0.25">
      <c r="A1053">
        <v>1206.1440259999999</v>
      </c>
      <c r="B1053" s="1">
        <f>DATE(2013,8,19) + TIME(3,27,23)</f>
        <v>41505.144016203703</v>
      </c>
      <c r="C1053">
        <v>80</v>
      </c>
      <c r="D1053">
        <v>79.865272521999998</v>
      </c>
      <c r="E1053">
        <v>40</v>
      </c>
      <c r="F1053">
        <v>40.322292328000003</v>
      </c>
      <c r="G1053">
        <v>1344.5117187999999</v>
      </c>
      <c r="H1053">
        <v>1340.2360839999999</v>
      </c>
      <c r="I1053">
        <v>1321.0672606999999</v>
      </c>
      <c r="J1053">
        <v>1315.4337158000001</v>
      </c>
      <c r="K1053">
        <v>550</v>
      </c>
      <c r="L1053">
        <v>0</v>
      </c>
      <c r="M1053">
        <v>0</v>
      </c>
      <c r="N1053">
        <v>550</v>
      </c>
    </row>
    <row r="1054" spans="1:14" x14ac:dyDescent="0.25">
      <c r="A1054">
        <v>1208.9666440000001</v>
      </c>
      <c r="B1054" s="1">
        <f>DATE(2013,8,21) + TIME(23,11,58)</f>
        <v>41507.966643518521</v>
      </c>
      <c r="C1054">
        <v>80</v>
      </c>
      <c r="D1054">
        <v>79.865295410000002</v>
      </c>
      <c r="E1054">
        <v>40</v>
      </c>
      <c r="F1054">
        <v>40.585884094000001</v>
      </c>
      <c r="G1054">
        <v>1344.4910889</v>
      </c>
      <c r="H1054">
        <v>1340.2220459</v>
      </c>
      <c r="I1054">
        <v>1321.0767822</v>
      </c>
      <c r="J1054">
        <v>1315.4433594</v>
      </c>
      <c r="K1054">
        <v>550</v>
      </c>
      <c r="L1054">
        <v>0</v>
      </c>
      <c r="M1054">
        <v>0</v>
      </c>
      <c r="N1054">
        <v>550</v>
      </c>
    </row>
    <row r="1055" spans="1:14" x14ac:dyDescent="0.25">
      <c r="A1055">
        <v>1211.865278</v>
      </c>
      <c r="B1055" s="1">
        <f>DATE(2013,8,24) + TIME(20,45,59)</f>
        <v>41510.865266203706</v>
      </c>
      <c r="C1055">
        <v>80</v>
      </c>
      <c r="D1055">
        <v>79.865318298000005</v>
      </c>
      <c r="E1055">
        <v>40</v>
      </c>
      <c r="F1055">
        <v>40.872196197999997</v>
      </c>
      <c r="G1055">
        <v>1344.4703368999999</v>
      </c>
      <c r="H1055">
        <v>1340.2078856999999</v>
      </c>
      <c r="I1055">
        <v>1321.0874022999999</v>
      </c>
      <c r="J1055">
        <v>1315.4554443</v>
      </c>
      <c r="K1055">
        <v>550</v>
      </c>
      <c r="L1055">
        <v>0</v>
      </c>
      <c r="M1055">
        <v>0</v>
      </c>
      <c r="N1055">
        <v>550</v>
      </c>
    </row>
    <row r="1056" spans="1:14" x14ac:dyDescent="0.25">
      <c r="A1056">
        <v>1214.85259</v>
      </c>
      <c r="B1056" s="1">
        <f>DATE(2013,8,27) + TIME(20,27,43)</f>
        <v>41513.852581018517</v>
      </c>
      <c r="C1056">
        <v>80</v>
      </c>
      <c r="D1056">
        <v>79.865341186999999</v>
      </c>
      <c r="E1056">
        <v>40</v>
      </c>
      <c r="F1056">
        <v>41.183017731</v>
      </c>
      <c r="G1056">
        <v>1344.4493408000001</v>
      </c>
      <c r="H1056">
        <v>1340.1934814000001</v>
      </c>
      <c r="I1056">
        <v>1321.0992432</v>
      </c>
      <c r="J1056">
        <v>1315.4702147999999</v>
      </c>
      <c r="K1056">
        <v>550</v>
      </c>
      <c r="L1056">
        <v>0</v>
      </c>
      <c r="M1056">
        <v>0</v>
      </c>
      <c r="N1056">
        <v>550</v>
      </c>
    </row>
    <row r="1057" spans="1:14" x14ac:dyDescent="0.25">
      <c r="A1057">
        <v>1217.8921130000001</v>
      </c>
      <c r="B1057" s="1">
        <f>DATE(2013,8,30) + TIME(21,24,38)</f>
        <v>41516.892106481479</v>
      </c>
      <c r="C1057">
        <v>80</v>
      </c>
      <c r="D1057">
        <v>79.865371703999998</v>
      </c>
      <c r="E1057">
        <v>40</v>
      </c>
      <c r="F1057">
        <v>41.517436981000003</v>
      </c>
      <c r="G1057">
        <v>1344.4281006000001</v>
      </c>
      <c r="H1057">
        <v>1340.1788329999999</v>
      </c>
      <c r="I1057">
        <v>1321.1125488</v>
      </c>
      <c r="J1057">
        <v>1315.4880370999999</v>
      </c>
      <c r="K1057">
        <v>550</v>
      </c>
      <c r="L1057">
        <v>0</v>
      </c>
      <c r="M1057">
        <v>0</v>
      </c>
      <c r="N1057">
        <v>550</v>
      </c>
    </row>
    <row r="1058" spans="1:14" x14ac:dyDescent="0.25">
      <c r="A1058">
        <v>1219</v>
      </c>
      <c r="B1058" s="1">
        <f>DATE(2013,9,1) + TIME(0,0,0)</f>
        <v>41518</v>
      </c>
      <c r="C1058">
        <v>80</v>
      </c>
      <c r="D1058">
        <v>79.865341186999999</v>
      </c>
      <c r="E1058">
        <v>40</v>
      </c>
      <c r="F1058">
        <v>41.703334808000001</v>
      </c>
      <c r="G1058">
        <v>1344.4068603999999</v>
      </c>
      <c r="H1058">
        <v>1340.1644286999999</v>
      </c>
      <c r="I1058">
        <v>1321.1364745999999</v>
      </c>
      <c r="J1058">
        <v>1315.5080565999999</v>
      </c>
      <c r="K1058">
        <v>550</v>
      </c>
      <c r="L1058">
        <v>0</v>
      </c>
      <c r="M1058">
        <v>0</v>
      </c>
      <c r="N1058">
        <v>550</v>
      </c>
    </row>
    <row r="1059" spans="1:14" x14ac:dyDescent="0.25">
      <c r="A1059">
        <v>1222.0658410000001</v>
      </c>
      <c r="B1059" s="1">
        <f>DATE(2013,9,4) + TIME(1,34,48)</f>
        <v>41521.065833333334</v>
      </c>
      <c r="C1059">
        <v>80</v>
      </c>
      <c r="D1059">
        <v>79.865402222</v>
      </c>
      <c r="E1059">
        <v>40</v>
      </c>
      <c r="F1059">
        <v>42.037998199</v>
      </c>
      <c r="G1059">
        <v>1344.3990478999999</v>
      </c>
      <c r="H1059">
        <v>1340.1588135</v>
      </c>
      <c r="I1059">
        <v>1321.1319579999999</v>
      </c>
      <c r="J1059">
        <v>1315.5191649999999</v>
      </c>
      <c r="K1059">
        <v>550</v>
      </c>
      <c r="L1059">
        <v>0</v>
      </c>
      <c r="M1059">
        <v>0</v>
      </c>
      <c r="N1059">
        <v>550</v>
      </c>
    </row>
    <row r="1060" spans="1:14" x14ac:dyDescent="0.25">
      <c r="A1060">
        <v>1225.2027029999999</v>
      </c>
      <c r="B1060" s="1">
        <f>DATE(2013,9,7) + TIME(4,51,53)</f>
        <v>41524.202696759261</v>
      </c>
      <c r="C1060">
        <v>80</v>
      </c>
      <c r="D1060">
        <v>79.865447997999993</v>
      </c>
      <c r="E1060">
        <v>40</v>
      </c>
      <c r="F1060">
        <v>42.407577515</v>
      </c>
      <c r="G1060">
        <v>1344.3781738</v>
      </c>
      <c r="H1060">
        <v>1340.1444091999999</v>
      </c>
      <c r="I1060">
        <v>1321.1481934000001</v>
      </c>
      <c r="J1060">
        <v>1315.5430908000001</v>
      </c>
      <c r="K1060">
        <v>550</v>
      </c>
      <c r="L1060">
        <v>0</v>
      </c>
      <c r="M1060">
        <v>0</v>
      </c>
      <c r="N1060">
        <v>550</v>
      </c>
    </row>
    <row r="1061" spans="1:14" x14ac:dyDescent="0.25">
      <c r="A1061">
        <v>1228.4036550000001</v>
      </c>
      <c r="B1061" s="1">
        <f>DATE(2013,9,10) + TIME(9,41,15)</f>
        <v>41527.403645833336</v>
      </c>
      <c r="C1061">
        <v>80</v>
      </c>
      <c r="D1061">
        <v>79.865493774000001</v>
      </c>
      <c r="E1061">
        <v>40</v>
      </c>
      <c r="F1061">
        <v>42.805770873999997</v>
      </c>
      <c r="G1061">
        <v>1344.3571777</v>
      </c>
      <c r="H1061">
        <v>1340.1298827999999</v>
      </c>
      <c r="I1061">
        <v>1321.1656493999999</v>
      </c>
      <c r="J1061">
        <v>1315.5705565999999</v>
      </c>
      <c r="K1061">
        <v>550</v>
      </c>
      <c r="L1061">
        <v>0</v>
      </c>
      <c r="M1061">
        <v>0</v>
      </c>
      <c r="N1061">
        <v>550</v>
      </c>
    </row>
    <row r="1062" spans="1:14" x14ac:dyDescent="0.25">
      <c r="A1062">
        <v>1231.680754</v>
      </c>
      <c r="B1062" s="1">
        <f>DATE(2013,9,13) + TIME(16,20,17)</f>
        <v>41530.680752314816</v>
      </c>
      <c r="C1062">
        <v>80</v>
      </c>
      <c r="D1062">
        <v>79.865547179999993</v>
      </c>
      <c r="E1062">
        <v>40</v>
      </c>
      <c r="F1062">
        <v>43.229331969999997</v>
      </c>
      <c r="G1062">
        <v>1344.3360596</v>
      </c>
      <c r="H1062">
        <v>1340.1152344</v>
      </c>
      <c r="I1062">
        <v>1321.1844481999999</v>
      </c>
      <c r="J1062">
        <v>1315.6015625</v>
      </c>
      <c r="K1062">
        <v>550</v>
      </c>
      <c r="L1062">
        <v>0</v>
      </c>
      <c r="M1062">
        <v>0</v>
      </c>
      <c r="N1062">
        <v>550</v>
      </c>
    </row>
    <row r="1063" spans="1:14" x14ac:dyDescent="0.25">
      <c r="A1063">
        <v>1235.0473219999999</v>
      </c>
      <c r="B1063" s="1">
        <f>DATE(2013,9,17) + TIME(1,8,8)</f>
        <v>41534.047314814816</v>
      </c>
      <c r="C1063">
        <v>80</v>
      </c>
      <c r="D1063">
        <v>79.865600585999999</v>
      </c>
      <c r="E1063">
        <v>40</v>
      </c>
      <c r="F1063">
        <v>43.676696776999997</v>
      </c>
      <c r="G1063">
        <v>1344.3148193</v>
      </c>
      <c r="H1063">
        <v>1340.1004639</v>
      </c>
      <c r="I1063">
        <v>1321.2047118999999</v>
      </c>
      <c r="J1063">
        <v>1315.6361084</v>
      </c>
      <c r="K1063">
        <v>550</v>
      </c>
      <c r="L1063">
        <v>0</v>
      </c>
      <c r="M1063">
        <v>0</v>
      </c>
      <c r="N1063">
        <v>550</v>
      </c>
    </row>
    <row r="1064" spans="1:14" x14ac:dyDescent="0.25">
      <c r="A1064">
        <v>1238.4826700000001</v>
      </c>
      <c r="B1064" s="1">
        <f>DATE(2013,9,20) + TIME(11,35,2)</f>
        <v>41537.482662037037</v>
      </c>
      <c r="C1064">
        <v>80</v>
      </c>
      <c r="D1064">
        <v>79.865653992000006</v>
      </c>
      <c r="E1064">
        <v>40</v>
      </c>
      <c r="F1064">
        <v>44.144939422999997</v>
      </c>
      <c r="G1064">
        <v>1344.293457</v>
      </c>
      <c r="H1064">
        <v>1340.0855713000001</v>
      </c>
      <c r="I1064">
        <v>1321.2266846</v>
      </c>
      <c r="J1064">
        <v>1315.6743164</v>
      </c>
      <c r="K1064">
        <v>550</v>
      </c>
      <c r="L1064">
        <v>0</v>
      </c>
      <c r="M1064">
        <v>0</v>
      </c>
      <c r="N1064">
        <v>550</v>
      </c>
    </row>
    <row r="1065" spans="1:14" x14ac:dyDescent="0.25">
      <c r="A1065">
        <v>1241.9960289999999</v>
      </c>
      <c r="B1065" s="1">
        <f>DATE(2013,9,23) + TIME(23,54,16)</f>
        <v>41540.996018518519</v>
      </c>
      <c r="C1065">
        <v>80</v>
      </c>
      <c r="D1065">
        <v>79.865715026999993</v>
      </c>
      <c r="E1065">
        <v>40</v>
      </c>
      <c r="F1065">
        <v>44.631977081000002</v>
      </c>
      <c r="G1065">
        <v>1344.2720947</v>
      </c>
      <c r="H1065">
        <v>1340.0708007999999</v>
      </c>
      <c r="I1065">
        <v>1321.2501221</v>
      </c>
      <c r="J1065">
        <v>1315.7160644999999</v>
      </c>
      <c r="K1065">
        <v>550</v>
      </c>
      <c r="L1065">
        <v>0</v>
      </c>
      <c r="M1065">
        <v>0</v>
      </c>
      <c r="N1065">
        <v>550</v>
      </c>
    </row>
    <row r="1066" spans="1:14" x14ac:dyDescent="0.25">
      <c r="A1066">
        <v>1245.6029109999999</v>
      </c>
      <c r="B1066" s="1">
        <f>DATE(2013,9,27) + TIME(14,28,11)</f>
        <v>41544.602905092594</v>
      </c>
      <c r="C1066">
        <v>80</v>
      </c>
      <c r="D1066">
        <v>79.865783691000004</v>
      </c>
      <c r="E1066">
        <v>40</v>
      </c>
      <c r="F1066">
        <v>45.136623383</v>
      </c>
      <c r="G1066">
        <v>1344.2507324000001</v>
      </c>
      <c r="H1066">
        <v>1340.0559082</v>
      </c>
      <c r="I1066">
        <v>1321.2752685999999</v>
      </c>
      <c r="J1066">
        <v>1315.7612305</v>
      </c>
      <c r="K1066">
        <v>550</v>
      </c>
      <c r="L1066">
        <v>0</v>
      </c>
      <c r="M1066">
        <v>0</v>
      </c>
      <c r="N1066">
        <v>550</v>
      </c>
    </row>
    <row r="1067" spans="1:14" x14ac:dyDescent="0.25">
      <c r="A1067">
        <v>1249</v>
      </c>
      <c r="B1067" s="1">
        <f>DATE(2013,10,1) + TIME(0,0,0)</f>
        <v>41548</v>
      </c>
      <c r="C1067">
        <v>80</v>
      </c>
      <c r="D1067">
        <v>79.865837096999996</v>
      </c>
      <c r="E1067">
        <v>40</v>
      </c>
      <c r="F1067">
        <v>45.636600494</v>
      </c>
      <c r="G1067">
        <v>1344.2292480000001</v>
      </c>
      <c r="H1067">
        <v>1340.0410156</v>
      </c>
      <c r="I1067">
        <v>1321.3029785000001</v>
      </c>
      <c r="J1067">
        <v>1315.8096923999999</v>
      </c>
      <c r="K1067">
        <v>550</v>
      </c>
      <c r="L1067">
        <v>0</v>
      </c>
      <c r="M1067">
        <v>0</v>
      </c>
      <c r="N1067">
        <v>550</v>
      </c>
    </row>
    <row r="1068" spans="1:14" x14ac:dyDescent="0.25">
      <c r="A1068">
        <v>1252.7170120000001</v>
      </c>
      <c r="B1068" s="1">
        <f>DATE(2013,10,4) + TIME(17,12,29)</f>
        <v>41551.717002314814</v>
      </c>
      <c r="C1068">
        <v>80</v>
      </c>
      <c r="D1068">
        <v>79.865913391000007</v>
      </c>
      <c r="E1068">
        <v>40</v>
      </c>
      <c r="F1068">
        <v>46.153110503999997</v>
      </c>
      <c r="G1068">
        <v>1344.2094727000001</v>
      </c>
      <c r="H1068">
        <v>1340.0272216999999</v>
      </c>
      <c r="I1068">
        <v>1321.3286132999999</v>
      </c>
      <c r="J1068">
        <v>1315.8591309000001</v>
      </c>
      <c r="K1068">
        <v>550</v>
      </c>
      <c r="L1068">
        <v>0</v>
      </c>
      <c r="M1068">
        <v>0</v>
      </c>
      <c r="N1068">
        <v>550</v>
      </c>
    </row>
    <row r="1069" spans="1:14" x14ac:dyDescent="0.25">
      <c r="A1069">
        <v>1256.6081200000001</v>
      </c>
      <c r="B1069" s="1">
        <f>DATE(2013,10,8) + TIME(14,35,41)</f>
        <v>41555.608113425929</v>
      </c>
      <c r="C1069">
        <v>80</v>
      </c>
      <c r="D1069">
        <v>79.865989685000002</v>
      </c>
      <c r="E1069">
        <v>40</v>
      </c>
      <c r="F1069">
        <v>46.689334869</v>
      </c>
      <c r="G1069">
        <v>1344.1883545000001</v>
      </c>
      <c r="H1069">
        <v>1340.0124512</v>
      </c>
      <c r="I1069">
        <v>1321.3581543</v>
      </c>
      <c r="J1069">
        <v>1315.9133300999999</v>
      </c>
      <c r="K1069">
        <v>550</v>
      </c>
      <c r="L1069">
        <v>0</v>
      </c>
      <c r="M1069">
        <v>0</v>
      </c>
      <c r="N1069">
        <v>550</v>
      </c>
    </row>
    <row r="1070" spans="1:14" x14ac:dyDescent="0.25">
      <c r="A1070">
        <v>1260.5537629999999</v>
      </c>
      <c r="B1070" s="1">
        <f>DATE(2013,10,12) + TIME(13,17,25)</f>
        <v>41559.553761574076</v>
      </c>
      <c r="C1070">
        <v>80</v>
      </c>
      <c r="D1070">
        <v>79.866073607999994</v>
      </c>
      <c r="E1070">
        <v>40</v>
      </c>
      <c r="F1070">
        <v>47.236854553000001</v>
      </c>
      <c r="G1070">
        <v>1344.166626</v>
      </c>
      <c r="H1070">
        <v>1339.9974365</v>
      </c>
      <c r="I1070">
        <v>1321.3905029</v>
      </c>
      <c r="J1070">
        <v>1315.9716797000001</v>
      </c>
      <c r="K1070">
        <v>550</v>
      </c>
      <c r="L1070">
        <v>0</v>
      </c>
      <c r="M1070">
        <v>0</v>
      </c>
      <c r="N1070">
        <v>550</v>
      </c>
    </row>
    <row r="1071" spans="1:14" x14ac:dyDescent="0.25">
      <c r="A1071">
        <v>1264.5838900000001</v>
      </c>
      <c r="B1071" s="1">
        <f>DATE(2013,10,16) + TIME(14,0,48)</f>
        <v>41563.58388888889</v>
      </c>
      <c r="C1071">
        <v>80</v>
      </c>
      <c r="D1071">
        <v>79.866157532000003</v>
      </c>
      <c r="E1071">
        <v>40</v>
      </c>
      <c r="F1071">
        <v>47.790016174000002</v>
      </c>
      <c r="G1071">
        <v>1344.1452637</v>
      </c>
      <c r="H1071">
        <v>1339.9826660000001</v>
      </c>
      <c r="I1071">
        <v>1321.4241943</v>
      </c>
      <c r="J1071">
        <v>1316.0329589999999</v>
      </c>
      <c r="K1071">
        <v>550</v>
      </c>
      <c r="L1071">
        <v>0</v>
      </c>
      <c r="M1071">
        <v>0</v>
      </c>
      <c r="N1071">
        <v>550</v>
      </c>
    </row>
    <row r="1072" spans="1:14" x14ac:dyDescent="0.25">
      <c r="A1072">
        <v>1268.7187570000001</v>
      </c>
      <c r="B1072" s="1">
        <f>DATE(2013,10,20) + TIME(17,15,0)</f>
        <v>41567.71875</v>
      </c>
      <c r="C1072">
        <v>80</v>
      </c>
      <c r="D1072">
        <v>79.866241454999994</v>
      </c>
      <c r="E1072">
        <v>40</v>
      </c>
      <c r="F1072">
        <v>48.346393585000001</v>
      </c>
      <c r="G1072">
        <v>1344.1240233999999</v>
      </c>
      <c r="H1072">
        <v>1339.9680175999999</v>
      </c>
      <c r="I1072">
        <v>1321.4593506000001</v>
      </c>
      <c r="J1072">
        <v>1316.0970459</v>
      </c>
      <c r="K1072">
        <v>550</v>
      </c>
      <c r="L1072">
        <v>0</v>
      </c>
      <c r="M1072">
        <v>0</v>
      </c>
      <c r="N1072">
        <v>550</v>
      </c>
    </row>
    <row r="1073" spans="1:14" x14ac:dyDescent="0.25">
      <c r="A1073">
        <v>1272.9765219999999</v>
      </c>
      <c r="B1073" s="1">
        <f>DATE(2013,10,24) + TIME(23,26,11)</f>
        <v>41571.9765162037</v>
      </c>
      <c r="C1073">
        <v>80</v>
      </c>
      <c r="D1073">
        <v>79.866340636999993</v>
      </c>
      <c r="E1073">
        <v>40</v>
      </c>
      <c r="F1073">
        <v>48.904708862</v>
      </c>
      <c r="G1073">
        <v>1344.1026611</v>
      </c>
      <c r="H1073">
        <v>1339.9533690999999</v>
      </c>
      <c r="I1073">
        <v>1321.4962158000001</v>
      </c>
      <c r="J1073">
        <v>1316.1638184000001</v>
      </c>
      <c r="K1073">
        <v>550</v>
      </c>
      <c r="L1073">
        <v>0</v>
      </c>
      <c r="M1073">
        <v>0</v>
      </c>
      <c r="N1073">
        <v>550</v>
      </c>
    </row>
    <row r="1074" spans="1:14" x14ac:dyDescent="0.25">
      <c r="A1074">
        <v>1277.3427449999999</v>
      </c>
      <c r="B1074" s="1">
        <f>DATE(2013,10,29) + TIME(8,13,33)</f>
        <v>41576.342743055553</v>
      </c>
      <c r="C1074">
        <v>80</v>
      </c>
      <c r="D1074">
        <v>79.866439818999993</v>
      </c>
      <c r="E1074">
        <v>40</v>
      </c>
      <c r="F1074">
        <v>49.462474823000001</v>
      </c>
      <c r="G1074">
        <v>1344.0814209</v>
      </c>
      <c r="H1074">
        <v>1339.9387207</v>
      </c>
      <c r="I1074">
        <v>1321.5349120999999</v>
      </c>
      <c r="J1074">
        <v>1316.2332764</v>
      </c>
      <c r="K1074">
        <v>550</v>
      </c>
      <c r="L1074">
        <v>0</v>
      </c>
      <c r="M1074">
        <v>0</v>
      </c>
      <c r="N1074">
        <v>550</v>
      </c>
    </row>
    <row r="1075" spans="1:14" x14ac:dyDescent="0.25">
      <c r="A1075">
        <v>1280</v>
      </c>
      <c r="B1075" s="1">
        <f>DATE(2013,11,1) + TIME(0,0,0)</f>
        <v>41579</v>
      </c>
      <c r="C1075">
        <v>80</v>
      </c>
      <c r="D1075">
        <v>79.866447449000006</v>
      </c>
      <c r="E1075">
        <v>40</v>
      </c>
      <c r="F1075">
        <v>49.896820067999997</v>
      </c>
      <c r="G1075">
        <v>1344.0603027</v>
      </c>
      <c r="H1075">
        <v>1339.9244385</v>
      </c>
      <c r="I1075">
        <v>1321.5788574000001</v>
      </c>
      <c r="J1075">
        <v>1316.3009033000001</v>
      </c>
      <c r="K1075">
        <v>550</v>
      </c>
      <c r="L1075">
        <v>0</v>
      </c>
      <c r="M1075">
        <v>0</v>
      </c>
      <c r="N1075">
        <v>550</v>
      </c>
    </row>
    <row r="1076" spans="1:14" x14ac:dyDescent="0.25">
      <c r="A1076">
        <v>1280.0000010000001</v>
      </c>
      <c r="B1076" s="1">
        <f>DATE(2013,11,1) + TIME(0,0,0)</f>
        <v>41579</v>
      </c>
      <c r="C1076">
        <v>80</v>
      </c>
      <c r="D1076">
        <v>79.866424561000002</v>
      </c>
      <c r="E1076">
        <v>40</v>
      </c>
      <c r="F1076">
        <v>49.896850585999999</v>
      </c>
      <c r="G1076">
        <v>1339.7246094</v>
      </c>
      <c r="H1076">
        <v>1338.0531006000001</v>
      </c>
      <c r="I1076">
        <v>1327.2012939000001</v>
      </c>
      <c r="J1076">
        <v>1321.8223877</v>
      </c>
      <c r="K1076">
        <v>0</v>
      </c>
      <c r="L1076">
        <v>550</v>
      </c>
      <c r="M1076">
        <v>550</v>
      </c>
      <c r="N1076">
        <v>0</v>
      </c>
    </row>
    <row r="1077" spans="1:14" x14ac:dyDescent="0.25">
      <c r="A1077">
        <v>1280.000004</v>
      </c>
      <c r="B1077" s="1">
        <f>DATE(2013,11,1) + TIME(0,0,0)</f>
        <v>41579</v>
      </c>
      <c r="C1077">
        <v>80</v>
      </c>
      <c r="D1077">
        <v>79.866348267000006</v>
      </c>
      <c r="E1077">
        <v>40</v>
      </c>
      <c r="F1077">
        <v>49.896923065000003</v>
      </c>
      <c r="G1077">
        <v>1339.2198486</v>
      </c>
      <c r="H1077">
        <v>1337.5482178</v>
      </c>
      <c r="I1077">
        <v>1327.7597656</v>
      </c>
      <c r="J1077">
        <v>1322.4698486</v>
      </c>
      <c r="K1077">
        <v>0</v>
      </c>
      <c r="L1077">
        <v>550</v>
      </c>
      <c r="M1077">
        <v>550</v>
      </c>
      <c r="N1077">
        <v>0</v>
      </c>
    </row>
    <row r="1078" spans="1:14" x14ac:dyDescent="0.25">
      <c r="A1078">
        <v>1280.0000130000001</v>
      </c>
      <c r="B1078" s="1">
        <f>DATE(2013,11,1) + TIME(0,0,1)</f>
        <v>41579.000011574077</v>
      </c>
      <c r="C1078">
        <v>80</v>
      </c>
      <c r="D1078">
        <v>79.866203307999996</v>
      </c>
      <c r="E1078">
        <v>40</v>
      </c>
      <c r="F1078">
        <v>49.897079468000001</v>
      </c>
      <c r="G1078">
        <v>1338.199707</v>
      </c>
      <c r="H1078">
        <v>1336.5252685999999</v>
      </c>
      <c r="I1078">
        <v>1329.0612793</v>
      </c>
      <c r="J1078">
        <v>1323.9163818</v>
      </c>
      <c r="K1078">
        <v>0</v>
      </c>
      <c r="L1078">
        <v>550</v>
      </c>
      <c r="M1078">
        <v>550</v>
      </c>
      <c r="N1078">
        <v>0</v>
      </c>
    </row>
    <row r="1079" spans="1:14" x14ac:dyDescent="0.25">
      <c r="A1079">
        <v>1280.0000399999999</v>
      </c>
      <c r="B1079" s="1">
        <f>DATE(2013,11,1) + TIME(0,0,3)</f>
        <v>41579.000034722223</v>
      </c>
      <c r="C1079">
        <v>80</v>
      </c>
      <c r="D1079">
        <v>79.865989685000002</v>
      </c>
      <c r="E1079">
        <v>40</v>
      </c>
      <c r="F1079">
        <v>49.897293091000002</v>
      </c>
      <c r="G1079">
        <v>1336.7041016000001</v>
      </c>
      <c r="H1079">
        <v>1335.0192870999999</v>
      </c>
      <c r="I1079">
        <v>1331.3433838000001</v>
      </c>
      <c r="J1079">
        <v>1326.2777100000001</v>
      </c>
      <c r="K1079">
        <v>0</v>
      </c>
      <c r="L1079">
        <v>550</v>
      </c>
      <c r="M1079">
        <v>550</v>
      </c>
      <c r="N1079">
        <v>0</v>
      </c>
    </row>
    <row r="1080" spans="1:14" x14ac:dyDescent="0.25">
      <c r="A1080">
        <v>1280.000121</v>
      </c>
      <c r="B1080" s="1">
        <f>DATE(2013,11,1) + TIME(0,0,10)</f>
        <v>41579.000115740739</v>
      </c>
      <c r="C1080">
        <v>80</v>
      </c>
      <c r="D1080">
        <v>79.865745544000006</v>
      </c>
      <c r="E1080">
        <v>40</v>
      </c>
      <c r="F1080">
        <v>49.897403717000003</v>
      </c>
      <c r="G1080">
        <v>1335.0177002</v>
      </c>
      <c r="H1080">
        <v>1333.3055420000001</v>
      </c>
      <c r="I1080">
        <v>1334.2883300999999</v>
      </c>
      <c r="J1080">
        <v>1329.2114257999999</v>
      </c>
      <c r="K1080">
        <v>0</v>
      </c>
      <c r="L1080">
        <v>550</v>
      </c>
      <c r="M1080">
        <v>550</v>
      </c>
      <c r="N1080">
        <v>0</v>
      </c>
    </row>
    <row r="1081" spans="1:14" x14ac:dyDescent="0.25">
      <c r="A1081">
        <v>1280.000364</v>
      </c>
      <c r="B1081" s="1">
        <f>DATE(2013,11,1) + TIME(0,0,31)</f>
        <v>41579.000358796293</v>
      </c>
      <c r="C1081">
        <v>80</v>
      </c>
      <c r="D1081">
        <v>79.865463257000002</v>
      </c>
      <c r="E1081">
        <v>40</v>
      </c>
      <c r="F1081">
        <v>49.897018433</v>
      </c>
      <c r="G1081">
        <v>1333.2652588000001</v>
      </c>
      <c r="H1081">
        <v>1331.4799805</v>
      </c>
      <c r="I1081">
        <v>1337.4169922000001</v>
      </c>
      <c r="J1081">
        <v>1332.3131103999999</v>
      </c>
      <c r="K1081">
        <v>0</v>
      </c>
      <c r="L1081">
        <v>550</v>
      </c>
      <c r="M1081">
        <v>550</v>
      </c>
      <c r="N1081">
        <v>0</v>
      </c>
    </row>
    <row r="1082" spans="1:14" x14ac:dyDescent="0.25">
      <c r="A1082">
        <v>1280.0010930000001</v>
      </c>
      <c r="B1082" s="1">
        <f>DATE(2013,11,1) + TIME(0,1,34)</f>
        <v>41579.001087962963</v>
      </c>
      <c r="C1082">
        <v>80</v>
      </c>
      <c r="D1082">
        <v>79.865119934000006</v>
      </c>
      <c r="E1082">
        <v>40</v>
      </c>
      <c r="F1082">
        <v>49.895057678000001</v>
      </c>
      <c r="G1082">
        <v>1331.4758300999999</v>
      </c>
      <c r="H1082">
        <v>1329.5472411999999</v>
      </c>
      <c r="I1082">
        <v>1340.4787598</v>
      </c>
      <c r="J1082">
        <v>1335.3398437999999</v>
      </c>
      <c r="K1082">
        <v>0</v>
      </c>
      <c r="L1082">
        <v>550</v>
      </c>
      <c r="M1082">
        <v>550</v>
      </c>
      <c r="N1082">
        <v>0</v>
      </c>
    </row>
    <row r="1083" spans="1:14" x14ac:dyDescent="0.25">
      <c r="A1083">
        <v>1280.0032799999999</v>
      </c>
      <c r="B1083" s="1">
        <f>DATE(2013,11,1) + TIME(0,4,43)</f>
        <v>41579.003275462965</v>
      </c>
      <c r="C1083">
        <v>80</v>
      </c>
      <c r="D1083">
        <v>79.864608765</v>
      </c>
      <c r="E1083">
        <v>40</v>
      </c>
      <c r="F1083">
        <v>49.888278960999997</v>
      </c>
      <c r="G1083">
        <v>1329.8531493999999</v>
      </c>
      <c r="H1083">
        <v>1327.7685547000001</v>
      </c>
      <c r="I1083">
        <v>1343.0656738</v>
      </c>
      <c r="J1083">
        <v>1337.8671875</v>
      </c>
      <c r="K1083">
        <v>0</v>
      </c>
      <c r="L1083">
        <v>550</v>
      </c>
      <c r="M1083">
        <v>550</v>
      </c>
      <c r="N1083">
        <v>0</v>
      </c>
    </row>
    <row r="1084" spans="1:14" x14ac:dyDescent="0.25">
      <c r="A1084">
        <v>1280.0098410000001</v>
      </c>
      <c r="B1084" s="1">
        <f>DATE(2013,11,1) + TIME(0,14,10)</f>
        <v>41579.009837962964</v>
      </c>
      <c r="C1084">
        <v>80</v>
      </c>
      <c r="D1084">
        <v>79.863563537999994</v>
      </c>
      <c r="E1084">
        <v>40</v>
      </c>
      <c r="F1084">
        <v>49.867000580000003</v>
      </c>
      <c r="G1084">
        <v>1328.6574707</v>
      </c>
      <c r="H1084">
        <v>1326.4926757999999</v>
      </c>
      <c r="I1084">
        <v>1344.7454834</v>
      </c>
      <c r="J1084">
        <v>1339.4862060999999</v>
      </c>
      <c r="K1084">
        <v>0</v>
      </c>
      <c r="L1084">
        <v>550</v>
      </c>
      <c r="M1084">
        <v>550</v>
      </c>
      <c r="N1084">
        <v>0</v>
      </c>
    </row>
    <row r="1085" spans="1:14" x14ac:dyDescent="0.25">
      <c r="A1085">
        <v>1280.029524</v>
      </c>
      <c r="B1085" s="1">
        <f>DATE(2013,11,1) + TIME(0,42,30)</f>
        <v>41579.029513888891</v>
      </c>
      <c r="C1085">
        <v>80</v>
      </c>
      <c r="D1085">
        <v>79.860839843999997</v>
      </c>
      <c r="E1085">
        <v>40</v>
      </c>
      <c r="F1085">
        <v>49.802646637000002</v>
      </c>
      <c r="G1085">
        <v>1327.9541016000001</v>
      </c>
      <c r="H1085">
        <v>1325.7701416</v>
      </c>
      <c r="I1085">
        <v>1345.5378418</v>
      </c>
      <c r="J1085">
        <v>1340.2379149999999</v>
      </c>
      <c r="K1085">
        <v>0</v>
      </c>
      <c r="L1085">
        <v>550</v>
      </c>
      <c r="M1085">
        <v>550</v>
      </c>
      <c r="N1085">
        <v>0</v>
      </c>
    </row>
    <row r="1086" spans="1:14" x14ac:dyDescent="0.25">
      <c r="A1086">
        <v>1280.088573</v>
      </c>
      <c r="B1086" s="1">
        <f>DATE(2013,11,1) + TIME(2,7,32)</f>
        <v>41579.088564814818</v>
      </c>
      <c r="C1086">
        <v>80</v>
      </c>
      <c r="D1086">
        <v>79.852996825999995</v>
      </c>
      <c r="E1086">
        <v>40</v>
      </c>
      <c r="F1086">
        <v>49.612930298000002</v>
      </c>
      <c r="G1086">
        <v>1327.6312256000001</v>
      </c>
      <c r="H1086">
        <v>1325.4453125</v>
      </c>
      <c r="I1086">
        <v>1345.7713623</v>
      </c>
      <c r="J1086">
        <v>1340.4503173999999</v>
      </c>
      <c r="K1086">
        <v>0</v>
      </c>
      <c r="L1086">
        <v>550</v>
      </c>
      <c r="M1086">
        <v>550</v>
      </c>
      <c r="N1086">
        <v>0</v>
      </c>
    </row>
    <row r="1087" spans="1:14" x14ac:dyDescent="0.25">
      <c r="A1087">
        <v>1280.2657200000001</v>
      </c>
      <c r="B1087" s="1">
        <f>DATE(2013,11,1) + TIME(6,22,38)</f>
        <v>41579.265717592592</v>
      </c>
      <c r="C1087">
        <v>80</v>
      </c>
      <c r="D1087">
        <v>79.830268860000004</v>
      </c>
      <c r="E1087">
        <v>40</v>
      </c>
      <c r="F1087">
        <v>49.078113555999998</v>
      </c>
      <c r="G1087">
        <v>1327.53125</v>
      </c>
      <c r="H1087">
        <v>1325.3450928</v>
      </c>
      <c r="I1087">
        <v>1345.784668</v>
      </c>
      <c r="J1087">
        <v>1340.4429932</v>
      </c>
      <c r="K1087">
        <v>0</v>
      </c>
      <c r="L1087">
        <v>550</v>
      </c>
      <c r="M1087">
        <v>550</v>
      </c>
      <c r="N1087">
        <v>0</v>
      </c>
    </row>
    <row r="1088" spans="1:14" x14ac:dyDescent="0.25">
      <c r="A1088">
        <v>1280.5614169999999</v>
      </c>
      <c r="B1088" s="1">
        <f>DATE(2013,11,1) + TIME(13,28,26)</f>
        <v>41579.561412037037</v>
      </c>
      <c r="C1088">
        <v>80</v>
      </c>
      <c r="D1088">
        <v>79.793678283999995</v>
      </c>
      <c r="E1088">
        <v>40</v>
      </c>
      <c r="F1088">
        <v>48.272335052000003</v>
      </c>
      <c r="G1088">
        <v>1327.5102539</v>
      </c>
      <c r="H1088">
        <v>1325.3233643000001</v>
      </c>
      <c r="I1088">
        <v>1345.7640381000001</v>
      </c>
      <c r="J1088">
        <v>1340.3994141000001</v>
      </c>
      <c r="K1088">
        <v>0</v>
      </c>
      <c r="L1088">
        <v>550</v>
      </c>
      <c r="M1088">
        <v>550</v>
      </c>
      <c r="N1088">
        <v>0</v>
      </c>
    </row>
    <row r="1089" spans="1:14" x14ac:dyDescent="0.25">
      <c r="A1089">
        <v>1280.889561</v>
      </c>
      <c r="B1089" s="1">
        <f>DATE(2013,11,1) + TIME(21,20,58)</f>
        <v>41579.889560185184</v>
      </c>
      <c r="C1089">
        <v>80</v>
      </c>
      <c r="D1089">
        <v>79.754028320000003</v>
      </c>
      <c r="E1089">
        <v>40</v>
      </c>
      <c r="F1089">
        <v>47.473018646</v>
      </c>
      <c r="G1089">
        <v>1327.4991454999999</v>
      </c>
      <c r="H1089">
        <v>1325.3109131000001</v>
      </c>
      <c r="I1089">
        <v>1345.7373047000001</v>
      </c>
      <c r="J1089">
        <v>1340.3544922000001</v>
      </c>
      <c r="K1089">
        <v>0</v>
      </c>
      <c r="L1089">
        <v>550</v>
      </c>
      <c r="M1089">
        <v>550</v>
      </c>
      <c r="N1089">
        <v>0</v>
      </c>
    </row>
    <row r="1090" spans="1:14" x14ac:dyDescent="0.25">
      <c r="A1090">
        <v>1281.2572379999999</v>
      </c>
      <c r="B1090" s="1">
        <f>DATE(2013,11,2) + TIME(6,10,25)</f>
        <v>41580.257233796299</v>
      </c>
      <c r="C1090">
        <v>80</v>
      </c>
      <c r="D1090">
        <v>79.710731506000002</v>
      </c>
      <c r="E1090">
        <v>40</v>
      </c>
      <c r="F1090">
        <v>46.680778502999999</v>
      </c>
      <c r="G1090">
        <v>1327.4885254000001</v>
      </c>
      <c r="H1090">
        <v>1325.2984618999999</v>
      </c>
      <c r="I1090">
        <v>1345.7110596</v>
      </c>
      <c r="J1090">
        <v>1340.3103027</v>
      </c>
      <c r="K1090">
        <v>0</v>
      </c>
      <c r="L1090">
        <v>550</v>
      </c>
      <c r="M1090">
        <v>550</v>
      </c>
      <c r="N1090">
        <v>0</v>
      </c>
    </row>
    <row r="1091" spans="1:14" x14ac:dyDescent="0.25">
      <c r="A1091">
        <v>1281.6483880000001</v>
      </c>
      <c r="B1091" s="1">
        <f>DATE(2013,11,2) + TIME(15,33,40)</f>
        <v>41580.648379629631</v>
      </c>
      <c r="C1091">
        <v>80</v>
      </c>
      <c r="D1091">
        <v>79.665733337000006</v>
      </c>
      <c r="E1091">
        <v>40</v>
      </c>
      <c r="F1091">
        <v>45.939067841000004</v>
      </c>
      <c r="G1091">
        <v>1327.4769286999999</v>
      </c>
      <c r="H1091">
        <v>1325.2849120999999</v>
      </c>
      <c r="I1091">
        <v>1345.6848144999999</v>
      </c>
      <c r="J1091">
        <v>1340.2679443</v>
      </c>
      <c r="K1091">
        <v>0</v>
      </c>
      <c r="L1091">
        <v>550</v>
      </c>
      <c r="M1091">
        <v>550</v>
      </c>
      <c r="N1091">
        <v>0</v>
      </c>
    </row>
    <row r="1092" spans="1:14" x14ac:dyDescent="0.25">
      <c r="A1092">
        <v>1282.0523310000001</v>
      </c>
      <c r="B1092" s="1">
        <f>DATE(2013,11,3) + TIME(1,15,21)</f>
        <v>41581.05232638889</v>
      </c>
      <c r="C1092">
        <v>80</v>
      </c>
      <c r="D1092">
        <v>79.620231627999999</v>
      </c>
      <c r="E1092">
        <v>40</v>
      </c>
      <c r="F1092">
        <v>45.266151428000001</v>
      </c>
      <c r="G1092">
        <v>1327.4648437999999</v>
      </c>
      <c r="H1092">
        <v>1325.2705077999999</v>
      </c>
      <c r="I1092">
        <v>1345.6600341999999</v>
      </c>
      <c r="J1092">
        <v>1340.2290039</v>
      </c>
      <c r="K1092">
        <v>0</v>
      </c>
      <c r="L1092">
        <v>550</v>
      </c>
      <c r="M1092">
        <v>550</v>
      </c>
      <c r="N1092">
        <v>0</v>
      </c>
    </row>
    <row r="1093" spans="1:14" x14ac:dyDescent="0.25">
      <c r="A1093">
        <v>1282.470118</v>
      </c>
      <c r="B1093" s="1">
        <f>DATE(2013,11,3) + TIME(11,16,58)</f>
        <v>41581.47011574074</v>
      </c>
      <c r="C1093">
        <v>80</v>
      </c>
      <c r="D1093">
        <v>79.574142456000004</v>
      </c>
      <c r="E1093">
        <v>40</v>
      </c>
      <c r="F1093">
        <v>44.655952454000001</v>
      </c>
      <c r="G1093">
        <v>1327.4525146000001</v>
      </c>
      <c r="H1093">
        <v>1325.2554932</v>
      </c>
      <c r="I1093">
        <v>1345.637207</v>
      </c>
      <c r="J1093">
        <v>1340.1934814000001</v>
      </c>
      <c r="K1093">
        <v>0</v>
      </c>
      <c r="L1093">
        <v>550</v>
      </c>
      <c r="M1093">
        <v>550</v>
      </c>
      <c r="N1093">
        <v>0</v>
      </c>
    </row>
    <row r="1094" spans="1:14" x14ac:dyDescent="0.25">
      <c r="A1094">
        <v>1282.90246</v>
      </c>
      <c r="B1094" s="1">
        <f>DATE(2013,11,3) + TIME(21,39,32)</f>
        <v>41581.902453703704</v>
      </c>
      <c r="C1094">
        <v>80</v>
      </c>
      <c r="D1094">
        <v>79.527420043999996</v>
      </c>
      <c r="E1094">
        <v>40</v>
      </c>
      <c r="F1094">
        <v>44.103565216</v>
      </c>
      <c r="G1094">
        <v>1327.4398193</v>
      </c>
      <c r="H1094">
        <v>1325.2399902</v>
      </c>
      <c r="I1094">
        <v>1345.6162108999999</v>
      </c>
      <c r="J1094">
        <v>1340.1612548999999</v>
      </c>
      <c r="K1094">
        <v>0</v>
      </c>
      <c r="L1094">
        <v>550</v>
      </c>
      <c r="M1094">
        <v>550</v>
      </c>
      <c r="N1094">
        <v>0</v>
      </c>
    </row>
    <row r="1095" spans="1:14" x14ac:dyDescent="0.25">
      <c r="A1095">
        <v>1283.3501859999999</v>
      </c>
      <c r="B1095" s="1">
        <f>DATE(2013,11,4) + TIME(8,24,16)</f>
        <v>41582.350185185183</v>
      </c>
      <c r="C1095">
        <v>80</v>
      </c>
      <c r="D1095">
        <v>79.480003357000001</v>
      </c>
      <c r="E1095">
        <v>40</v>
      </c>
      <c r="F1095">
        <v>43.604427338000001</v>
      </c>
      <c r="G1095">
        <v>1327.4267577999999</v>
      </c>
      <c r="H1095">
        <v>1325.2238769999999</v>
      </c>
      <c r="I1095">
        <v>1345.5970459</v>
      </c>
      <c r="J1095">
        <v>1340.1319579999999</v>
      </c>
      <c r="K1095">
        <v>0</v>
      </c>
      <c r="L1095">
        <v>550</v>
      </c>
      <c r="M1095">
        <v>550</v>
      </c>
      <c r="N1095">
        <v>0</v>
      </c>
    </row>
    <row r="1096" spans="1:14" x14ac:dyDescent="0.25">
      <c r="A1096">
        <v>1283.814181</v>
      </c>
      <c r="B1096" s="1">
        <f>DATE(2013,11,4) + TIME(19,32,25)</f>
        <v>41582.81417824074</v>
      </c>
      <c r="C1096">
        <v>80</v>
      </c>
      <c r="D1096">
        <v>79.431838988999999</v>
      </c>
      <c r="E1096">
        <v>40</v>
      </c>
      <c r="F1096">
        <v>43.154346466</v>
      </c>
      <c r="G1096">
        <v>1327.4133300999999</v>
      </c>
      <c r="H1096">
        <v>1325.2071533000001</v>
      </c>
      <c r="I1096">
        <v>1345.5794678</v>
      </c>
      <c r="J1096">
        <v>1340.1053466999999</v>
      </c>
      <c r="K1096">
        <v>0</v>
      </c>
      <c r="L1096">
        <v>550</v>
      </c>
      <c r="M1096">
        <v>550</v>
      </c>
      <c r="N1096">
        <v>0</v>
      </c>
    </row>
    <row r="1097" spans="1:14" x14ac:dyDescent="0.25">
      <c r="A1097">
        <v>1284.2953070000001</v>
      </c>
      <c r="B1097" s="1">
        <f>DATE(2013,11,5) + TIME(7,5,14)</f>
        <v>41583.295300925929</v>
      </c>
      <c r="C1097">
        <v>80</v>
      </c>
      <c r="D1097">
        <v>79.382858275999993</v>
      </c>
      <c r="E1097">
        <v>40</v>
      </c>
      <c r="F1097">
        <v>42.749523162999999</v>
      </c>
      <c r="G1097">
        <v>1327.3994141000001</v>
      </c>
      <c r="H1097">
        <v>1325.1896973</v>
      </c>
      <c r="I1097">
        <v>1345.5633545000001</v>
      </c>
      <c r="J1097">
        <v>1340.0814209</v>
      </c>
      <c r="K1097">
        <v>0</v>
      </c>
      <c r="L1097">
        <v>550</v>
      </c>
      <c r="M1097">
        <v>550</v>
      </c>
      <c r="N1097">
        <v>0</v>
      </c>
    </row>
    <row r="1098" spans="1:14" x14ac:dyDescent="0.25">
      <c r="A1098">
        <v>1284.794433</v>
      </c>
      <c r="B1098" s="1">
        <f>DATE(2013,11,5) + TIME(19,3,58)</f>
        <v>41583.794421296298</v>
      </c>
      <c r="C1098">
        <v>80</v>
      </c>
      <c r="D1098">
        <v>79.333023071</v>
      </c>
      <c r="E1098">
        <v>40</v>
      </c>
      <c r="F1098">
        <v>42.386451721</v>
      </c>
      <c r="G1098">
        <v>1327.3851318</v>
      </c>
      <c r="H1098">
        <v>1325.1716309000001</v>
      </c>
      <c r="I1098">
        <v>1345.5487060999999</v>
      </c>
      <c r="J1098">
        <v>1340.0599365</v>
      </c>
      <c r="K1098">
        <v>0</v>
      </c>
      <c r="L1098">
        <v>550</v>
      </c>
      <c r="M1098">
        <v>550</v>
      </c>
      <c r="N1098">
        <v>0</v>
      </c>
    </row>
    <row r="1099" spans="1:14" x14ac:dyDescent="0.25">
      <c r="A1099">
        <v>1285.3129060000001</v>
      </c>
      <c r="B1099" s="1">
        <f>DATE(2013,11,6) + TIME(7,30,35)</f>
        <v>41584.312905092593</v>
      </c>
      <c r="C1099">
        <v>80</v>
      </c>
      <c r="D1099">
        <v>79.282218932999996</v>
      </c>
      <c r="E1099">
        <v>40</v>
      </c>
      <c r="F1099">
        <v>42.061611176</v>
      </c>
      <c r="G1099">
        <v>1327.3703613</v>
      </c>
      <c r="H1099">
        <v>1325.1527100000001</v>
      </c>
      <c r="I1099">
        <v>1345.5354004000001</v>
      </c>
      <c r="J1099">
        <v>1340.0406493999999</v>
      </c>
      <c r="K1099">
        <v>0</v>
      </c>
      <c r="L1099">
        <v>550</v>
      </c>
      <c r="M1099">
        <v>550</v>
      </c>
      <c r="N1099">
        <v>0</v>
      </c>
    </row>
    <row r="1100" spans="1:14" x14ac:dyDescent="0.25">
      <c r="A1100">
        <v>1285.8519269999999</v>
      </c>
      <c r="B1100" s="1">
        <f>DATE(2013,11,6) + TIME(20,26,46)</f>
        <v>41584.851921296293</v>
      </c>
      <c r="C1100">
        <v>80</v>
      </c>
      <c r="D1100">
        <v>79.230384826999995</v>
      </c>
      <c r="E1100">
        <v>40</v>
      </c>
      <c r="F1100">
        <v>41.771907806000002</v>
      </c>
      <c r="G1100">
        <v>1327.3552245999999</v>
      </c>
      <c r="H1100">
        <v>1325.1331786999999</v>
      </c>
      <c r="I1100">
        <v>1345.5233154</v>
      </c>
      <c r="J1100">
        <v>1340.0234375</v>
      </c>
      <c r="K1100">
        <v>0</v>
      </c>
      <c r="L1100">
        <v>550</v>
      </c>
      <c r="M1100">
        <v>550</v>
      </c>
      <c r="N1100">
        <v>0</v>
      </c>
    </row>
    <row r="1101" spans="1:14" x14ac:dyDescent="0.25">
      <c r="A1101">
        <v>1286.412808</v>
      </c>
      <c r="B1101" s="1">
        <f>DATE(2013,11,7) + TIME(9,54,26)</f>
        <v>41585.412800925929</v>
      </c>
      <c r="C1101">
        <v>80</v>
      </c>
      <c r="D1101">
        <v>79.177429199000002</v>
      </c>
      <c r="E1101">
        <v>40</v>
      </c>
      <c r="F1101">
        <v>41.514438628999997</v>
      </c>
      <c r="G1101">
        <v>1327.3393555</v>
      </c>
      <c r="H1101">
        <v>1325.112793</v>
      </c>
      <c r="I1101">
        <v>1345.5124512</v>
      </c>
      <c r="J1101">
        <v>1340.0081786999999</v>
      </c>
      <c r="K1101">
        <v>0</v>
      </c>
      <c r="L1101">
        <v>550</v>
      </c>
      <c r="M1101">
        <v>550</v>
      </c>
      <c r="N1101">
        <v>0</v>
      </c>
    </row>
    <row r="1102" spans="1:14" x14ac:dyDescent="0.25">
      <c r="A1102">
        <v>1286.996977</v>
      </c>
      <c r="B1102" s="1">
        <f>DATE(2013,11,7) + TIME(23,55,38)</f>
        <v>41585.996967592589</v>
      </c>
      <c r="C1102">
        <v>80</v>
      </c>
      <c r="D1102">
        <v>79.123260497999993</v>
      </c>
      <c r="E1102">
        <v>40</v>
      </c>
      <c r="F1102">
        <v>41.286495209000002</v>
      </c>
      <c r="G1102">
        <v>1327.3229980000001</v>
      </c>
      <c r="H1102">
        <v>1325.0914307</v>
      </c>
      <c r="I1102">
        <v>1345.5026855000001</v>
      </c>
      <c r="J1102">
        <v>1339.9946289</v>
      </c>
      <c r="K1102">
        <v>0</v>
      </c>
      <c r="L1102">
        <v>550</v>
      </c>
      <c r="M1102">
        <v>550</v>
      </c>
      <c r="N1102">
        <v>0</v>
      </c>
    </row>
    <row r="1103" spans="1:14" x14ac:dyDescent="0.25">
      <c r="A1103">
        <v>1287.605988</v>
      </c>
      <c r="B1103" s="1">
        <f>DATE(2013,11,8) + TIME(14,32,37)</f>
        <v>41586.605983796297</v>
      </c>
      <c r="C1103">
        <v>80</v>
      </c>
      <c r="D1103">
        <v>79.067779540999993</v>
      </c>
      <c r="E1103">
        <v>40</v>
      </c>
      <c r="F1103">
        <v>41.085525513</v>
      </c>
      <c r="G1103">
        <v>1327.3060303</v>
      </c>
      <c r="H1103">
        <v>1325.0693358999999</v>
      </c>
      <c r="I1103">
        <v>1345.4940185999999</v>
      </c>
      <c r="J1103">
        <v>1339.9829102000001</v>
      </c>
      <c r="K1103">
        <v>0</v>
      </c>
      <c r="L1103">
        <v>550</v>
      </c>
      <c r="M1103">
        <v>550</v>
      </c>
      <c r="N1103">
        <v>0</v>
      </c>
    </row>
    <row r="1104" spans="1:14" x14ac:dyDescent="0.25">
      <c r="A1104">
        <v>1288.241542</v>
      </c>
      <c r="B1104" s="1">
        <f>DATE(2013,11,9) + TIME(5,47,49)</f>
        <v>41587.241539351853</v>
      </c>
      <c r="C1104">
        <v>80</v>
      </c>
      <c r="D1104">
        <v>79.010887146000002</v>
      </c>
      <c r="E1104">
        <v>40</v>
      </c>
      <c r="F1104">
        <v>40.909126282000003</v>
      </c>
      <c r="G1104">
        <v>1327.2883300999999</v>
      </c>
      <c r="H1104">
        <v>1325.0461425999999</v>
      </c>
      <c r="I1104">
        <v>1345.4863281</v>
      </c>
      <c r="J1104">
        <v>1339.9725341999999</v>
      </c>
      <c r="K1104">
        <v>0</v>
      </c>
      <c r="L1104">
        <v>550</v>
      </c>
      <c r="M1104">
        <v>550</v>
      </c>
      <c r="N1104">
        <v>0</v>
      </c>
    </row>
    <row r="1105" spans="1:14" x14ac:dyDescent="0.25">
      <c r="A1105">
        <v>1288.905475</v>
      </c>
      <c r="B1105" s="1">
        <f>DATE(2013,11,9) + TIME(21,43,53)</f>
        <v>41587.905474537038</v>
      </c>
      <c r="C1105">
        <v>80</v>
      </c>
      <c r="D1105">
        <v>78.952476501000007</v>
      </c>
      <c r="E1105">
        <v>40</v>
      </c>
      <c r="F1105">
        <v>40.755054473999998</v>
      </c>
      <c r="G1105">
        <v>1327.2698975000001</v>
      </c>
      <c r="H1105">
        <v>1325.0218506000001</v>
      </c>
      <c r="I1105">
        <v>1345.4794922000001</v>
      </c>
      <c r="J1105">
        <v>1339.9637451000001</v>
      </c>
      <c r="K1105">
        <v>0</v>
      </c>
      <c r="L1105">
        <v>550</v>
      </c>
      <c r="M1105">
        <v>550</v>
      </c>
      <c r="N1105">
        <v>0</v>
      </c>
    </row>
    <row r="1106" spans="1:14" x14ac:dyDescent="0.25">
      <c r="A1106">
        <v>1289.5998300000001</v>
      </c>
      <c r="B1106" s="1">
        <f>DATE(2013,11,10) + TIME(14,23,45)</f>
        <v>41588.599826388891</v>
      </c>
      <c r="C1106">
        <v>80</v>
      </c>
      <c r="D1106">
        <v>78.892417907999999</v>
      </c>
      <c r="E1106">
        <v>40</v>
      </c>
      <c r="F1106">
        <v>40.621181487999998</v>
      </c>
      <c r="G1106">
        <v>1327.2507324000001</v>
      </c>
      <c r="H1106">
        <v>1324.996582</v>
      </c>
      <c r="I1106">
        <v>1345.4736327999999</v>
      </c>
      <c r="J1106">
        <v>1339.9561768000001</v>
      </c>
      <c r="K1106">
        <v>0</v>
      </c>
      <c r="L1106">
        <v>550</v>
      </c>
      <c r="M1106">
        <v>550</v>
      </c>
      <c r="N1106">
        <v>0</v>
      </c>
    </row>
    <row r="1107" spans="1:14" x14ac:dyDescent="0.25">
      <c r="A1107">
        <v>1290.326857</v>
      </c>
      <c r="B1107" s="1">
        <f>DATE(2013,11,11) + TIME(7,50,40)</f>
        <v>41589.326851851853</v>
      </c>
      <c r="C1107">
        <v>80</v>
      </c>
      <c r="D1107">
        <v>78.830581664999997</v>
      </c>
      <c r="E1107">
        <v>40</v>
      </c>
      <c r="F1107">
        <v>40.505512238000001</v>
      </c>
      <c r="G1107">
        <v>1327.2305908000001</v>
      </c>
      <c r="H1107">
        <v>1324.9699707</v>
      </c>
      <c r="I1107">
        <v>1345.4685059000001</v>
      </c>
      <c r="J1107">
        <v>1339.9498291</v>
      </c>
      <c r="K1107">
        <v>0</v>
      </c>
      <c r="L1107">
        <v>550</v>
      </c>
      <c r="M1107">
        <v>550</v>
      </c>
      <c r="N1107">
        <v>0</v>
      </c>
    </row>
    <row r="1108" spans="1:14" x14ac:dyDescent="0.25">
      <c r="A1108">
        <v>1291.0887399999999</v>
      </c>
      <c r="B1108" s="1">
        <f>DATE(2013,11,12) + TIME(2,7,47)</f>
        <v>41590.088738425926</v>
      </c>
      <c r="C1108">
        <v>80</v>
      </c>
      <c r="D1108">
        <v>78.766845703000001</v>
      </c>
      <c r="E1108">
        <v>40</v>
      </c>
      <c r="F1108">
        <v>40.406196594000001</v>
      </c>
      <c r="G1108">
        <v>1327.2097168</v>
      </c>
      <c r="H1108">
        <v>1324.9421387</v>
      </c>
      <c r="I1108">
        <v>1345.4642334</v>
      </c>
      <c r="J1108">
        <v>1339.9445800999999</v>
      </c>
      <c r="K1108">
        <v>0</v>
      </c>
      <c r="L1108">
        <v>550</v>
      </c>
      <c r="M1108">
        <v>550</v>
      </c>
      <c r="N1108">
        <v>0</v>
      </c>
    </row>
    <row r="1109" spans="1:14" x14ac:dyDescent="0.25">
      <c r="A1109">
        <v>1291.888426</v>
      </c>
      <c r="B1109" s="1">
        <f>DATE(2013,11,12) + TIME(21,19,20)</f>
        <v>41590.888425925928</v>
      </c>
      <c r="C1109">
        <v>80</v>
      </c>
      <c r="D1109">
        <v>78.701042174999998</v>
      </c>
      <c r="E1109">
        <v>40</v>
      </c>
      <c r="F1109">
        <v>40.321449280000003</v>
      </c>
      <c r="G1109">
        <v>1327.1877440999999</v>
      </c>
      <c r="H1109">
        <v>1324.9129639</v>
      </c>
      <c r="I1109">
        <v>1345.4605713000001</v>
      </c>
      <c r="J1109">
        <v>1339.9403076000001</v>
      </c>
      <c r="K1109">
        <v>0</v>
      </c>
      <c r="L1109">
        <v>550</v>
      </c>
      <c r="M1109">
        <v>550</v>
      </c>
      <c r="N1109">
        <v>0</v>
      </c>
    </row>
    <row r="1110" spans="1:14" x14ac:dyDescent="0.25">
      <c r="A1110">
        <v>1292.7289820000001</v>
      </c>
      <c r="B1110" s="1">
        <f>DATE(2013,11,13) + TIME(17,29,44)</f>
        <v>41591.728981481479</v>
      </c>
      <c r="C1110">
        <v>80</v>
      </c>
      <c r="D1110">
        <v>78.633010863999999</v>
      </c>
      <c r="E1110">
        <v>40</v>
      </c>
      <c r="F1110">
        <v>40.249626159999998</v>
      </c>
      <c r="G1110">
        <v>1327.1646728999999</v>
      </c>
      <c r="H1110">
        <v>1324.8823242000001</v>
      </c>
      <c r="I1110">
        <v>1345.4576416</v>
      </c>
      <c r="J1110">
        <v>1339.9368896000001</v>
      </c>
      <c r="K1110">
        <v>0</v>
      </c>
      <c r="L1110">
        <v>550</v>
      </c>
      <c r="M1110">
        <v>550</v>
      </c>
      <c r="N1110">
        <v>0</v>
      </c>
    </row>
    <row r="1111" spans="1:14" x14ac:dyDescent="0.25">
      <c r="A1111">
        <v>1293.6137699999999</v>
      </c>
      <c r="B1111" s="1">
        <f>DATE(2013,11,14) + TIME(14,43,49)</f>
        <v>41592.613761574074</v>
      </c>
      <c r="C1111">
        <v>80</v>
      </c>
      <c r="D1111">
        <v>78.562561035000002</v>
      </c>
      <c r="E1111">
        <v>40</v>
      </c>
      <c r="F1111">
        <v>40.189197540000002</v>
      </c>
      <c r="G1111">
        <v>1327.1405029</v>
      </c>
      <c r="H1111">
        <v>1324.8499756000001</v>
      </c>
      <c r="I1111">
        <v>1345.4553223</v>
      </c>
      <c r="J1111">
        <v>1339.9343262</v>
      </c>
      <c r="K1111">
        <v>0</v>
      </c>
      <c r="L1111">
        <v>550</v>
      </c>
      <c r="M1111">
        <v>550</v>
      </c>
      <c r="N1111">
        <v>0</v>
      </c>
    </row>
    <row r="1112" spans="1:14" x14ac:dyDescent="0.25">
      <c r="A1112">
        <v>1294.5465369999999</v>
      </c>
      <c r="B1112" s="1">
        <f>DATE(2013,11,15) + TIME(13,7,0)</f>
        <v>41593.546527777777</v>
      </c>
      <c r="C1112">
        <v>80</v>
      </c>
      <c r="D1112">
        <v>78.489509583</v>
      </c>
      <c r="E1112">
        <v>40</v>
      </c>
      <c r="F1112">
        <v>40.138748169000003</v>
      </c>
      <c r="G1112">
        <v>1327.1151123</v>
      </c>
      <c r="H1112">
        <v>1324.815918</v>
      </c>
      <c r="I1112">
        <v>1345.4536132999999</v>
      </c>
      <c r="J1112">
        <v>1339.9324951000001</v>
      </c>
      <c r="K1112">
        <v>0</v>
      </c>
      <c r="L1112">
        <v>550</v>
      </c>
      <c r="M1112">
        <v>550</v>
      </c>
      <c r="N1112">
        <v>0</v>
      </c>
    </row>
    <row r="1113" spans="1:14" x14ac:dyDescent="0.25">
      <c r="A1113">
        <v>1295.531471</v>
      </c>
      <c r="B1113" s="1">
        <f>DATE(2013,11,16) + TIME(12,45,19)</f>
        <v>41594.531469907408</v>
      </c>
      <c r="C1113">
        <v>80</v>
      </c>
      <c r="D1113">
        <v>78.413627625000004</v>
      </c>
      <c r="E1113">
        <v>40</v>
      </c>
      <c r="F1113">
        <v>40.096977234000001</v>
      </c>
      <c r="G1113">
        <v>1327.0882568</v>
      </c>
      <c r="H1113">
        <v>1324.7800293</v>
      </c>
      <c r="I1113">
        <v>1345.4525146000001</v>
      </c>
      <c r="J1113">
        <v>1339.9311522999999</v>
      </c>
      <c r="K1113">
        <v>0</v>
      </c>
      <c r="L1113">
        <v>550</v>
      </c>
      <c r="M1113">
        <v>550</v>
      </c>
      <c r="N1113">
        <v>0</v>
      </c>
    </row>
    <row r="1114" spans="1:14" x14ac:dyDescent="0.25">
      <c r="A1114">
        <v>1296.5596069999999</v>
      </c>
      <c r="B1114" s="1">
        <f>DATE(2013,11,17) + TIME(13,25,50)</f>
        <v>41595.559606481482</v>
      </c>
      <c r="C1114">
        <v>80</v>
      </c>
      <c r="D1114">
        <v>78.335525512999993</v>
      </c>
      <c r="E1114">
        <v>40</v>
      </c>
      <c r="F1114">
        <v>40.063041687000002</v>
      </c>
      <c r="G1114">
        <v>1327.0599365</v>
      </c>
      <c r="H1114">
        <v>1324.7420654</v>
      </c>
      <c r="I1114">
        <v>1345.4519043</v>
      </c>
      <c r="J1114">
        <v>1339.9305420000001</v>
      </c>
      <c r="K1114">
        <v>0</v>
      </c>
      <c r="L1114">
        <v>550</v>
      </c>
      <c r="M1114">
        <v>550</v>
      </c>
      <c r="N1114">
        <v>0</v>
      </c>
    </row>
    <row r="1115" spans="1:14" x14ac:dyDescent="0.25">
      <c r="A1115">
        <v>1297.6153280000001</v>
      </c>
      <c r="B1115" s="1">
        <f>DATE(2013,11,18) + TIME(14,46,4)</f>
        <v>41596.615324074075</v>
      </c>
      <c r="C1115">
        <v>80</v>
      </c>
      <c r="D1115">
        <v>78.256202697999996</v>
      </c>
      <c r="E1115">
        <v>40</v>
      </c>
      <c r="F1115">
        <v>40.036022185999997</v>
      </c>
      <c r="G1115">
        <v>1327.0305175999999</v>
      </c>
      <c r="H1115">
        <v>1324.7025146000001</v>
      </c>
      <c r="I1115">
        <v>1345.4516602000001</v>
      </c>
      <c r="J1115">
        <v>1339.9304199000001</v>
      </c>
      <c r="K1115">
        <v>0</v>
      </c>
      <c r="L1115">
        <v>550</v>
      </c>
      <c r="M1115">
        <v>550</v>
      </c>
      <c r="N1115">
        <v>0</v>
      </c>
    </row>
    <row r="1116" spans="1:14" x14ac:dyDescent="0.25">
      <c r="A1116">
        <v>1298.7013939999999</v>
      </c>
      <c r="B1116" s="1">
        <f>DATE(2013,11,19) + TIME(16,50,0)</f>
        <v>41597.701388888891</v>
      </c>
      <c r="C1116">
        <v>80</v>
      </c>
      <c r="D1116">
        <v>78.175544739000003</v>
      </c>
      <c r="E1116">
        <v>40</v>
      </c>
      <c r="F1116">
        <v>40.014556884999998</v>
      </c>
      <c r="G1116">
        <v>1327.0001221</v>
      </c>
      <c r="H1116">
        <v>1324.6617432</v>
      </c>
      <c r="I1116">
        <v>1345.4519043</v>
      </c>
      <c r="J1116">
        <v>1339.9306641000001</v>
      </c>
      <c r="K1116">
        <v>0</v>
      </c>
      <c r="L1116">
        <v>550</v>
      </c>
      <c r="M1116">
        <v>550</v>
      </c>
      <c r="N1116">
        <v>0</v>
      </c>
    </row>
    <row r="1117" spans="1:14" x14ac:dyDescent="0.25">
      <c r="A1117">
        <v>1299.820054</v>
      </c>
      <c r="B1117" s="1">
        <f>DATE(2013,11,20) + TIME(19,40,52)</f>
        <v>41598.8200462963</v>
      </c>
      <c r="C1117">
        <v>80</v>
      </c>
      <c r="D1117">
        <v>78.093475342000005</v>
      </c>
      <c r="E1117">
        <v>40</v>
      </c>
      <c r="F1117">
        <v>39.997547150000003</v>
      </c>
      <c r="G1117">
        <v>1326.9688721</v>
      </c>
      <c r="H1117">
        <v>1324.6196289</v>
      </c>
      <c r="I1117">
        <v>1345.4525146000001</v>
      </c>
      <c r="J1117">
        <v>1339.9311522999999</v>
      </c>
      <c r="K1117">
        <v>0</v>
      </c>
      <c r="L1117">
        <v>550</v>
      </c>
      <c r="M1117">
        <v>550</v>
      </c>
      <c r="N1117">
        <v>0</v>
      </c>
    </row>
    <row r="1118" spans="1:14" x14ac:dyDescent="0.25">
      <c r="A1118">
        <v>1300.973706</v>
      </c>
      <c r="B1118" s="1">
        <f>DATE(2013,11,21) + TIME(23,22,8)</f>
        <v>41599.973703703705</v>
      </c>
      <c r="C1118">
        <v>80</v>
      </c>
      <c r="D1118">
        <v>78.009895325000002</v>
      </c>
      <c r="E1118">
        <v>40</v>
      </c>
      <c r="F1118">
        <v>39.984107971</v>
      </c>
      <c r="G1118">
        <v>1326.9365233999999</v>
      </c>
      <c r="H1118">
        <v>1324.5760498</v>
      </c>
      <c r="I1118">
        <v>1345.4533690999999</v>
      </c>
      <c r="J1118">
        <v>1339.9318848</v>
      </c>
      <c r="K1118">
        <v>0</v>
      </c>
      <c r="L1118">
        <v>550</v>
      </c>
      <c r="M1118">
        <v>550</v>
      </c>
      <c r="N1118">
        <v>0</v>
      </c>
    </row>
    <row r="1119" spans="1:14" x14ac:dyDescent="0.25">
      <c r="A1119">
        <v>1302.1649159999999</v>
      </c>
      <c r="B1119" s="1">
        <f>DATE(2013,11,23) + TIME(3,57,28)</f>
        <v>41601.164907407408</v>
      </c>
      <c r="C1119">
        <v>80</v>
      </c>
      <c r="D1119">
        <v>77.924713135000005</v>
      </c>
      <c r="E1119">
        <v>40</v>
      </c>
      <c r="F1119">
        <v>39.973518372000001</v>
      </c>
      <c r="G1119">
        <v>1326.9031981999999</v>
      </c>
      <c r="H1119">
        <v>1324.5311279</v>
      </c>
      <c r="I1119">
        <v>1345.4544678</v>
      </c>
      <c r="J1119">
        <v>1339.9328613</v>
      </c>
      <c r="K1119">
        <v>0</v>
      </c>
      <c r="L1119">
        <v>550</v>
      </c>
      <c r="M1119">
        <v>550</v>
      </c>
      <c r="N1119">
        <v>0</v>
      </c>
    </row>
    <row r="1120" spans="1:14" x14ac:dyDescent="0.25">
      <c r="A1120">
        <v>1303.3964189999999</v>
      </c>
      <c r="B1120" s="1">
        <f>DATE(2013,11,24) + TIME(9,30,50)</f>
        <v>41602.396412037036</v>
      </c>
      <c r="C1120">
        <v>80</v>
      </c>
      <c r="D1120">
        <v>77.837821959999999</v>
      </c>
      <c r="E1120">
        <v>40</v>
      </c>
      <c r="F1120">
        <v>39.965190886999999</v>
      </c>
      <c r="G1120">
        <v>1326.8686522999999</v>
      </c>
      <c r="H1120">
        <v>1324.4844971</v>
      </c>
      <c r="I1120">
        <v>1345.4558105000001</v>
      </c>
      <c r="J1120">
        <v>1339.9339600000001</v>
      </c>
      <c r="K1120">
        <v>0</v>
      </c>
      <c r="L1120">
        <v>550</v>
      </c>
      <c r="M1120">
        <v>550</v>
      </c>
      <c r="N1120">
        <v>0</v>
      </c>
    </row>
    <row r="1121" spans="1:14" x14ac:dyDescent="0.25">
      <c r="A1121">
        <v>1304.6711829999999</v>
      </c>
      <c r="B1121" s="1">
        <f>DATE(2013,11,25) + TIME(16,6,30)</f>
        <v>41603.671180555553</v>
      </c>
      <c r="C1121">
        <v>80</v>
      </c>
      <c r="D1121">
        <v>77.749107361</v>
      </c>
      <c r="E1121">
        <v>40</v>
      </c>
      <c r="F1121">
        <v>39.958660125999998</v>
      </c>
      <c r="G1121">
        <v>1326.8330077999999</v>
      </c>
      <c r="H1121">
        <v>1324.4362793</v>
      </c>
      <c r="I1121">
        <v>1345.4573975000001</v>
      </c>
      <c r="J1121">
        <v>1339.9351807</v>
      </c>
      <c r="K1121">
        <v>0</v>
      </c>
      <c r="L1121">
        <v>550</v>
      </c>
      <c r="M1121">
        <v>550</v>
      </c>
      <c r="N1121">
        <v>0</v>
      </c>
    </row>
    <row r="1122" spans="1:14" x14ac:dyDescent="0.25">
      <c r="A1122">
        <v>1305.9924169999999</v>
      </c>
      <c r="B1122" s="1">
        <f>DATE(2013,11,26) + TIME(23,49,4)</f>
        <v>41604.992407407408</v>
      </c>
      <c r="C1122">
        <v>80</v>
      </c>
      <c r="D1122">
        <v>77.658439635999997</v>
      </c>
      <c r="E1122">
        <v>40</v>
      </c>
      <c r="F1122">
        <v>39.953540801999999</v>
      </c>
      <c r="G1122">
        <v>1326.7960204999999</v>
      </c>
      <c r="H1122">
        <v>1324.3861084</v>
      </c>
      <c r="I1122">
        <v>1345.4591064000001</v>
      </c>
      <c r="J1122">
        <v>1339.9365233999999</v>
      </c>
      <c r="K1122">
        <v>0</v>
      </c>
      <c r="L1122">
        <v>550</v>
      </c>
      <c r="M1122">
        <v>550</v>
      </c>
      <c r="N1122">
        <v>0</v>
      </c>
    </row>
    <row r="1123" spans="1:14" x14ac:dyDescent="0.25">
      <c r="A1123">
        <v>1307.3636160000001</v>
      </c>
      <c r="B1123" s="1">
        <f>DATE(2013,11,28) + TIME(8,43,36)</f>
        <v>41606.363611111112</v>
      </c>
      <c r="C1123">
        <v>80</v>
      </c>
      <c r="D1123">
        <v>77.565681458</v>
      </c>
      <c r="E1123">
        <v>40</v>
      </c>
      <c r="F1123">
        <v>39.94953537</v>
      </c>
      <c r="G1123">
        <v>1326.7575684000001</v>
      </c>
      <c r="H1123">
        <v>1324.3342285000001</v>
      </c>
      <c r="I1123">
        <v>1345.4610596</v>
      </c>
      <c r="J1123">
        <v>1339.9379882999999</v>
      </c>
      <c r="K1123">
        <v>0</v>
      </c>
      <c r="L1123">
        <v>550</v>
      </c>
      <c r="M1123">
        <v>550</v>
      </c>
      <c r="N1123">
        <v>0</v>
      </c>
    </row>
    <row r="1124" spans="1:14" x14ac:dyDescent="0.25">
      <c r="A1124">
        <v>1308.7883859999999</v>
      </c>
      <c r="B1124" s="1">
        <f>DATE(2013,11,29) + TIME(18,55,16)</f>
        <v>41607.78837962963</v>
      </c>
      <c r="C1124">
        <v>80</v>
      </c>
      <c r="D1124">
        <v>77.470703125</v>
      </c>
      <c r="E1124">
        <v>40</v>
      </c>
      <c r="F1124">
        <v>39.946403502999999</v>
      </c>
      <c r="G1124">
        <v>1326.7177733999999</v>
      </c>
      <c r="H1124">
        <v>1324.2801514</v>
      </c>
      <c r="I1124">
        <v>1345.4630127</v>
      </c>
      <c r="J1124">
        <v>1339.9394531</v>
      </c>
      <c r="K1124">
        <v>0</v>
      </c>
      <c r="L1124">
        <v>550</v>
      </c>
      <c r="M1124">
        <v>550</v>
      </c>
      <c r="N1124">
        <v>0</v>
      </c>
    </row>
    <row r="1125" spans="1:14" x14ac:dyDescent="0.25">
      <c r="A1125">
        <v>1310</v>
      </c>
      <c r="B1125" s="1">
        <f>DATE(2013,12,1) + TIME(0,0,0)</f>
        <v>41609</v>
      </c>
      <c r="C1125">
        <v>80</v>
      </c>
      <c r="D1125">
        <v>77.387207031000003</v>
      </c>
      <c r="E1125">
        <v>40</v>
      </c>
      <c r="F1125">
        <v>39.944313049000002</v>
      </c>
      <c r="G1125">
        <v>1326.6772461</v>
      </c>
      <c r="H1125">
        <v>1324.2258300999999</v>
      </c>
      <c r="I1125">
        <v>1345.4652100000001</v>
      </c>
      <c r="J1125">
        <v>1339.940918</v>
      </c>
      <c r="K1125">
        <v>0</v>
      </c>
      <c r="L1125">
        <v>550</v>
      </c>
      <c r="M1125">
        <v>550</v>
      </c>
      <c r="N1125">
        <v>0</v>
      </c>
    </row>
    <row r="1126" spans="1:14" x14ac:dyDescent="0.25">
      <c r="A1126">
        <v>1311.482186</v>
      </c>
      <c r="B1126" s="1">
        <f>DATE(2013,12,2) + TIME(11,34,20)</f>
        <v>41610.482175925928</v>
      </c>
      <c r="C1126">
        <v>80</v>
      </c>
      <c r="D1126">
        <v>77.291183472</v>
      </c>
      <c r="E1126">
        <v>40</v>
      </c>
      <c r="F1126">
        <v>39.942378998000002</v>
      </c>
      <c r="G1126">
        <v>1326.6403809000001</v>
      </c>
      <c r="H1126">
        <v>1324.1750488</v>
      </c>
      <c r="I1126">
        <v>1345.4671631000001</v>
      </c>
      <c r="J1126">
        <v>1339.9422606999999</v>
      </c>
      <c r="K1126">
        <v>0</v>
      </c>
      <c r="L1126">
        <v>550</v>
      </c>
      <c r="M1126">
        <v>550</v>
      </c>
      <c r="N1126">
        <v>0</v>
      </c>
    </row>
    <row r="1127" spans="1:14" x14ac:dyDescent="0.25">
      <c r="A1127">
        <v>1313.0815459999999</v>
      </c>
      <c r="B1127" s="1">
        <f>DATE(2013,12,4) + TIME(1,57,25)</f>
        <v>41612.08153935185</v>
      </c>
      <c r="C1127">
        <v>80</v>
      </c>
      <c r="D1127">
        <v>77.189971924000005</v>
      </c>
      <c r="E1127">
        <v>40</v>
      </c>
      <c r="F1127">
        <v>39.940811156999999</v>
      </c>
      <c r="G1127">
        <v>1326.597168</v>
      </c>
      <c r="H1127">
        <v>1324.1162108999999</v>
      </c>
      <c r="I1127">
        <v>1345.4696045000001</v>
      </c>
      <c r="J1127">
        <v>1339.9437256000001</v>
      </c>
      <c r="K1127">
        <v>0</v>
      </c>
      <c r="L1127">
        <v>550</v>
      </c>
      <c r="M1127">
        <v>550</v>
      </c>
      <c r="N1127">
        <v>0</v>
      </c>
    </row>
    <row r="1128" spans="1:14" x14ac:dyDescent="0.25">
      <c r="A1128">
        <v>1314.7505249999999</v>
      </c>
      <c r="B1128" s="1">
        <f>DATE(2013,12,5) + TIME(18,0,45)</f>
        <v>41613.750520833331</v>
      </c>
      <c r="C1128">
        <v>80</v>
      </c>
      <c r="D1128">
        <v>77.085655212000006</v>
      </c>
      <c r="E1128">
        <v>40</v>
      </c>
      <c r="F1128">
        <v>39.939586638999998</v>
      </c>
      <c r="G1128">
        <v>1326.5507812000001</v>
      </c>
      <c r="H1128">
        <v>1324.0533447</v>
      </c>
      <c r="I1128">
        <v>1345.4722899999999</v>
      </c>
      <c r="J1128">
        <v>1339.9454346</v>
      </c>
      <c r="K1128">
        <v>0</v>
      </c>
      <c r="L1128">
        <v>550</v>
      </c>
      <c r="M1128">
        <v>550</v>
      </c>
      <c r="N1128">
        <v>0</v>
      </c>
    </row>
    <row r="1129" spans="1:14" x14ac:dyDescent="0.25">
      <c r="A1129">
        <v>1316.4923920000001</v>
      </c>
      <c r="B1129" s="1">
        <f>DATE(2013,12,7) + TIME(11,49,2)</f>
        <v>41615.492384259262</v>
      </c>
      <c r="C1129">
        <v>80</v>
      </c>
      <c r="D1129">
        <v>76.978164672999995</v>
      </c>
      <c r="E1129">
        <v>40</v>
      </c>
      <c r="F1129">
        <v>39.938629149999997</v>
      </c>
      <c r="G1129">
        <v>1326.5023193</v>
      </c>
      <c r="H1129">
        <v>1323.9875488</v>
      </c>
      <c r="I1129">
        <v>1345.4749756000001</v>
      </c>
      <c r="J1129">
        <v>1339.9471435999999</v>
      </c>
      <c r="K1129">
        <v>0</v>
      </c>
      <c r="L1129">
        <v>550</v>
      </c>
      <c r="M1129">
        <v>550</v>
      </c>
      <c r="N1129">
        <v>0</v>
      </c>
    </row>
    <row r="1130" spans="1:14" x14ac:dyDescent="0.25">
      <c r="A1130">
        <v>1318.280217</v>
      </c>
      <c r="B1130" s="1">
        <f>DATE(2013,12,9) + TIME(6,43,30)</f>
        <v>41617.28020833333</v>
      </c>
      <c r="C1130">
        <v>80</v>
      </c>
      <c r="D1130">
        <v>76.868721007999994</v>
      </c>
      <c r="E1130">
        <v>40</v>
      </c>
      <c r="F1130">
        <v>39.937892914000003</v>
      </c>
      <c r="G1130">
        <v>1326.4517822</v>
      </c>
      <c r="H1130">
        <v>1323.9188231999999</v>
      </c>
      <c r="I1130">
        <v>1345.4779053</v>
      </c>
      <c r="J1130">
        <v>1339.9487305</v>
      </c>
      <c r="K1130">
        <v>0</v>
      </c>
      <c r="L1130">
        <v>550</v>
      </c>
      <c r="M1130">
        <v>550</v>
      </c>
      <c r="N1130">
        <v>0</v>
      </c>
    </row>
    <row r="1131" spans="1:14" x14ac:dyDescent="0.25">
      <c r="A1131">
        <v>1320.118624</v>
      </c>
      <c r="B1131" s="1">
        <f>DATE(2013,12,11) + TIME(2,50,49)</f>
        <v>41619.118622685186</v>
      </c>
      <c r="C1131">
        <v>80</v>
      </c>
      <c r="D1131">
        <v>76.757308960000003</v>
      </c>
      <c r="E1131">
        <v>40</v>
      </c>
      <c r="F1131">
        <v>39.937320708999998</v>
      </c>
      <c r="G1131">
        <v>1326.3997803</v>
      </c>
      <c r="H1131">
        <v>1323.8479004000001</v>
      </c>
      <c r="I1131">
        <v>1345.4808350000001</v>
      </c>
      <c r="J1131">
        <v>1339.9504394999999</v>
      </c>
      <c r="K1131">
        <v>0</v>
      </c>
      <c r="L1131">
        <v>550</v>
      </c>
      <c r="M1131">
        <v>550</v>
      </c>
      <c r="N1131">
        <v>0</v>
      </c>
    </row>
    <row r="1132" spans="1:14" x14ac:dyDescent="0.25">
      <c r="A1132">
        <v>1322.0117499999999</v>
      </c>
      <c r="B1132" s="1">
        <f>DATE(2013,12,13) + TIME(0,16,55)</f>
        <v>41621.011747685188</v>
      </c>
      <c r="C1132">
        <v>80</v>
      </c>
      <c r="D1132">
        <v>76.643859863000003</v>
      </c>
      <c r="E1132">
        <v>40</v>
      </c>
      <c r="F1132">
        <v>39.936882019000002</v>
      </c>
      <c r="G1132">
        <v>1326.3460693</v>
      </c>
      <c r="H1132">
        <v>1323.7747803</v>
      </c>
      <c r="I1132">
        <v>1345.4838867000001</v>
      </c>
      <c r="J1132">
        <v>1339.9521483999999</v>
      </c>
      <c r="K1132">
        <v>0</v>
      </c>
      <c r="L1132">
        <v>550</v>
      </c>
      <c r="M1132">
        <v>550</v>
      </c>
      <c r="N1132">
        <v>0</v>
      </c>
    </row>
    <row r="1133" spans="1:14" x14ac:dyDescent="0.25">
      <c r="A1133">
        <v>1323.964082</v>
      </c>
      <c r="B1133" s="1">
        <f>DATE(2013,12,14) + TIME(23,8,16)</f>
        <v>41622.964074074072</v>
      </c>
      <c r="C1133">
        <v>80</v>
      </c>
      <c r="D1133">
        <v>76.528244018999999</v>
      </c>
      <c r="E1133">
        <v>40</v>
      </c>
      <c r="F1133">
        <v>39.936542510999999</v>
      </c>
      <c r="G1133">
        <v>1326.2907714999999</v>
      </c>
      <c r="H1133">
        <v>1323.6992187999999</v>
      </c>
      <c r="I1133">
        <v>1345.4869385</v>
      </c>
      <c r="J1133">
        <v>1339.9538574000001</v>
      </c>
      <c r="K1133">
        <v>0</v>
      </c>
      <c r="L1133">
        <v>550</v>
      </c>
      <c r="M1133">
        <v>550</v>
      </c>
      <c r="N1133">
        <v>0</v>
      </c>
    </row>
    <row r="1134" spans="1:14" x14ac:dyDescent="0.25">
      <c r="A1134">
        <v>1325.9803939999999</v>
      </c>
      <c r="B1134" s="1">
        <f>DATE(2013,12,16) + TIME(23,31,46)</f>
        <v>41624.980393518519</v>
      </c>
      <c r="C1134">
        <v>80</v>
      </c>
      <c r="D1134">
        <v>76.410301208000007</v>
      </c>
      <c r="E1134">
        <v>40</v>
      </c>
      <c r="F1134">
        <v>39.936283111999998</v>
      </c>
      <c r="G1134">
        <v>1326.2336425999999</v>
      </c>
      <c r="H1134">
        <v>1323.6213379000001</v>
      </c>
      <c r="I1134">
        <v>1345.4902344</v>
      </c>
      <c r="J1134">
        <v>1339.9555664</v>
      </c>
      <c r="K1134">
        <v>0</v>
      </c>
      <c r="L1134">
        <v>550</v>
      </c>
      <c r="M1134">
        <v>550</v>
      </c>
      <c r="N1134">
        <v>0</v>
      </c>
    </row>
    <row r="1135" spans="1:14" x14ac:dyDescent="0.25">
      <c r="A1135">
        <v>1328.0658120000001</v>
      </c>
      <c r="B1135" s="1">
        <f>DATE(2013,12,19) + TIME(1,34,46)</f>
        <v>41627.065810185188</v>
      </c>
      <c r="C1135">
        <v>80</v>
      </c>
      <c r="D1135">
        <v>76.289825438999998</v>
      </c>
      <c r="E1135">
        <v>40</v>
      </c>
      <c r="F1135">
        <v>39.936088562000002</v>
      </c>
      <c r="G1135">
        <v>1326.1746826000001</v>
      </c>
      <c r="H1135">
        <v>1323.5406493999999</v>
      </c>
      <c r="I1135">
        <v>1345.4935303</v>
      </c>
      <c r="J1135">
        <v>1339.9572754000001</v>
      </c>
      <c r="K1135">
        <v>0</v>
      </c>
      <c r="L1135">
        <v>550</v>
      </c>
      <c r="M1135">
        <v>550</v>
      </c>
      <c r="N1135">
        <v>0</v>
      </c>
    </row>
    <row r="1136" spans="1:14" x14ac:dyDescent="0.25">
      <c r="A1136">
        <v>1330.2258790000001</v>
      </c>
      <c r="B1136" s="1">
        <f>DATE(2013,12,21) + TIME(5,25,15)</f>
        <v>41629.225868055553</v>
      </c>
      <c r="C1136">
        <v>80</v>
      </c>
      <c r="D1136">
        <v>76.166542053000001</v>
      </c>
      <c r="E1136">
        <v>40</v>
      </c>
      <c r="F1136">
        <v>39.935943604000002</v>
      </c>
      <c r="G1136">
        <v>1326.1136475000001</v>
      </c>
      <c r="H1136">
        <v>1323.4571533000001</v>
      </c>
      <c r="I1136">
        <v>1345.4968262</v>
      </c>
      <c r="J1136">
        <v>1339.9589844</v>
      </c>
      <c r="K1136">
        <v>0</v>
      </c>
      <c r="L1136">
        <v>550</v>
      </c>
      <c r="M1136">
        <v>550</v>
      </c>
      <c r="N1136">
        <v>0</v>
      </c>
    </row>
    <row r="1137" spans="1:14" x14ac:dyDescent="0.25">
      <c r="A1137">
        <v>1332.465999</v>
      </c>
      <c r="B1137" s="1">
        <f>DATE(2013,12,23) + TIME(11,11,2)</f>
        <v>41631.465995370374</v>
      </c>
      <c r="C1137">
        <v>80</v>
      </c>
      <c r="D1137">
        <v>76.040191649999997</v>
      </c>
      <c r="E1137">
        <v>40</v>
      </c>
      <c r="F1137">
        <v>39.935840607000003</v>
      </c>
      <c r="G1137">
        <v>1326.0505370999999</v>
      </c>
      <c r="H1137">
        <v>1323.3707274999999</v>
      </c>
      <c r="I1137">
        <v>1345.5002440999999</v>
      </c>
      <c r="J1137">
        <v>1339.9608154</v>
      </c>
      <c r="K1137">
        <v>0</v>
      </c>
      <c r="L1137">
        <v>550</v>
      </c>
      <c r="M1137">
        <v>550</v>
      </c>
      <c r="N1137">
        <v>0</v>
      </c>
    </row>
    <row r="1138" spans="1:14" x14ac:dyDescent="0.25">
      <c r="A1138">
        <v>1334.7928199999999</v>
      </c>
      <c r="B1138" s="1">
        <f>DATE(2013,12,25) + TIME(19,1,39)</f>
        <v>41633.792812500003</v>
      </c>
      <c r="C1138">
        <v>80</v>
      </c>
      <c r="D1138">
        <v>75.910423279</v>
      </c>
      <c r="E1138">
        <v>40</v>
      </c>
      <c r="F1138">
        <v>39.935768127000003</v>
      </c>
      <c r="G1138">
        <v>1325.9849853999999</v>
      </c>
      <c r="H1138">
        <v>1323.2810059000001</v>
      </c>
      <c r="I1138">
        <v>1345.5037841999999</v>
      </c>
      <c r="J1138">
        <v>1339.9626464999999</v>
      </c>
      <c r="K1138">
        <v>0</v>
      </c>
      <c r="L1138">
        <v>550</v>
      </c>
      <c r="M1138">
        <v>550</v>
      </c>
      <c r="N1138">
        <v>0</v>
      </c>
    </row>
    <row r="1139" spans="1:14" x14ac:dyDescent="0.25">
      <c r="A1139">
        <v>1337.213829</v>
      </c>
      <c r="B1139" s="1">
        <f>DATE(2013,12,28) + TIME(5,7,54)</f>
        <v>41636.213819444441</v>
      </c>
      <c r="C1139">
        <v>80</v>
      </c>
      <c r="D1139">
        <v>75.776817321999999</v>
      </c>
      <c r="E1139">
        <v>40</v>
      </c>
      <c r="F1139">
        <v>39.935726166000002</v>
      </c>
      <c r="G1139">
        <v>1325.9171143000001</v>
      </c>
      <c r="H1139">
        <v>1323.1877440999999</v>
      </c>
      <c r="I1139">
        <v>1345.5074463000001</v>
      </c>
      <c r="J1139">
        <v>1339.9644774999999</v>
      </c>
      <c r="K1139">
        <v>0</v>
      </c>
      <c r="L1139">
        <v>550</v>
      </c>
      <c r="M1139">
        <v>550</v>
      </c>
      <c r="N1139">
        <v>0</v>
      </c>
    </row>
    <row r="1140" spans="1:14" x14ac:dyDescent="0.25">
      <c r="A1140">
        <v>1339.736913</v>
      </c>
      <c r="B1140" s="1">
        <f>DATE(2013,12,30) + TIME(17,41,9)</f>
        <v>41638.736909722225</v>
      </c>
      <c r="C1140">
        <v>80</v>
      </c>
      <c r="D1140">
        <v>75.638923645000006</v>
      </c>
      <c r="E1140">
        <v>40</v>
      </c>
      <c r="F1140">
        <v>39.935707092000001</v>
      </c>
      <c r="G1140">
        <v>1325.8465576000001</v>
      </c>
      <c r="H1140">
        <v>1323.0909423999999</v>
      </c>
      <c r="I1140">
        <v>1345.5111084</v>
      </c>
      <c r="J1140">
        <v>1339.9663086</v>
      </c>
      <c r="K1140">
        <v>0</v>
      </c>
      <c r="L1140">
        <v>550</v>
      </c>
      <c r="M1140">
        <v>550</v>
      </c>
      <c r="N1140">
        <v>0</v>
      </c>
    </row>
    <row r="1141" spans="1:14" x14ac:dyDescent="0.25">
      <c r="A1141">
        <v>1341</v>
      </c>
      <c r="B1141" s="1">
        <f>DATE(2014,1,1) + TIME(0,0,0)</f>
        <v>41640</v>
      </c>
      <c r="C1141">
        <v>80</v>
      </c>
      <c r="D1141">
        <v>75.552383422999995</v>
      </c>
      <c r="E1141">
        <v>40</v>
      </c>
      <c r="F1141">
        <v>39.935707092000001</v>
      </c>
      <c r="G1141">
        <v>1325.7777100000001</v>
      </c>
      <c r="H1141">
        <v>1322.9993896000001</v>
      </c>
      <c r="I1141">
        <v>1345.5144043</v>
      </c>
      <c r="J1141">
        <v>1339.9678954999999</v>
      </c>
      <c r="K1141">
        <v>0</v>
      </c>
      <c r="L1141">
        <v>550</v>
      </c>
      <c r="M1141">
        <v>550</v>
      </c>
      <c r="N1141">
        <v>0</v>
      </c>
    </row>
    <row r="1142" spans="1:14" x14ac:dyDescent="0.25">
      <c r="A1142">
        <v>1343.598759</v>
      </c>
      <c r="B1142" s="1">
        <f>DATE(2014,1,3) + TIME(14,22,12)</f>
        <v>41642.598749999997</v>
      </c>
      <c r="C1142">
        <v>80</v>
      </c>
      <c r="D1142">
        <v>75.417236328000001</v>
      </c>
      <c r="E1142">
        <v>40</v>
      </c>
      <c r="F1142">
        <v>39.935714722</v>
      </c>
      <c r="G1142">
        <v>1325.7322998</v>
      </c>
      <c r="H1142">
        <v>1322.9327393000001</v>
      </c>
      <c r="I1142">
        <v>1345.5168457</v>
      </c>
      <c r="J1142">
        <v>1339.9691161999999</v>
      </c>
      <c r="K1142">
        <v>0</v>
      </c>
      <c r="L1142">
        <v>550</v>
      </c>
      <c r="M1142">
        <v>550</v>
      </c>
      <c r="N1142">
        <v>0</v>
      </c>
    </row>
    <row r="1143" spans="1:14" x14ac:dyDescent="0.25">
      <c r="A1143">
        <v>1346.307724</v>
      </c>
      <c r="B1143" s="1">
        <f>DATE(2014,1,6) + TIME(7,23,7)</f>
        <v>41645.307719907411</v>
      </c>
      <c r="C1143">
        <v>80</v>
      </c>
      <c r="D1143">
        <v>75.274818420000003</v>
      </c>
      <c r="E1143">
        <v>40</v>
      </c>
      <c r="F1143">
        <v>39.935733794999997</v>
      </c>
      <c r="G1143">
        <v>1325.6582031</v>
      </c>
      <c r="H1143">
        <v>1322.8312988</v>
      </c>
      <c r="I1143">
        <v>1345.5206298999999</v>
      </c>
      <c r="J1143">
        <v>1339.9709473</v>
      </c>
      <c r="K1143">
        <v>0</v>
      </c>
      <c r="L1143">
        <v>550</v>
      </c>
      <c r="M1143">
        <v>550</v>
      </c>
      <c r="N1143">
        <v>0</v>
      </c>
    </row>
    <row r="1144" spans="1:14" x14ac:dyDescent="0.25">
      <c r="A1144">
        <v>1349.0983799999999</v>
      </c>
      <c r="B1144" s="1">
        <f>DATE(2014,1,9) + TIME(2,21,40)</f>
        <v>41648.098379629628</v>
      </c>
      <c r="C1144">
        <v>80</v>
      </c>
      <c r="D1144">
        <v>75.126457213999998</v>
      </c>
      <c r="E1144">
        <v>40</v>
      </c>
      <c r="F1144">
        <v>39.935764313</v>
      </c>
      <c r="G1144">
        <v>1325.5805664</v>
      </c>
      <c r="H1144">
        <v>1322.7247314000001</v>
      </c>
      <c r="I1144">
        <v>1345.5244141000001</v>
      </c>
      <c r="J1144">
        <v>1339.9730225000001</v>
      </c>
      <c r="K1144">
        <v>0</v>
      </c>
      <c r="L1144">
        <v>550</v>
      </c>
      <c r="M1144">
        <v>550</v>
      </c>
      <c r="N1144">
        <v>0</v>
      </c>
    </row>
    <row r="1145" spans="1:14" x14ac:dyDescent="0.25">
      <c r="A1145">
        <v>1351.978713</v>
      </c>
      <c r="B1145" s="1">
        <f>DATE(2014,1,11) + TIME(23,29,20)</f>
        <v>41650.978703703702</v>
      </c>
      <c r="C1145">
        <v>80</v>
      </c>
      <c r="D1145">
        <v>74.972358704000001</v>
      </c>
      <c r="E1145">
        <v>40</v>
      </c>
      <c r="F1145">
        <v>39.935802459999998</v>
      </c>
      <c r="G1145">
        <v>1325.5001221</v>
      </c>
      <c r="H1145">
        <v>1322.6140137</v>
      </c>
      <c r="I1145">
        <v>1345.5281981999999</v>
      </c>
      <c r="J1145">
        <v>1339.9749756000001</v>
      </c>
      <c r="K1145">
        <v>0</v>
      </c>
      <c r="L1145">
        <v>550</v>
      </c>
      <c r="M1145">
        <v>550</v>
      </c>
      <c r="N1145">
        <v>0</v>
      </c>
    </row>
    <row r="1146" spans="1:14" x14ac:dyDescent="0.25">
      <c r="A1146">
        <v>1354.9514039999999</v>
      </c>
      <c r="B1146" s="1">
        <f>DATE(2014,1,14) + TIME(22,50,1)</f>
        <v>41653.95140046296</v>
      </c>
      <c r="C1146">
        <v>80</v>
      </c>
      <c r="D1146">
        <v>74.812347411999994</v>
      </c>
      <c r="E1146">
        <v>40</v>
      </c>
      <c r="F1146">
        <v>39.935852050999998</v>
      </c>
      <c r="G1146">
        <v>1325.4171143000001</v>
      </c>
      <c r="H1146">
        <v>1322.4993896000001</v>
      </c>
      <c r="I1146">
        <v>1345.5321045000001</v>
      </c>
      <c r="J1146">
        <v>1339.9769286999999</v>
      </c>
      <c r="K1146">
        <v>0</v>
      </c>
      <c r="L1146">
        <v>550</v>
      </c>
      <c r="M1146">
        <v>550</v>
      </c>
      <c r="N1146">
        <v>0</v>
      </c>
    </row>
    <row r="1147" spans="1:14" x14ac:dyDescent="0.25">
      <c r="A1147">
        <v>1357.9975790000001</v>
      </c>
      <c r="B1147" s="1">
        <f>DATE(2014,1,17) + TIME(23,56,30)</f>
        <v>41656.997569444444</v>
      </c>
      <c r="C1147">
        <v>80</v>
      </c>
      <c r="D1147">
        <v>74.646919249999996</v>
      </c>
      <c r="E1147">
        <v>40</v>
      </c>
      <c r="F1147">
        <v>39.935901641999997</v>
      </c>
      <c r="G1147">
        <v>1325.3314209</v>
      </c>
      <c r="H1147">
        <v>1322.3811035000001</v>
      </c>
      <c r="I1147">
        <v>1345.5358887</v>
      </c>
      <c r="J1147">
        <v>1339.9790039</v>
      </c>
      <c r="K1147">
        <v>0</v>
      </c>
      <c r="L1147">
        <v>550</v>
      </c>
      <c r="M1147">
        <v>550</v>
      </c>
      <c r="N1147">
        <v>0</v>
      </c>
    </row>
    <row r="1148" spans="1:14" x14ac:dyDescent="0.25">
      <c r="A1148">
        <v>1361.0974329999999</v>
      </c>
      <c r="B1148" s="1">
        <f>DATE(2014,1,21) + TIME(2,20,18)</f>
        <v>41660.097430555557</v>
      </c>
      <c r="C1148">
        <v>80</v>
      </c>
      <c r="D1148">
        <v>74.476615906000006</v>
      </c>
      <c r="E1148">
        <v>40</v>
      </c>
      <c r="F1148">
        <v>39.935958862</v>
      </c>
      <c r="G1148">
        <v>1325.2437743999999</v>
      </c>
      <c r="H1148">
        <v>1322.2598877</v>
      </c>
      <c r="I1148">
        <v>1345.5397949000001</v>
      </c>
      <c r="J1148">
        <v>1339.9810791</v>
      </c>
      <c r="K1148">
        <v>0</v>
      </c>
      <c r="L1148">
        <v>550</v>
      </c>
      <c r="M1148">
        <v>550</v>
      </c>
      <c r="N1148">
        <v>0</v>
      </c>
    </row>
    <row r="1149" spans="1:14" x14ac:dyDescent="0.25">
      <c r="A1149">
        <v>1364.2657650000001</v>
      </c>
      <c r="B1149" s="1">
        <f>DATE(2014,1,24) + TIME(6,22,42)</f>
        <v>41663.265763888892</v>
      </c>
      <c r="C1149">
        <v>80</v>
      </c>
      <c r="D1149">
        <v>74.300941467000001</v>
      </c>
      <c r="E1149">
        <v>40</v>
      </c>
      <c r="F1149">
        <v>39.936019897000001</v>
      </c>
      <c r="G1149">
        <v>1325.1545410000001</v>
      </c>
      <c r="H1149">
        <v>1322.1362305</v>
      </c>
      <c r="I1149">
        <v>1345.543457</v>
      </c>
      <c r="J1149">
        <v>1339.9830322</v>
      </c>
      <c r="K1149">
        <v>0</v>
      </c>
      <c r="L1149">
        <v>550</v>
      </c>
      <c r="M1149">
        <v>550</v>
      </c>
      <c r="N1149">
        <v>0</v>
      </c>
    </row>
    <row r="1150" spans="1:14" x14ac:dyDescent="0.25">
      <c r="A1150">
        <v>1367.5178100000001</v>
      </c>
      <c r="B1150" s="1">
        <f>DATE(2014,1,27) + TIME(12,25,38)</f>
        <v>41666.517800925925</v>
      </c>
      <c r="C1150">
        <v>80</v>
      </c>
      <c r="D1150">
        <v>74.119033813000001</v>
      </c>
      <c r="E1150">
        <v>40</v>
      </c>
      <c r="F1150">
        <v>39.936080933</v>
      </c>
      <c r="G1150">
        <v>1325.0635986</v>
      </c>
      <c r="H1150">
        <v>1322.0100098</v>
      </c>
      <c r="I1150">
        <v>1345.5472411999999</v>
      </c>
      <c r="J1150">
        <v>1339.9851074000001</v>
      </c>
      <c r="K1150">
        <v>0</v>
      </c>
      <c r="L1150">
        <v>550</v>
      </c>
      <c r="M1150">
        <v>550</v>
      </c>
      <c r="N1150">
        <v>0</v>
      </c>
    </row>
    <row r="1151" spans="1:14" x14ac:dyDescent="0.25">
      <c r="A1151">
        <v>1370.870212</v>
      </c>
      <c r="B1151" s="1">
        <f>DATE(2014,1,30) + TIME(20,53,6)</f>
        <v>41669.870208333334</v>
      </c>
      <c r="C1151">
        <v>80</v>
      </c>
      <c r="D1151">
        <v>73.9296875</v>
      </c>
      <c r="E1151">
        <v>40</v>
      </c>
      <c r="F1151">
        <v>39.936145781999997</v>
      </c>
      <c r="G1151">
        <v>1324.9707031</v>
      </c>
      <c r="H1151">
        <v>1321.8808594</v>
      </c>
      <c r="I1151">
        <v>1345.5509033000001</v>
      </c>
      <c r="J1151">
        <v>1339.9871826000001</v>
      </c>
      <c r="K1151">
        <v>0</v>
      </c>
      <c r="L1151">
        <v>550</v>
      </c>
      <c r="M1151">
        <v>550</v>
      </c>
      <c r="N1151">
        <v>0</v>
      </c>
    </row>
    <row r="1152" spans="1:14" x14ac:dyDescent="0.25">
      <c r="A1152">
        <v>1372</v>
      </c>
      <c r="B1152" s="1">
        <f>DATE(2014,2,1) + TIME(0,0,0)</f>
        <v>41671</v>
      </c>
      <c r="C1152">
        <v>80</v>
      </c>
      <c r="D1152">
        <v>73.833221436000002</v>
      </c>
      <c r="E1152">
        <v>40</v>
      </c>
      <c r="F1152">
        <v>39.936168670999997</v>
      </c>
      <c r="G1152">
        <v>1324.8830565999999</v>
      </c>
      <c r="H1152">
        <v>1321.7646483999999</v>
      </c>
      <c r="I1152">
        <v>1345.5538329999999</v>
      </c>
      <c r="J1152">
        <v>1339.9888916</v>
      </c>
      <c r="K1152">
        <v>0</v>
      </c>
      <c r="L1152">
        <v>550</v>
      </c>
      <c r="M1152">
        <v>550</v>
      </c>
      <c r="N1152">
        <v>0</v>
      </c>
    </row>
    <row r="1153" spans="1:14" x14ac:dyDescent="0.25">
      <c r="A1153">
        <v>1375.4714309999999</v>
      </c>
      <c r="B1153" s="1">
        <f>DATE(2014,2,4) + TIME(11,18,51)</f>
        <v>41674.47142361111</v>
      </c>
      <c r="C1153">
        <v>80</v>
      </c>
      <c r="D1153">
        <v>73.648513793999996</v>
      </c>
      <c r="E1153">
        <v>40</v>
      </c>
      <c r="F1153">
        <v>39.936233520999998</v>
      </c>
      <c r="G1153">
        <v>1324.8369141000001</v>
      </c>
      <c r="H1153">
        <v>1321.6923827999999</v>
      </c>
      <c r="I1153">
        <v>1345.5557861</v>
      </c>
      <c r="J1153">
        <v>1339.9898682</v>
      </c>
      <c r="K1153">
        <v>0</v>
      </c>
      <c r="L1153">
        <v>550</v>
      </c>
      <c r="M1153">
        <v>550</v>
      </c>
      <c r="N1153">
        <v>0</v>
      </c>
    </row>
    <row r="1154" spans="1:14" x14ac:dyDescent="0.25">
      <c r="A1154">
        <v>1378.9961189999999</v>
      </c>
      <c r="B1154" s="1">
        <f>DATE(2014,2,7) + TIME(23,54,24)</f>
        <v>41677.996111111112</v>
      </c>
      <c r="C1154">
        <v>80</v>
      </c>
      <c r="D1154">
        <v>73.448234557999996</v>
      </c>
      <c r="E1154">
        <v>40</v>
      </c>
      <c r="F1154">
        <v>39.936302185000002</v>
      </c>
      <c r="G1154">
        <v>1324.7423096</v>
      </c>
      <c r="H1154">
        <v>1321.5616454999999</v>
      </c>
      <c r="I1154">
        <v>1345.5592041</v>
      </c>
      <c r="J1154">
        <v>1339.9920654</v>
      </c>
      <c r="K1154">
        <v>0</v>
      </c>
      <c r="L1154">
        <v>550</v>
      </c>
      <c r="M1154">
        <v>550</v>
      </c>
      <c r="N1154">
        <v>0</v>
      </c>
    </row>
    <row r="1155" spans="1:14" x14ac:dyDescent="0.25">
      <c r="A1155">
        <v>1382.556583</v>
      </c>
      <c r="B1155" s="1">
        <f>DATE(2014,2,11) + TIME(13,21,28)</f>
        <v>41681.556574074071</v>
      </c>
      <c r="C1155">
        <v>80</v>
      </c>
      <c r="D1155">
        <v>73.236488342000001</v>
      </c>
      <c r="E1155">
        <v>40</v>
      </c>
      <c r="F1155">
        <v>39.936367035000004</v>
      </c>
      <c r="G1155">
        <v>1324.6450195</v>
      </c>
      <c r="H1155">
        <v>1321.4262695</v>
      </c>
      <c r="I1155">
        <v>1345.5625</v>
      </c>
      <c r="J1155">
        <v>1339.9941406</v>
      </c>
      <c r="K1155">
        <v>0</v>
      </c>
      <c r="L1155">
        <v>550</v>
      </c>
      <c r="M1155">
        <v>550</v>
      </c>
      <c r="N1155">
        <v>0</v>
      </c>
    </row>
    <row r="1156" spans="1:14" x14ac:dyDescent="0.25">
      <c r="A1156">
        <v>1386.1663149999999</v>
      </c>
      <c r="B1156" s="1">
        <f>DATE(2014,2,15) + TIME(3,59,29)</f>
        <v>41685.166307870371</v>
      </c>
      <c r="C1156">
        <v>80</v>
      </c>
      <c r="D1156">
        <v>73.014762877999999</v>
      </c>
      <c r="E1156">
        <v>40</v>
      </c>
      <c r="F1156">
        <v>39.936431884999998</v>
      </c>
      <c r="G1156">
        <v>1324.5461425999999</v>
      </c>
      <c r="H1156">
        <v>1321.2880858999999</v>
      </c>
      <c r="I1156">
        <v>1345.5657959</v>
      </c>
      <c r="J1156">
        <v>1339.9962158000001</v>
      </c>
      <c r="K1156">
        <v>0</v>
      </c>
      <c r="L1156">
        <v>550</v>
      </c>
      <c r="M1156">
        <v>550</v>
      </c>
      <c r="N1156">
        <v>0</v>
      </c>
    </row>
    <row r="1157" spans="1:14" x14ac:dyDescent="0.25">
      <c r="A1157">
        <v>1389.842404</v>
      </c>
      <c r="B1157" s="1">
        <f>DATE(2014,2,18) + TIME(20,13,3)</f>
        <v>41688.842395833337</v>
      </c>
      <c r="C1157">
        <v>80</v>
      </c>
      <c r="D1157">
        <v>72.782974242999998</v>
      </c>
      <c r="E1157">
        <v>40</v>
      </c>
      <c r="F1157">
        <v>39.936500549000002</v>
      </c>
      <c r="G1157">
        <v>1324.4460449000001</v>
      </c>
      <c r="H1157">
        <v>1321.1478271000001</v>
      </c>
      <c r="I1157">
        <v>1345.5688477000001</v>
      </c>
      <c r="J1157">
        <v>1339.9982910000001</v>
      </c>
      <c r="K1157">
        <v>0</v>
      </c>
      <c r="L1157">
        <v>550</v>
      </c>
      <c r="M1157">
        <v>550</v>
      </c>
      <c r="N1157">
        <v>0</v>
      </c>
    </row>
    <row r="1158" spans="1:14" x14ac:dyDescent="0.25">
      <c r="A1158">
        <v>1393.601183</v>
      </c>
      <c r="B1158" s="1">
        <f>DATE(2014,2,22) + TIME(14,25,42)</f>
        <v>41692.601180555554</v>
      </c>
      <c r="C1158">
        <v>80</v>
      </c>
      <c r="D1158">
        <v>72.540214539000004</v>
      </c>
      <c r="E1158">
        <v>40</v>
      </c>
      <c r="F1158">
        <v>39.936569214000002</v>
      </c>
      <c r="G1158">
        <v>1324.3448486</v>
      </c>
      <c r="H1158">
        <v>1321.0054932</v>
      </c>
      <c r="I1158">
        <v>1345.5717772999999</v>
      </c>
      <c r="J1158">
        <v>1340.0002440999999</v>
      </c>
      <c r="K1158">
        <v>0</v>
      </c>
      <c r="L1158">
        <v>550</v>
      </c>
      <c r="M1158">
        <v>550</v>
      </c>
      <c r="N1158">
        <v>0</v>
      </c>
    </row>
    <row r="1159" spans="1:14" x14ac:dyDescent="0.25">
      <c r="A1159">
        <v>1397.460515</v>
      </c>
      <c r="B1159" s="1">
        <f>DATE(2014,2,26) + TIME(11,3,8)</f>
        <v>41696.460509259261</v>
      </c>
      <c r="C1159">
        <v>80</v>
      </c>
      <c r="D1159">
        <v>72.285057068</v>
      </c>
      <c r="E1159">
        <v>40</v>
      </c>
      <c r="F1159">
        <v>39.936634064000003</v>
      </c>
      <c r="G1159">
        <v>1324.2420654</v>
      </c>
      <c r="H1159">
        <v>1320.8608397999999</v>
      </c>
      <c r="I1159">
        <v>1345.5745850000001</v>
      </c>
      <c r="J1159">
        <v>1340.0021973</v>
      </c>
      <c r="K1159">
        <v>0</v>
      </c>
      <c r="L1159">
        <v>550</v>
      </c>
      <c r="M1159">
        <v>550</v>
      </c>
      <c r="N1159">
        <v>0</v>
      </c>
    </row>
    <row r="1160" spans="1:14" x14ac:dyDescent="0.25">
      <c r="A1160">
        <v>1400</v>
      </c>
      <c r="B1160" s="1">
        <f>DATE(2014,3,1) + TIME(0,0,0)</f>
        <v>41699</v>
      </c>
      <c r="C1160">
        <v>80</v>
      </c>
      <c r="D1160">
        <v>72.071365356000001</v>
      </c>
      <c r="E1160">
        <v>40</v>
      </c>
      <c r="F1160">
        <v>39.936679839999996</v>
      </c>
      <c r="G1160">
        <v>1324.1407471</v>
      </c>
      <c r="H1160">
        <v>1320.7211914</v>
      </c>
      <c r="I1160">
        <v>1345.5770264</v>
      </c>
      <c r="J1160">
        <v>1340.0040283000001</v>
      </c>
      <c r="K1160">
        <v>0</v>
      </c>
      <c r="L1160">
        <v>550</v>
      </c>
      <c r="M1160">
        <v>550</v>
      </c>
      <c r="N1160">
        <v>0</v>
      </c>
    </row>
    <row r="1161" spans="1:14" x14ac:dyDescent="0.25">
      <c r="A1161">
        <v>1403.979558</v>
      </c>
      <c r="B1161" s="1">
        <f>DATE(2014,3,4) + TIME(23,30,33)</f>
        <v>41702.979548611111</v>
      </c>
      <c r="C1161">
        <v>80</v>
      </c>
      <c r="D1161">
        <v>71.817115783999995</v>
      </c>
      <c r="E1161">
        <v>40</v>
      </c>
      <c r="F1161">
        <v>39.936748504999997</v>
      </c>
      <c r="G1161">
        <v>1324.0632324000001</v>
      </c>
      <c r="H1161">
        <v>1320.605957</v>
      </c>
      <c r="I1161">
        <v>1345.5791016000001</v>
      </c>
      <c r="J1161">
        <v>1340.0053711</v>
      </c>
      <c r="K1161">
        <v>0</v>
      </c>
      <c r="L1161">
        <v>550</v>
      </c>
      <c r="M1161">
        <v>550</v>
      </c>
      <c r="N1161">
        <v>0</v>
      </c>
    </row>
    <row r="1162" spans="1:14" x14ac:dyDescent="0.25">
      <c r="A1162">
        <v>1408.0118640000001</v>
      </c>
      <c r="B1162" s="1">
        <f>DATE(2014,3,9) + TIME(0,17,5)</f>
        <v>41707.011863425927</v>
      </c>
      <c r="C1162">
        <v>80</v>
      </c>
      <c r="D1162">
        <v>71.538139342999997</v>
      </c>
      <c r="E1162">
        <v>40</v>
      </c>
      <c r="F1162">
        <v>39.936817169000001</v>
      </c>
      <c r="G1162">
        <v>1323.9606934000001</v>
      </c>
      <c r="H1162">
        <v>1320.4620361</v>
      </c>
      <c r="I1162">
        <v>1345.5814209</v>
      </c>
      <c r="J1162">
        <v>1340.0073242000001</v>
      </c>
      <c r="K1162">
        <v>0</v>
      </c>
      <c r="L1162">
        <v>550</v>
      </c>
      <c r="M1162">
        <v>550</v>
      </c>
      <c r="N1162">
        <v>0</v>
      </c>
    </row>
    <row r="1163" spans="1:14" x14ac:dyDescent="0.25">
      <c r="A1163">
        <v>1412.0955369999999</v>
      </c>
      <c r="B1163" s="1">
        <f>DATE(2014,3,13) + TIME(2,17,34)</f>
        <v>41711.095532407409</v>
      </c>
      <c r="C1163">
        <v>80</v>
      </c>
      <c r="D1163">
        <v>71.241035460999996</v>
      </c>
      <c r="E1163">
        <v>40</v>
      </c>
      <c r="F1163">
        <v>39.936882019000002</v>
      </c>
      <c r="G1163">
        <v>1323.8558350000001</v>
      </c>
      <c r="H1163">
        <v>1320.3138428</v>
      </c>
      <c r="I1163">
        <v>1345.5836182</v>
      </c>
      <c r="J1163">
        <v>1340.0092772999999</v>
      </c>
      <c r="K1163">
        <v>0</v>
      </c>
      <c r="L1163">
        <v>550</v>
      </c>
      <c r="M1163">
        <v>550</v>
      </c>
      <c r="N1163">
        <v>0</v>
      </c>
    </row>
    <row r="1164" spans="1:14" x14ac:dyDescent="0.25">
      <c r="A1164">
        <v>1416.248979</v>
      </c>
      <c r="B1164" s="1">
        <f>DATE(2014,3,17) + TIME(5,58,31)</f>
        <v>41715.248969907407</v>
      </c>
      <c r="C1164">
        <v>80</v>
      </c>
      <c r="D1164">
        <v>70.928108214999995</v>
      </c>
      <c r="E1164">
        <v>40</v>
      </c>
      <c r="F1164">
        <v>39.936950684000003</v>
      </c>
      <c r="G1164">
        <v>1323.75</v>
      </c>
      <c r="H1164">
        <v>1320.1633300999999</v>
      </c>
      <c r="I1164">
        <v>1345.5855713000001</v>
      </c>
      <c r="J1164">
        <v>1340.0111084</v>
      </c>
      <c r="K1164">
        <v>0</v>
      </c>
      <c r="L1164">
        <v>550</v>
      </c>
      <c r="M1164">
        <v>550</v>
      </c>
      <c r="N1164">
        <v>0</v>
      </c>
    </row>
    <row r="1165" spans="1:14" x14ac:dyDescent="0.25">
      <c r="A1165">
        <v>1420.4900270000001</v>
      </c>
      <c r="B1165" s="1">
        <f>DATE(2014,3,21) + TIME(11,45,38)</f>
        <v>41719.490023148152</v>
      </c>
      <c r="C1165">
        <v>80</v>
      </c>
      <c r="D1165">
        <v>70.599441528</v>
      </c>
      <c r="E1165">
        <v>40</v>
      </c>
      <c r="F1165">
        <v>39.937015533</v>
      </c>
      <c r="G1165">
        <v>1323.6433105000001</v>
      </c>
      <c r="H1165">
        <v>1320.0111084</v>
      </c>
      <c r="I1165">
        <v>1345.5875243999999</v>
      </c>
      <c r="J1165">
        <v>1340.0128173999999</v>
      </c>
      <c r="K1165">
        <v>0</v>
      </c>
      <c r="L1165">
        <v>550</v>
      </c>
      <c r="M1165">
        <v>550</v>
      </c>
      <c r="N1165">
        <v>0</v>
      </c>
    </row>
    <row r="1166" spans="1:14" x14ac:dyDescent="0.25">
      <c r="A1166">
        <v>1424.8377359999999</v>
      </c>
      <c r="B1166" s="1">
        <f>DATE(2014,3,25) + TIME(20,6,20)</f>
        <v>41723.837731481479</v>
      </c>
      <c r="C1166">
        <v>80</v>
      </c>
      <c r="D1166">
        <v>70.254005432</v>
      </c>
      <c r="E1166">
        <v>40</v>
      </c>
      <c r="F1166">
        <v>39.937084198000001</v>
      </c>
      <c r="G1166">
        <v>1323.5358887</v>
      </c>
      <c r="H1166">
        <v>1319.8572998</v>
      </c>
      <c r="I1166">
        <v>1345.5891113</v>
      </c>
      <c r="J1166">
        <v>1340.0145264</v>
      </c>
      <c r="K1166">
        <v>0</v>
      </c>
      <c r="L1166">
        <v>550</v>
      </c>
      <c r="M1166">
        <v>550</v>
      </c>
      <c r="N1166">
        <v>0</v>
      </c>
    </row>
    <row r="1167" spans="1:14" x14ac:dyDescent="0.25">
      <c r="A1167">
        <v>1429.27305</v>
      </c>
      <c r="B1167" s="1">
        <f>DATE(2014,3,30) + TIME(6,33,11)</f>
        <v>41728.273043981484</v>
      </c>
      <c r="C1167">
        <v>80</v>
      </c>
      <c r="D1167">
        <v>69.891471863000007</v>
      </c>
      <c r="E1167">
        <v>40</v>
      </c>
      <c r="F1167">
        <v>39.937152863000001</v>
      </c>
      <c r="G1167">
        <v>1323.4273682</v>
      </c>
      <c r="H1167">
        <v>1319.7015381000001</v>
      </c>
      <c r="I1167">
        <v>1345.5905762</v>
      </c>
      <c r="J1167">
        <v>1340.0161132999999</v>
      </c>
      <c r="K1167">
        <v>0</v>
      </c>
      <c r="L1167">
        <v>550</v>
      </c>
      <c r="M1167">
        <v>550</v>
      </c>
      <c r="N1167">
        <v>0</v>
      </c>
    </row>
    <row r="1168" spans="1:14" x14ac:dyDescent="0.25">
      <c r="A1168">
        <v>1431</v>
      </c>
      <c r="B1168" s="1">
        <f>DATE(2014,4,1) + TIME(0,0,0)</f>
        <v>41730</v>
      </c>
      <c r="C1168">
        <v>80</v>
      </c>
      <c r="D1168">
        <v>69.663589478000006</v>
      </c>
      <c r="E1168">
        <v>40</v>
      </c>
      <c r="F1168">
        <v>39.937175750999998</v>
      </c>
      <c r="G1168">
        <v>1323.3233643000001</v>
      </c>
      <c r="H1168">
        <v>1319.5611572</v>
      </c>
      <c r="I1168">
        <v>1345.5913086</v>
      </c>
      <c r="J1168">
        <v>1340.0172118999999</v>
      </c>
      <c r="K1168">
        <v>0</v>
      </c>
      <c r="L1168">
        <v>550</v>
      </c>
      <c r="M1168">
        <v>550</v>
      </c>
      <c r="N1168">
        <v>0</v>
      </c>
    </row>
    <row r="1169" spans="1:14" x14ac:dyDescent="0.25">
      <c r="A1169">
        <v>1435.480746</v>
      </c>
      <c r="B1169" s="1">
        <f>DATE(2014,4,5) + TIME(11,32,16)</f>
        <v>41734.480740740742</v>
      </c>
      <c r="C1169">
        <v>80</v>
      </c>
      <c r="D1169">
        <v>69.328529357999997</v>
      </c>
      <c r="E1169">
        <v>40</v>
      </c>
      <c r="F1169">
        <v>39.937244415000002</v>
      </c>
      <c r="G1169">
        <v>1323.2678223</v>
      </c>
      <c r="H1169">
        <v>1319.4678954999999</v>
      </c>
      <c r="I1169">
        <v>1345.5922852000001</v>
      </c>
      <c r="J1169">
        <v>1340.0180664</v>
      </c>
      <c r="K1169">
        <v>0</v>
      </c>
      <c r="L1169">
        <v>550</v>
      </c>
      <c r="M1169">
        <v>550</v>
      </c>
      <c r="N1169">
        <v>0</v>
      </c>
    </row>
    <row r="1170" spans="1:14" x14ac:dyDescent="0.25">
      <c r="A1170">
        <v>1440.050872</v>
      </c>
      <c r="B1170" s="1">
        <f>DATE(2014,4,10) + TIME(1,13,15)</f>
        <v>41739.050868055558</v>
      </c>
      <c r="C1170">
        <v>80</v>
      </c>
      <c r="D1170">
        <v>68.950187682999996</v>
      </c>
      <c r="E1170">
        <v>40</v>
      </c>
      <c r="F1170">
        <v>39.937309265000003</v>
      </c>
      <c r="G1170">
        <v>1323.1647949000001</v>
      </c>
      <c r="H1170">
        <v>1319.3212891000001</v>
      </c>
      <c r="I1170">
        <v>1345.5931396000001</v>
      </c>
      <c r="J1170">
        <v>1340.0195312000001</v>
      </c>
      <c r="K1170">
        <v>0</v>
      </c>
      <c r="L1170">
        <v>550</v>
      </c>
      <c r="M1170">
        <v>550</v>
      </c>
      <c r="N1170">
        <v>0</v>
      </c>
    </row>
    <row r="1171" spans="1:14" x14ac:dyDescent="0.25">
      <c r="A1171">
        <v>1444.710971</v>
      </c>
      <c r="B1171" s="1">
        <f>DATE(2014,4,14) + TIME(17,3,47)</f>
        <v>41743.710960648146</v>
      </c>
      <c r="C1171">
        <v>80</v>
      </c>
      <c r="D1171">
        <v>68.544113159000005</v>
      </c>
      <c r="E1171">
        <v>40</v>
      </c>
      <c r="F1171">
        <v>39.937377929999997</v>
      </c>
      <c r="G1171">
        <v>1323.059082</v>
      </c>
      <c r="H1171">
        <v>1319.1688231999999</v>
      </c>
      <c r="I1171">
        <v>1345.59375</v>
      </c>
      <c r="J1171">
        <v>1340.020874</v>
      </c>
      <c r="K1171">
        <v>0</v>
      </c>
      <c r="L1171">
        <v>550</v>
      </c>
      <c r="M1171">
        <v>550</v>
      </c>
      <c r="N1171">
        <v>0</v>
      </c>
    </row>
    <row r="1172" spans="1:14" x14ac:dyDescent="0.25">
      <c r="A1172">
        <v>1449.480636</v>
      </c>
      <c r="B1172" s="1">
        <f>DATE(2014,4,19) + TIME(11,32,6)</f>
        <v>41748.480624999997</v>
      </c>
      <c r="C1172">
        <v>80</v>
      </c>
      <c r="D1172">
        <v>68.116287231000001</v>
      </c>
      <c r="E1172">
        <v>40</v>
      </c>
      <c r="F1172">
        <v>39.937442779999998</v>
      </c>
      <c r="G1172">
        <v>1322.9521483999999</v>
      </c>
      <c r="H1172">
        <v>1319.0135498</v>
      </c>
      <c r="I1172">
        <v>1345.5941161999999</v>
      </c>
      <c r="J1172">
        <v>1340.0219727000001</v>
      </c>
      <c r="K1172">
        <v>0</v>
      </c>
      <c r="L1172">
        <v>550</v>
      </c>
      <c r="M1172">
        <v>550</v>
      </c>
      <c r="N1172">
        <v>0</v>
      </c>
    </row>
    <row r="1173" spans="1:14" x14ac:dyDescent="0.25">
      <c r="A1173">
        <v>1454.361375</v>
      </c>
      <c r="B1173" s="1">
        <f>DATE(2014,4,24) + TIME(8,40,22)</f>
        <v>41753.36136574074</v>
      </c>
      <c r="C1173">
        <v>80</v>
      </c>
      <c r="D1173">
        <v>67.668960571</v>
      </c>
      <c r="E1173">
        <v>40</v>
      </c>
      <c r="F1173">
        <v>39.937511444000002</v>
      </c>
      <c r="G1173">
        <v>1322.8444824000001</v>
      </c>
      <c r="H1173">
        <v>1318.8566894999999</v>
      </c>
      <c r="I1173">
        <v>1345.5943603999999</v>
      </c>
      <c r="J1173">
        <v>1340.0230713000001</v>
      </c>
      <c r="K1173">
        <v>0</v>
      </c>
      <c r="L1173">
        <v>550</v>
      </c>
      <c r="M1173">
        <v>550</v>
      </c>
      <c r="N1173">
        <v>0</v>
      </c>
    </row>
    <row r="1174" spans="1:14" x14ac:dyDescent="0.25">
      <c r="A1174">
        <v>1459.306135</v>
      </c>
      <c r="B1174" s="1">
        <f>DATE(2014,4,29) + TIME(7,20,50)</f>
        <v>41758.306134259263</v>
      </c>
      <c r="C1174">
        <v>80</v>
      </c>
      <c r="D1174">
        <v>67.204872131000002</v>
      </c>
      <c r="E1174">
        <v>40</v>
      </c>
      <c r="F1174">
        <v>39.937576294000003</v>
      </c>
      <c r="G1174">
        <v>1322.7366943</v>
      </c>
      <c r="H1174">
        <v>1318.6989745999999</v>
      </c>
      <c r="I1174">
        <v>1345.5942382999999</v>
      </c>
      <c r="J1174">
        <v>1340.0239257999999</v>
      </c>
      <c r="K1174">
        <v>0</v>
      </c>
      <c r="L1174">
        <v>550</v>
      </c>
      <c r="M1174">
        <v>550</v>
      </c>
      <c r="N1174">
        <v>0</v>
      </c>
    </row>
    <row r="1175" spans="1:14" x14ac:dyDescent="0.25">
      <c r="A1175">
        <v>1461</v>
      </c>
      <c r="B1175" s="1">
        <f>DATE(2014,5,1) + TIME(0,0,0)</f>
        <v>41760</v>
      </c>
      <c r="C1175">
        <v>80</v>
      </c>
      <c r="D1175">
        <v>66.929656981999997</v>
      </c>
      <c r="E1175">
        <v>40</v>
      </c>
      <c r="F1175">
        <v>39.937599182</v>
      </c>
      <c r="G1175">
        <v>1322.6334228999999</v>
      </c>
      <c r="H1175">
        <v>1318.5599365</v>
      </c>
      <c r="I1175">
        <v>1345.5933838000001</v>
      </c>
      <c r="J1175">
        <v>1340.0242920000001</v>
      </c>
      <c r="K1175">
        <v>0</v>
      </c>
      <c r="L1175">
        <v>550</v>
      </c>
      <c r="M1175">
        <v>550</v>
      </c>
      <c r="N1175">
        <v>0</v>
      </c>
    </row>
    <row r="1176" spans="1:14" x14ac:dyDescent="0.25">
      <c r="A1176">
        <v>1461.0000010000001</v>
      </c>
      <c r="B1176" s="1">
        <f>DATE(2014,5,1) + TIME(0,0,0)</f>
        <v>41760</v>
      </c>
      <c r="C1176">
        <v>80</v>
      </c>
      <c r="D1176">
        <v>66.929695128999995</v>
      </c>
      <c r="E1176">
        <v>40</v>
      </c>
      <c r="F1176">
        <v>39.937572479000004</v>
      </c>
      <c r="G1176">
        <v>1327.9116211</v>
      </c>
      <c r="H1176">
        <v>1322.8995361</v>
      </c>
      <c r="I1176">
        <v>1339.8238524999999</v>
      </c>
      <c r="J1176">
        <v>1334.9509277</v>
      </c>
      <c r="K1176">
        <v>550</v>
      </c>
      <c r="L1176">
        <v>0</v>
      </c>
      <c r="M1176">
        <v>0</v>
      </c>
      <c r="N1176">
        <v>550</v>
      </c>
    </row>
    <row r="1177" spans="1:14" x14ac:dyDescent="0.25">
      <c r="A1177">
        <v>1461.000004</v>
      </c>
      <c r="B1177" s="1">
        <f>DATE(2014,5,1) + TIME(0,0,0)</f>
        <v>41760</v>
      </c>
      <c r="C1177">
        <v>80</v>
      </c>
      <c r="D1177">
        <v>66.929801940999994</v>
      </c>
      <c r="E1177">
        <v>40</v>
      </c>
      <c r="F1177">
        <v>39.937507629000002</v>
      </c>
      <c r="G1177">
        <v>1328.4770507999999</v>
      </c>
      <c r="H1177">
        <v>1323.5797118999999</v>
      </c>
      <c r="I1177">
        <v>1339.2797852000001</v>
      </c>
      <c r="J1177">
        <v>1334.4064940999999</v>
      </c>
      <c r="K1177">
        <v>550</v>
      </c>
      <c r="L1177">
        <v>0</v>
      </c>
      <c r="M1177">
        <v>0</v>
      </c>
      <c r="N1177">
        <v>550</v>
      </c>
    </row>
    <row r="1178" spans="1:14" x14ac:dyDescent="0.25">
      <c r="A1178">
        <v>1461.0000130000001</v>
      </c>
      <c r="B1178" s="1">
        <f>DATE(2014,5,1) + TIME(0,0,1)</f>
        <v>41760.000011574077</v>
      </c>
      <c r="C1178">
        <v>80</v>
      </c>
      <c r="D1178">
        <v>66.930038452000005</v>
      </c>
      <c r="E1178">
        <v>40</v>
      </c>
      <c r="F1178">
        <v>39.937355042</v>
      </c>
      <c r="G1178">
        <v>1329.7299805</v>
      </c>
      <c r="H1178">
        <v>1324.9881591999999</v>
      </c>
      <c r="I1178">
        <v>1338.0129394999999</v>
      </c>
      <c r="J1178">
        <v>1333.1390381000001</v>
      </c>
      <c r="K1178">
        <v>550</v>
      </c>
      <c r="L1178">
        <v>0</v>
      </c>
      <c r="M1178">
        <v>0</v>
      </c>
      <c r="N1178">
        <v>550</v>
      </c>
    </row>
    <row r="1179" spans="1:14" x14ac:dyDescent="0.25">
      <c r="A1179">
        <v>1461.0000399999999</v>
      </c>
      <c r="B1179" s="1">
        <f>DATE(2014,5,1) + TIME(0,0,3)</f>
        <v>41760.000034722223</v>
      </c>
      <c r="C1179">
        <v>80</v>
      </c>
      <c r="D1179">
        <v>66.930465698000006</v>
      </c>
      <c r="E1179">
        <v>40</v>
      </c>
      <c r="F1179">
        <v>39.937088013</v>
      </c>
      <c r="G1179">
        <v>1331.8144531</v>
      </c>
      <c r="H1179">
        <v>1327.1394043</v>
      </c>
      <c r="I1179">
        <v>1335.7766113</v>
      </c>
      <c r="J1179">
        <v>1330.902832</v>
      </c>
      <c r="K1179">
        <v>550</v>
      </c>
      <c r="L1179">
        <v>0</v>
      </c>
      <c r="M1179">
        <v>0</v>
      </c>
      <c r="N1179">
        <v>550</v>
      </c>
    </row>
    <row r="1180" spans="1:14" x14ac:dyDescent="0.25">
      <c r="A1180">
        <v>1461.000121</v>
      </c>
      <c r="B1180" s="1">
        <f>DATE(2014,5,1) + TIME(0,0,10)</f>
        <v>41760.000115740739</v>
      </c>
      <c r="C1180">
        <v>80</v>
      </c>
      <c r="D1180">
        <v>66.931213378999999</v>
      </c>
      <c r="E1180">
        <v>40</v>
      </c>
      <c r="F1180">
        <v>39.936740874999998</v>
      </c>
      <c r="G1180">
        <v>1334.3924560999999</v>
      </c>
      <c r="H1180">
        <v>1329.6640625</v>
      </c>
      <c r="I1180">
        <v>1332.9162598</v>
      </c>
      <c r="J1180">
        <v>1328.0451660000001</v>
      </c>
      <c r="K1180">
        <v>550</v>
      </c>
      <c r="L1180">
        <v>0</v>
      </c>
      <c r="M1180">
        <v>0</v>
      </c>
      <c r="N1180">
        <v>550</v>
      </c>
    </row>
    <row r="1181" spans="1:14" x14ac:dyDescent="0.25">
      <c r="A1181">
        <v>1461.000364</v>
      </c>
      <c r="B1181" s="1">
        <f>DATE(2014,5,1) + TIME(0,0,31)</f>
        <v>41760.000358796293</v>
      </c>
      <c r="C1181">
        <v>80</v>
      </c>
      <c r="D1181">
        <v>66.932807921999995</v>
      </c>
      <c r="E1181">
        <v>40</v>
      </c>
      <c r="F1181">
        <v>39.936367035000004</v>
      </c>
      <c r="G1181">
        <v>1337.1132812000001</v>
      </c>
      <c r="H1181">
        <v>1332.3061522999999</v>
      </c>
      <c r="I1181">
        <v>1329.9188231999999</v>
      </c>
      <c r="J1181">
        <v>1325.0478516000001</v>
      </c>
      <c r="K1181">
        <v>550</v>
      </c>
      <c r="L1181">
        <v>0</v>
      </c>
      <c r="M1181">
        <v>0</v>
      </c>
      <c r="N1181">
        <v>550</v>
      </c>
    </row>
    <row r="1182" spans="1:14" x14ac:dyDescent="0.25">
      <c r="A1182">
        <v>1461.0010930000001</v>
      </c>
      <c r="B1182" s="1">
        <f>DATE(2014,5,1) + TIME(0,1,34)</f>
        <v>41760.001087962963</v>
      </c>
      <c r="C1182">
        <v>80</v>
      </c>
      <c r="D1182">
        <v>66.936950683999996</v>
      </c>
      <c r="E1182">
        <v>40</v>
      </c>
      <c r="F1182">
        <v>39.935966491999999</v>
      </c>
      <c r="G1182">
        <v>1339.8596190999999</v>
      </c>
      <c r="H1182">
        <v>1334.9764404</v>
      </c>
      <c r="I1182">
        <v>1326.9697266000001</v>
      </c>
      <c r="J1182">
        <v>1322.0667725000001</v>
      </c>
      <c r="K1182">
        <v>550</v>
      </c>
      <c r="L1182">
        <v>0</v>
      </c>
      <c r="M1182">
        <v>0</v>
      </c>
      <c r="N1182">
        <v>550</v>
      </c>
    </row>
    <row r="1183" spans="1:14" x14ac:dyDescent="0.25">
      <c r="A1183">
        <v>1461.0032799999999</v>
      </c>
      <c r="B1183" s="1">
        <f>DATE(2014,5,1) + TIME(0,4,43)</f>
        <v>41760.003275462965</v>
      </c>
      <c r="C1183">
        <v>80</v>
      </c>
      <c r="D1183">
        <v>66.948745728000006</v>
      </c>
      <c r="E1183">
        <v>40</v>
      </c>
      <c r="F1183">
        <v>39.935512543000002</v>
      </c>
      <c r="G1183">
        <v>1342.3244629000001</v>
      </c>
      <c r="H1183">
        <v>1337.3829346</v>
      </c>
      <c r="I1183">
        <v>1324.3623047000001</v>
      </c>
      <c r="J1183">
        <v>1319.3680420000001</v>
      </c>
      <c r="K1183">
        <v>550</v>
      </c>
      <c r="L1183">
        <v>0</v>
      </c>
      <c r="M1183">
        <v>0</v>
      </c>
      <c r="N1183">
        <v>550</v>
      </c>
    </row>
    <row r="1184" spans="1:14" x14ac:dyDescent="0.25">
      <c r="A1184">
        <v>1461.0098410000001</v>
      </c>
      <c r="B1184" s="1">
        <f>DATE(2014,5,1) + TIME(0,14,10)</f>
        <v>41760.009837962964</v>
      </c>
      <c r="C1184">
        <v>80</v>
      </c>
      <c r="D1184">
        <v>66.983436584000003</v>
      </c>
      <c r="E1184">
        <v>40</v>
      </c>
      <c r="F1184">
        <v>39.934856414999999</v>
      </c>
      <c r="G1184">
        <v>1344.0656738</v>
      </c>
      <c r="H1184">
        <v>1339.1048584</v>
      </c>
      <c r="I1184">
        <v>1322.5170897999999</v>
      </c>
      <c r="J1184">
        <v>1317.4245605000001</v>
      </c>
      <c r="K1184">
        <v>550</v>
      </c>
      <c r="L1184">
        <v>0</v>
      </c>
      <c r="M1184">
        <v>0</v>
      </c>
      <c r="N1184">
        <v>550</v>
      </c>
    </row>
    <row r="1185" spans="1:14" x14ac:dyDescent="0.25">
      <c r="A1185">
        <v>1461.029524</v>
      </c>
      <c r="B1185" s="1">
        <f>DATE(2014,5,1) + TIME(0,42,30)</f>
        <v>41760.029513888891</v>
      </c>
      <c r="C1185">
        <v>80</v>
      </c>
      <c r="D1185">
        <v>67.086143493999998</v>
      </c>
      <c r="E1185">
        <v>40</v>
      </c>
      <c r="F1185">
        <v>39.933444977000001</v>
      </c>
      <c r="G1185">
        <v>1345.0057373</v>
      </c>
      <c r="H1185">
        <v>1340.0504149999999</v>
      </c>
      <c r="I1185">
        <v>1321.5388184000001</v>
      </c>
      <c r="J1185">
        <v>1316.3953856999999</v>
      </c>
      <c r="K1185">
        <v>550</v>
      </c>
      <c r="L1185">
        <v>0</v>
      </c>
      <c r="M1185">
        <v>0</v>
      </c>
      <c r="N1185">
        <v>550</v>
      </c>
    </row>
    <row r="1186" spans="1:14" x14ac:dyDescent="0.25">
      <c r="A1186">
        <v>1461.088573</v>
      </c>
      <c r="B1186" s="1">
        <f>DATE(2014,5,1) + TIME(2,7,32)</f>
        <v>41760.088564814818</v>
      </c>
      <c r="C1186">
        <v>80</v>
      </c>
      <c r="D1186">
        <v>67.386520386000001</v>
      </c>
      <c r="E1186">
        <v>40</v>
      </c>
      <c r="F1186">
        <v>39.929576873999999</v>
      </c>
      <c r="G1186">
        <v>1345.3701172000001</v>
      </c>
      <c r="H1186">
        <v>1340.4378661999999</v>
      </c>
      <c r="I1186">
        <v>1321.2060547000001</v>
      </c>
      <c r="J1186">
        <v>1316.0477295000001</v>
      </c>
      <c r="K1186">
        <v>550</v>
      </c>
      <c r="L1186">
        <v>0</v>
      </c>
      <c r="M1186">
        <v>0</v>
      </c>
      <c r="N1186">
        <v>550</v>
      </c>
    </row>
    <row r="1187" spans="1:14" x14ac:dyDescent="0.25">
      <c r="A1187">
        <v>1461.200693</v>
      </c>
      <c r="B1187" s="1">
        <f>DATE(2014,5,1) + TIME(4,48,59)</f>
        <v>41760.200682870367</v>
      </c>
      <c r="C1187">
        <v>80</v>
      </c>
      <c r="D1187">
        <v>67.931953429999993</v>
      </c>
      <c r="E1187">
        <v>40</v>
      </c>
      <c r="F1187">
        <v>39.922439574999999</v>
      </c>
      <c r="G1187">
        <v>1345.4208983999999</v>
      </c>
      <c r="H1187">
        <v>1340.5244141000001</v>
      </c>
      <c r="I1187">
        <v>1321.1660156</v>
      </c>
      <c r="J1187">
        <v>1316.0048827999999</v>
      </c>
      <c r="K1187">
        <v>550</v>
      </c>
      <c r="L1187">
        <v>0</v>
      </c>
      <c r="M1187">
        <v>0</v>
      </c>
      <c r="N1187">
        <v>550</v>
      </c>
    </row>
    <row r="1188" spans="1:14" x14ac:dyDescent="0.25">
      <c r="A1188">
        <v>1461.315018</v>
      </c>
      <c r="B1188" s="1">
        <f>DATE(2014,5,1) + TIME(7,33,37)</f>
        <v>41760.315011574072</v>
      </c>
      <c r="C1188">
        <v>80</v>
      </c>
      <c r="D1188">
        <v>68.464782714999998</v>
      </c>
      <c r="E1188">
        <v>40</v>
      </c>
      <c r="F1188">
        <v>39.915252686000002</v>
      </c>
      <c r="G1188">
        <v>1345.4179687999999</v>
      </c>
      <c r="H1188">
        <v>1340.543457</v>
      </c>
      <c r="I1188">
        <v>1321.1689452999999</v>
      </c>
      <c r="J1188">
        <v>1316.0067139</v>
      </c>
      <c r="K1188">
        <v>550</v>
      </c>
      <c r="L1188">
        <v>0</v>
      </c>
      <c r="M1188">
        <v>0</v>
      </c>
      <c r="N1188">
        <v>550</v>
      </c>
    </row>
    <row r="1189" spans="1:14" x14ac:dyDescent="0.25">
      <c r="A1189">
        <v>1461.4318960000001</v>
      </c>
      <c r="B1189" s="1">
        <f>DATE(2014,5,1) + TIME(10,21,55)</f>
        <v>41760.431886574072</v>
      </c>
      <c r="C1189">
        <v>80</v>
      </c>
      <c r="D1189">
        <v>68.986099242999998</v>
      </c>
      <c r="E1189">
        <v>40</v>
      </c>
      <c r="F1189">
        <v>39.907985687</v>
      </c>
      <c r="G1189">
        <v>1345.4016113</v>
      </c>
      <c r="H1189">
        <v>1340.5479736</v>
      </c>
      <c r="I1189">
        <v>1321.171875</v>
      </c>
      <c r="J1189">
        <v>1316.0087891000001</v>
      </c>
      <c r="K1189">
        <v>550</v>
      </c>
      <c r="L1189">
        <v>0</v>
      </c>
      <c r="M1189">
        <v>0</v>
      </c>
      <c r="N1189">
        <v>550</v>
      </c>
    </row>
    <row r="1190" spans="1:14" x14ac:dyDescent="0.25">
      <c r="A1190">
        <v>1461.5514599999999</v>
      </c>
      <c r="B1190" s="1">
        <f>DATE(2014,5,1) + TIME(13,14,6)</f>
        <v>41760.551458333335</v>
      </c>
      <c r="C1190">
        <v>80</v>
      </c>
      <c r="D1190">
        <v>69.495903014999996</v>
      </c>
      <c r="E1190">
        <v>40</v>
      </c>
      <c r="F1190">
        <v>39.900634766000003</v>
      </c>
      <c r="G1190">
        <v>1345.3843993999999</v>
      </c>
      <c r="H1190">
        <v>1340.5500488</v>
      </c>
      <c r="I1190">
        <v>1321.1734618999999</v>
      </c>
      <c r="J1190">
        <v>1316.0093993999999</v>
      </c>
      <c r="K1190">
        <v>550</v>
      </c>
      <c r="L1190">
        <v>0</v>
      </c>
      <c r="M1190">
        <v>0</v>
      </c>
      <c r="N1190">
        <v>550</v>
      </c>
    </row>
    <row r="1191" spans="1:14" x14ac:dyDescent="0.25">
      <c r="A1191">
        <v>1461.6738539999999</v>
      </c>
      <c r="B1191" s="1">
        <f>DATE(2014,5,1) + TIME(16,10,20)</f>
        <v>41760.673842592594</v>
      </c>
      <c r="C1191">
        <v>80</v>
      </c>
      <c r="D1191">
        <v>69.994171143000003</v>
      </c>
      <c r="E1191">
        <v>40</v>
      </c>
      <c r="F1191">
        <v>39.893196105999998</v>
      </c>
      <c r="G1191">
        <v>1345.3686522999999</v>
      </c>
      <c r="H1191">
        <v>1340.5524902</v>
      </c>
      <c r="I1191">
        <v>1321.1745605000001</v>
      </c>
      <c r="J1191">
        <v>1316.0095214999999</v>
      </c>
      <c r="K1191">
        <v>550</v>
      </c>
      <c r="L1191">
        <v>0</v>
      </c>
      <c r="M1191">
        <v>0</v>
      </c>
      <c r="N1191">
        <v>550</v>
      </c>
    </row>
    <row r="1192" spans="1:14" x14ac:dyDescent="0.25">
      <c r="A1192">
        <v>1461.799231</v>
      </c>
      <c r="B1192" s="1">
        <f>DATE(2014,5,1) + TIME(19,10,53)</f>
        <v>41760.799224537041</v>
      </c>
      <c r="C1192">
        <v>80</v>
      </c>
      <c r="D1192">
        <v>70.480522156000006</v>
      </c>
      <c r="E1192">
        <v>40</v>
      </c>
      <c r="F1192">
        <v>39.885665893999999</v>
      </c>
      <c r="G1192">
        <v>1345.3548584</v>
      </c>
      <c r="H1192">
        <v>1340.5556641000001</v>
      </c>
      <c r="I1192">
        <v>1321.1754149999999</v>
      </c>
      <c r="J1192">
        <v>1316.0093993999999</v>
      </c>
      <c r="K1192">
        <v>550</v>
      </c>
      <c r="L1192">
        <v>0</v>
      </c>
      <c r="M1192">
        <v>0</v>
      </c>
      <c r="N1192">
        <v>550</v>
      </c>
    </row>
    <row r="1193" spans="1:14" x14ac:dyDescent="0.25">
      <c r="A1193">
        <v>1461.9277549999999</v>
      </c>
      <c r="B1193" s="1">
        <f>DATE(2014,5,1) + TIME(22,15,58)</f>
        <v>41760.927754629629</v>
      </c>
      <c r="C1193">
        <v>80</v>
      </c>
      <c r="D1193">
        <v>70.955261230000005</v>
      </c>
      <c r="E1193">
        <v>40</v>
      </c>
      <c r="F1193">
        <v>39.878036498999997</v>
      </c>
      <c r="G1193">
        <v>1345.3431396000001</v>
      </c>
      <c r="H1193">
        <v>1340.5595702999999</v>
      </c>
      <c r="I1193">
        <v>1321.1762695</v>
      </c>
      <c r="J1193">
        <v>1316.0092772999999</v>
      </c>
      <c r="K1193">
        <v>550</v>
      </c>
      <c r="L1193">
        <v>0</v>
      </c>
      <c r="M1193">
        <v>0</v>
      </c>
      <c r="N1193">
        <v>550</v>
      </c>
    </row>
    <row r="1194" spans="1:14" x14ac:dyDescent="0.25">
      <c r="A1194">
        <v>1462.0596009999999</v>
      </c>
      <c r="B1194" s="1">
        <f>DATE(2014,5,2) + TIME(1,25,49)</f>
        <v>41761.059594907405</v>
      </c>
      <c r="C1194">
        <v>80</v>
      </c>
      <c r="D1194">
        <v>71.418334960999999</v>
      </c>
      <c r="E1194">
        <v>40</v>
      </c>
      <c r="F1194">
        <v>39.870300293</v>
      </c>
      <c r="G1194">
        <v>1345.3332519999999</v>
      </c>
      <c r="H1194">
        <v>1340.5644531</v>
      </c>
      <c r="I1194">
        <v>1321.177124</v>
      </c>
      <c r="J1194">
        <v>1316.0090332</v>
      </c>
      <c r="K1194">
        <v>550</v>
      </c>
      <c r="L1194">
        <v>0</v>
      </c>
      <c r="M1194">
        <v>0</v>
      </c>
      <c r="N1194">
        <v>550</v>
      </c>
    </row>
    <row r="1195" spans="1:14" x14ac:dyDescent="0.25">
      <c r="A1195">
        <v>1462.194945</v>
      </c>
      <c r="B1195" s="1">
        <f>DATE(2014,5,2) + TIME(4,40,43)</f>
        <v>41761.19494212963</v>
      </c>
      <c r="C1195">
        <v>80</v>
      </c>
      <c r="D1195">
        <v>71.869628906000003</v>
      </c>
      <c r="E1195">
        <v>40</v>
      </c>
      <c r="F1195">
        <v>39.862449646000002</v>
      </c>
      <c r="G1195">
        <v>1345.3251952999999</v>
      </c>
      <c r="H1195">
        <v>1340.5700684000001</v>
      </c>
      <c r="I1195">
        <v>1321.1779785000001</v>
      </c>
      <c r="J1195">
        <v>1316.0086670000001</v>
      </c>
      <c r="K1195">
        <v>550</v>
      </c>
      <c r="L1195">
        <v>0</v>
      </c>
      <c r="M1195">
        <v>0</v>
      </c>
      <c r="N1195">
        <v>550</v>
      </c>
    </row>
    <row r="1196" spans="1:14" x14ac:dyDescent="0.25">
      <c r="A1196">
        <v>1462.333977</v>
      </c>
      <c r="B1196" s="1">
        <f>DATE(2014,5,2) + TIME(8,0,55)</f>
        <v>41761.333969907406</v>
      </c>
      <c r="C1196">
        <v>80</v>
      </c>
      <c r="D1196">
        <v>72.309059142999999</v>
      </c>
      <c r="E1196">
        <v>40</v>
      </c>
      <c r="F1196">
        <v>39.854484558000003</v>
      </c>
      <c r="G1196">
        <v>1345.3188477000001</v>
      </c>
      <c r="H1196">
        <v>1340.5764160000001</v>
      </c>
      <c r="I1196">
        <v>1321.1787108999999</v>
      </c>
      <c r="J1196">
        <v>1316.0084228999999</v>
      </c>
      <c r="K1196">
        <v>550</v>
      </c>
      <c r="L1196">
        <v>0</v>
      </c>
      <c r="M1196">
        <v>0</v>
      </c>
      <c r="N1196">
        <v>550</v>
      </c>
    </row>
    <row r="1197" spans="1:14" x14ac:dyDescent="0.25">
      <c r="A1197">
        <v>1462.4768260000001</v>
      </c>
      <c r="B1197" s="1">
        <f>DATE(2014,5,2) + TIME(11,26,37)</f>
        <v>41761.476817129631</v>
      </c>
      <c r="C1197">
        <v>80</v>
      </c>
      <c r="D1197">
        <v>72.736289978000002</v>
      </c>
      <c r="E1197">
        <v>40</v>
      </c>
      <c r="F1197">
        <v>39.846397400000001</v>
      </c>
      <c r="G1197">
        <v>1345.3143310999999</v>
      </c>
      <c r="H1197">
        <v>1340.5834961</v>
      </c>
      <c r="I1197">
        <v>1321.1795654</v>
      </c>
      <c r="J1197">
        <v>1316.0080565999999</v>
      </c>
      <c r="K1197">
        <v>550</v>
      </c>
      <c r="L1197">
        <v>0</v>
      </c>
      <c r="M1197">
        <v>0</v>
      </c>
      <c r="N1197">
        <v>550</v>
      </c>
    </row>
    <row r="1198" spans="1:14" x14ac:dyDescent="0.25">
      <c r="A1198">
        <v>1462.6236409999999</v>
      </c>
      <c r="B1198" s="1">
        <f>DATE(2014,5,2) + TIME(14,58,2)</f>
        <v>41761.62363425926</v>
      </c>
      <c r="C1198">
        <v>80</v>
      </c>
      <c r="D1198">
        <v>73.151054381999998</v>
      </c>
      <c r="E1198">
        <v>40</v>
      </c>
      <c r="F1198">
        <v>39.838188170999999</v>
      </c>
      <c r="G1198">
        <v>1345.3111572</v>
      </c>
      <c r="H1198">
        <v>1340.5910644999999</v>
      </c>
      <c r="I1198">
        <v>1321.1802978999999</v>
      </c>
      <c r="J1198">
        <v>1316.0075684000001</v>
      </c>
      <c r="K1198">
        <v>550</v>
      </c>
      <c r="L1198">
        <v>0</v>
      </c>
      <c r="M1198">
        <v>0</v>
      </c>
      <c r="N1198">
        <v>550</v>
      </c>
    </row>
    <row r="1199" spans="1:14" x14ac:dyDescent="0.25">
      <c r="A1199">
        <v>1462.7746549999999</v>
      </c>
      <c r="B1199" s="1">
        <f>DATE(2014,5,2) + TIME(18,35,30)</f>
        <v>41761.774652777778</v>
      </c>
      <c r="C1199">
        <v>80</v>
      </c>
      <c r="D1199">
        <v>73.553298949999999</v>
      </c>
      <c r="E1199">
        <v>40</v>
      </c>
      <c r="F1199">
        <v>39.829845427999999</v>
      </c>
      <c r="G1199">
        <v>1345.3095702999999</v>
      </c>
      <c r="H1199">
        <v>1340.5992432</v>
      </c>
      <c r="I1199">
        <v>1321.1811522999999</v>
      </c>
      <c r="J1199">
        <v>1316.0070800999999</v>
      </c>
      <c r="K1199">
        <v>550</v>
      </c>
      <c r="L1199">
        <v>0</v>
      </c>
      <c r="M1199">
        <v>0</v>
      </c>
      <c r="N1199">
        <v>550</v>
      </c>
    </row>
    <row r="1200" spans="1:14" x14ac:dyDescent="0.25">
      <c r="A1200">
        <v>1462.9301</v>
      </c>
      <c r="B1200" s="1">
        <f>DATE(2014,5,2) + TIME(22,19,20)</f>
        <v>41761.930092592593</v>
      </c>
      <c r="C1200">
        <v>80</v>
      </c>
      <c r="D1200">
        <v>73.942916870000005</v>
      </c>
      <c r="E1200">
        <v>40</v>
      </c>
      <c r="F1200">
        <v>39.821361541999998</v>
      </c>
      <c r="G1200">
        <v>1345.3092041</v>
      </c>
      <c r="H1200">
        <v>1340.6079102000001</v>
      </c>
      <c r="I1200">
        <v>1321.1818848</v>
      </c>
      <c r="J1200">
        <v>1316.0065918</v>
      </c>
      <c r="K1200">
        <v>550</v>
      </c>
      <c r="L1200">
        <v>0</v>
      </c>
      <c r="M1200">
        <v>0</v>
      </c>
      <c r="N1200">
        <v>550</v>
      </c>
    </row>
    <row r="1201" spans="1:14" x14ac:dyDescent="0.25">
      <c r="A1201">
        <v>1463.0902470000001</v>
      </c>
      <c r="B1201" s="1">
        <f>DATE(2014,5,3) + TIME(2,9,57)</f>
        <v>41762.090243055558</v>
      </c>
      <c r="C1201">
        <v>80</v>
      </c>
      <c r="D1201">
        <v>74.319839478000006</v>
      </c>
      <c r="E1201">
        <v>40</v>
      </c>
      <c r="F1201">
        <v>39.812728882000002</v>
      </c>
      <c r="G1201">
        <v>1345.3100586</v>
      </c>
      <c r="H1201">
        <v>1340.6170654</v>
      </c>
      <c r="I1201">
        <v>1321.1826172000001</v>
      </c>
      <c r="J1201">
        <v>1316.0061035000001</v>
      </c>
      <c r="K1201">
        <v>550</v>
      </c>
      <c r="L1201">
        <v>0</v>
      </c>
      <c r="M1201">
        <v>0</v>
      </c>
      <c r="N1201">
        <v>550</v>
      </c>
    </row>
    <row r="1202" spans="1:14" x14ac:dyDescent="0.25">
      <c r="A1202">
        <v>1463.2554009999999</v>
      </c>
      <c r="B1202" s="1">
        <f>DATE(2014,5,3) + TIME(6,7,46)</f>
        <v>41762.255393518521</v>
      </c>
      <c r="C1202">
        <v>80</v>
      </c>
      <c r="D1202">
        <v>74.684043884000005</v>
      </c>
      <c r="E1202">
        <v>40</v>
      </c>
      <c r="F1202">
        <v>39.803939819</v>
      </c>
      <c r="G1202">
        <v>1345.3121338000001</v>
      </c>
      <c r="H1202">
        <v>1340.6264647999999</v>
      </c>
      <c r="I1202">
        <v>1321.1833495999999</v>
      </c>
      <c r="J1202">
        <v>1316.0054932</v>
      </c>
      <c r="K1202">
        <v>550</v>
      </c>
      <c r="L1202">
        <v>0</v>
      </c>
      <c r="M1202">
        <v>0</v>
      </c>
      <c r="N1202">
        <v>550</v>
      </c>
    </row>
    <row r="1203" spans="1:14" x14ac:dyDescent="0.25">
      <c r="A1203">
        <v>1463.425876</v>
      </c>
      <c r="B1203" s="1">
        <f>DATE(2014,5,3) + TIME(10,13,15)</f>
        <v>41762.425868055558</v>
      </c>
      <c r="C1203">
        <v>80</v>
      </c>
      <c r="D1203">
        <v>75.035415649000001</v>
      </c>
      <c r="E1203">
        <v>40</v>
      </c>
      <c r="F1203">
        <v>39.794982910000002</v>
      </c>
      <c r="G1203">
        <v>1345.3151855000001</v>
      </c>
      <c r="H1203">
        <v>1340.6362305</v>
      </c>
      <c r="I1203">
        <v>1321.1842041</v>
      </c>
      <c r="J1203">
        <v>1316.0048827999999</v>
      </c>
      <c r="K1203">
        <v>550</v>
      </c>
      <c r="L1203">
        <v>0</v>
      </c>
      <c r="M1203">
        <v>0</v>
      </c>
      <c r="N1203">
        <v>550</v>
      </c>
    </row>
    <row r="1204" spans="1:14" x14ac:dyDescent="0.25">
      <c r="A1204">
        <v>1463.6020109999999</v>
      </c>
      <c r="B1204" s="1">
        <f>DATE(2014,5,3) + TIME(14,26,53)</f>
        <v>41762.602002314816</v>
      </c>
      <c r="C1204">
        <v>80</v>
      </c>
      <c r="D1204">
        <v>75.373680114999999</v>
      </c>
      <c r="E1204">
        <v>40</v>
      </c>
      <c r="F1204">
        <v>39.785842895999998</v>
      </c>
      <c r="G1204">
        <v>1345.3190918</v>
      </c>
      <c r="H1204">
        <v>1340.6463623</v>
      </c>
      <c r="I1204">
        <v>1321.1849365</v>
      </c>
      <c r="J1204">
        <v>1316.0041504000001</v>
      </c>
      <c r="K1204">
        <v>550</v>
      </c>
      <c r="L1204">
        <v>0</v>
      </c>
      <c r="M1204">
        <v>0</v>
      </c>
      <c r="N1204">
        <v>550</v>
      </c>
    </row>
    <row r="1205" spans="1:14" x14ac:dyDescent="0.25">
      <c r="A1205">
        <v>1463.7841719999999</v>
      </c>
      <c r="B1205" s="1">
        <f>DATE(2014,5,3) + TIME(18,49,12)</f>
        <v>41762.784166666665</v>
      </c>
      <c r="C1205">
        <v>80</v>
      </c>
      <c r="D1205">
        <v>75.698989867999998</v>
      </c>
      <c r="E1205">
        <v>40</v>
      </c>
      <c r="F1205">
        <v>39.776512146000002</v>
      </c>
      <c r="G1205">
        <v>1345.3239745999999</v>
      </c>
      <c r="H1205">
        <v>1340.6566161999999</v>
      </c>
      <c r="I1205">
        <v>1321.1856689000001</v>
      </c>
      <c r="J1205">
        <v>1316.0035399999999</v>
      </c>
      <c r="K1205">
        <v>550</v>
      </c>
      <c r="L1205">
        <v>0</v>
      </c>
      <c r="M1205">
        <v>0</v>
      </c>
      <c r="N1205">
        <v>550</v>
      </c>
    </row>
    <row r="1206" spans="1:14" x14ac:dyDescent="0.25">
      <c r="A1206">
        <v>1463.972757</v>
      </c>
      <c r="B1206" s="1">
        <f>DATE(2014,5,3) + TIME(23,20,46)</f>
        <v>41762.972754629627</v>
      </c>
      <c r="C1206">
        <v>80</v>
      </c>
      <c r="D1206">
        <v>76.011276245000005</v>
      </c>
      <c r="E1206">
        <v>40</v>
      </c>
      <c r="F1206">
        <v>39.766979218000003</v>
      </c>
      <c r="G1206">
        <v>1345.3295897999999</v>
      </c>
      <c r="H1206">
        <v>1340.6669922000001</v>
      </c>
      <c r="I1206">
        <v>1321.1864014</v>
      </c>
      <c r="J1206">
        <v>1316.0026855000001</v>
      </c>
      <c r="K1206">
        <v>550</v>
      </c>
      <c r="L1206">
        <v>0</v>
      </c>
      <c r="M1206">
        <v>0</v>
      </c>
      <c r="N1206">
        <v>550</v>
      </c>
    </row>
    <row r="1207" spans="1:14" x14ac:dyDescent="0.25">
      <c r="A1207">
        <v>1464.1682000000001</v>
      </c>
      <c r="B1207" s="1">
        <f>DATE(2014,5,4) + TIME(4,2,12)</f>
        <v>41763.168194444443</v>
      </c>
      <c r="C1207">
        <v>80</v>
      </c>
      <c r="D1207">
        <v>76.310470581000004</v>
      </c>
      <c r="E1207">
        <v>40</v>
      </c>
      <c r="F1207">
        <v>39.757228851000001</v>
      </c>
      <c r="G1207">
        <v>1345.3358154</v>
      </c>
      <c r="H1207">
        <v>1340.6774902</v>
      </c>
      <c r="I1207">
        <v>1321.1871338000001</v>
      </c>
      <c r="J1207">
        <v>1316.0019531</v>
      </c>
      <c r="K1207">
        <v>550</v>
      </c>
      <c r="L1207">
        <v>0</v>
      </c>
      <c r="M1207">
        <v>0</v>
      </c>
      <c r="N1207">
        <v>550</v>
      </c>
    </row>
    <row r="1208" spans="1:14" x14ac:dyDescent="0.25">
      <c r="A1208">
        <v>1464.3709710000001</v>
      </c>
      <c r="B1208" s="1">
        <f>DATE(2014,5,4) + TIME(8,54,11)</f>
        <v>41763.37096064815</v>
      </c>
      <c r="C1208">
        <v>80</v>
      </c>
      <c r="D1208">
        <v>76.596519470000004</v>
      </c>
      <c r="E1208">
        <v>40</v>
      </c>
      <c r="F1208">
        <v>39.747245788999997</v>
      </c>
      <c r="G1208">
        <v>1345.3426514</v>
      </c>
      <c r="H1208">
        <v>1340.6879882999999</v>
      </c>
      <c r="I1208">
        <v>1321.1878661999999</v>
      </c>
      <c r="J1208">
        <v>1316.0010986</v>
      </c>
      <c r="K1208">
        <v>550</v>
      </c>
      <c r="L1208">
        <v>0</v>
      </c>
      <c r="M1208">
        <v>0</v>
      </c>
      <c r="N1208">
        <v>550</v>
      </c>
    </row>
    <row r="1209" spans="1:14" x14ac:dyDescent="0.25">
      <c r="A1209">
        <v>1464.581588</v>
      </c>
      <c r="B1209" s="1">
        <f>DATE(2014,5,4) + TIME(13,57,29)</f>
        <v>41763.581585648149</v>
      </c>
      <c r="C1209">
        <v>80</v>
      </c>
      <c r="D1209">
        <v>76.869400024000001</v>
      </c>
      <c r="E1209">
        <v>40</v>
      </c>
      <c r="F1209">
        <v>39.737018585000001</v>
      </c>
      <c r="G1209">
        <v>1345.3499756000001</v>
      </c>
      <c r="H1209">
        <v>1340.6984863</v>
      </c>
      <c r="I1209">
        <v>1321.1884766000001</v>
      </c>
      <c r="J1209">
        <v>1316.0002440999999</v>
      </c>
      <c r="K1209">
        <v>550</v>
      </c>
      <c r="L1209">
        <v>0</v>
      </c>
      <c r="M1209">
        <v>0</v>
      </c>
      <c r="N1209">
        <v>550</v>
      </c>
    </row>
    <row r="1210" spans="1:14" x14ac:dyDescent="0.25">
      <c r="A1210">
        <v>1464.8006370000001</v>
      </c>
      <c r="B1210" s="1">
        <f>DATE(2014,5,4) + TIME(19,12,55)</f>
        <v>41763.800636574073</v>
      </c>
      <c r="C1210">
        <v>80</v>
      </c>
      <c r="D1210">
        <v>77.129089355000005</v>
      </c>
      <c r="E1210">
        <v>40</v>
      </c>
      <c r="F1210">
        <v>39.726524353000002</v>
      </c>
      <c r="G1210">
        <v>1345.3576660000001</v>
      </c>
      <c r="H1210">
        <v>1340.7089844</v>
      </c>
      <c r="I1210">
        <v>1321.1892089999999</v>
      </c>
      <c r="J1210">
        <v>1315.9993896000001</v>
      </c>
      <c r="K1210">
        <v>550</v>
      </c>
      <c r="L1210">
        <v>0</v>
      </c>
      <c r="M1210">
        <v>0</v>
      </c>
      <c r="N1210">
        <v>550</v>
      </c>
    </row>
    <row r="1211" spans="1:14" x14ac:dyDescent="0.25">
      <c r="A1211">
        <v>1465.028806</v>
      </c>
      <c r="B1211" s="1">
        <f>DATE(2014,5,5) + TIME(0,41,28)</f>
        <v>41764.028796296298</v>
      </c>
      <c r="C1211">
        <v>80</v>
      </c>
      <c r="D1211">
        <v>77.375656128000003</v>
      </c>
      <c r="E1211">
        <v>40</v>
      </c>
      <c r="F1211">
        <v>39.715744018999999</v>
      </c>
      <c r="G1211">
        <v>1345.3657227000001</v>
      </c>
      <c r="H1211">
        <v>1340.7193603999999</v>
      </c>
      <c r="I1211">
        <v>1321.1899414</v>
      </c>
      <c r="J1211">
        <v>1315.9985352000001</v>
      </c>
      <c r="K1211">
        <v>550</v>
      </c>
      <c r="L1211">
        <v>0</v>
      </c>
      <c r="M1211">
        <v>0</v>
      </c>
      <c r="N1211">
        <v>550</v>
      </c>
    </row>
    <row r="1212" spans="1:14" x14ac:dyDescent="0.25">
      <c r="A1212">
        <v>1465.266703</v>
      </c>
      <c r="B1212" s="1">
        <f>DATE(2014,5,5) + TIME(6,24,3)</f>
        <v>41764.266701388886</v>
      </c>
      <c r="C1212">
        <v>80</v>
      </c>
      <c r="D1212">
        <v>77.609008789000001</v>
      </c>
      <c r="E1212">
        <v>40</v>
      </c>
      <c r="F1212">
        <v>39.704662323000001</v>
      </c>
      <c r="G1212">
        <v>1345.3740233999999</v>
      </c>
      <c r="H1212">
        <v>1340.7294922000001</v>
      </c>
      <c r="I1212">
        <v>1321.1906738</v>
      </c>
      <c r="J1212">
        <v>1315.9975586</v>
      </c>
      <c r="K1212">
        <v>550</v>
      </c>
      <c r="L1212">
        <v>0</v>
      </c>
      <c r="M1212">
        <v>0</v>
      </c>
      <c r="N1212">
        <v>550</v>
      </c>
    </row>
    <row r="1213" spans="1:14" x14ac:dyDescent="0.25">
      <c r="A1213">
        <v>1465.515087</v>
      </c>
      <c r="B1213" s="1">
        <f>DATE(2014,5,5) + TIME(12,21,43)</f>
        <v>41764.515081018515</v>
      </c>
      <c r="C1213">
        <v>80</v>
      </c>
      <c r="D1213">
        <v>77.829193114999995</v>
      </c>
      <c r="E1213">
        <v>40</v>
      </c>
      <c r="F1213">
        <v>39.693256378000001</v>
      </c>
      <c r="G1213">
        <v>1345.3824463000001</v>
      </c>
      <c r="H1213">
        <v>1340.7395019999999</v>
      </c>
      <c r="I1213">
        <v>1321.1912841999999</v>
      </c>
      <c r="J1213">
        <v>1315.9964600000001</v>
      </c>
      <c r="K1213">
        <v>550</v>
      </c>
      <c r="L1213">
        <v>0</v>
      </c>
      <c r="M1213">
        <v>0</v>
      </c>
      <c r="N1213">
        <v>550</v>
      </c>
    </row>
    <row r="1214" spans="1:14" x14ac:dyDescent="0.25">
      <c r="A1214">
        <v>1465.7747959999999</v>
      </c>
      <c r="B1214" s="1">
        <f>DATE(2014,5,5) + TIME(18,35,42)</f>
        <v>41764.774791666663</v>
      </c>
      <c r="C1214">
        <v>80</v>
      </c>
      <c r="D1214">
        <v>78.036262511999993</v>
      </c>
      <c r="E1214">
        <v>40</v>
      </c>
      <c r="F1214">
        <v>39.681499481000003</v>
      </c>
      <c r="G1214">
        <v>1345.3908690999999</v>
      </c>
      <c r="H1214">
        <v>1340.7491454999999</v>
      </c>
      <c r="I1214">
        <v>1321.1920166</v>
      </c>
      <c r="J1214">
        <v>1315.9954834</v>
      </c>
      <c r="K1214">
        <v>550</v>
      </c>
      <c r="L1214">
        <v>0</v>
      </c>
      <c r="M1214">
        <v>0</v>
      </c>
      <c r="N1214">
        <v>550</v>
      </c>
    </row>
    <row r="1215" spans="1:14" x14ac:dyDescent="0.25">
      <c r="A1215">
        <v>1466.0467650000001</v>
      </c>
      <c r="B1215" s="1">
        <f>DATE(2014,5,6) + TIME(1,7,20)</f>
        <v>41765.046759259261</v>
      </c>
      <c r="C1215">
        <v>80</v>
      </c>
      <c r="D1215">
        <v>78.230308532999999</v>
      </c>
      <c r="E1215">
        <v>40</v>
      </c>
      <c r="F1215">
        <v>39.669364928999997</v>
      </c>
      <c r="G1215">
        <v>1345.3992920000001</v>
      </c>
      <c r="H1215">
        <v>1340.7584228999999</v>
      </c>
      <c r="I1215">
        <v>1321.1926269999999</v>
      </c>
      <c r="J1215">
        <v>1315.9943848</v>
      </c>
      <c r="K1215">
        <v>550</v>
      </c>
      <c r="L1215">
        <v>0</v>
      </c>
      <c r="M1215">
        <v>0</v>
      </c>
      <c r="N1215">
        <v>550</v>
      </c>
    </row>
    <row r="1216" spans="1:14" x14ac:dyDescent="0.25">
      <c r="A1216">
        <v>1466.332036</v>
      </c>
      <c r="B1216" s="1">
        <f>DATE(2014,5,6) + TIME(7,58,7)</f>
        <v>41765.332025462965</v>
      </c>
      <c r="C1216">
        <v>80</v>
      </c>
      <c r="D1216">
        <v>78.411460876000007</v>
      </c>
      <c r="E1216">
        <v>40</v>
      </c>
      <c r="F1216">
        <v>39.656829834</v>
      </c>
      <c r="G1216">
        <v>1345.4075928</v>
      </c>
      <c r="H1216">
        <v>1340.7673339999999</v>
      </c>
      <c r="I1216">
        <v>1321.1933594</v>
      </c>
      <c r="J1216">
        <v>1315.9931641000001</v>
      </c>
      <c r="K1216">
        <v>550</v>
      </c>
      <c r="L1216">
        <v>0</v>
      </c>
      <c r="M1216">
        <v>0</v>
      </c>
      <c r="N1216">
        <v>550</v>
      </c>
    </row>
    <row r="1217" spans="1:14" x14ac:dyDescent="0.25">
      <c r="A1217">
        <v>1466.6317790000001</v>
      </c>
      <c r="B1217" s="1">
        <f>DATE(2014,5,6) + TIME(15,9,45)</f>
        <v>41765.63177083333</v>
      </c>
      <c r="C1217">
        <v>80</v>
      </c>
      <c r="D1217">
        <v>78.579864502000007</v>
      </c>
      <c r="E1217">
        <v>40</v>
      </c>
      <c r="F1217">
        <v>39.643852234000001</v>
      </c>
      <c r="G1217">
        <v>1345.4156493999999</v>
      </c>
      <c r="H1217">
        <v>1340.7758789</v>
      </c>
      <c r="I1217">
        <v>1321.1939697</v>
      </c>
      <c r="J1217">
        <v>1315.9919434000001</v>
      </c>
      <c r="K1217">
        <v>550</v>
      </c>
      <c r="L1217">
        <v>0</v>
      </c>
      <c r="M1217">
        <v>0</v>
      </c>
      <c r="N1217">
        <v>550</v>
      </c>
    </row>
    <row r="1218" spans="1:14" x14ac:dyDescent="0.25">
      <c r="A1218">
        <v>1466.9473089999999</v>
      </c>
      <c r="B1218" s="1">
        <f>DATE(2014,5,6) + TIME(22,44,7)</f>
        <v>41765.94730324074</v>
      </c>
      <c r="C1218">
        <v>80</v>
      </c>
      <c r="D1218">
        <v>78.735717773000005</v>
      </c>
      <c r="E1218">
        <v>40</v>
      </c>
      <c r="F1218">
        <v>39.630401611000003</v>
      </c>
      <c r="G1218">
        <v>1345.4233397999999</v>
      </c>
      <c r="H1218">
        <v>1340.7838135</v>
      </c>
      <c r="I1218">
        <v>1321.1945800999999</v>
      </c>
      <c r="J1218">
        <v>1315.9907227000001</v>
      </c>
      <c r="K1218">
        <v>550</v>
      </c>
      <c r="L1218">
        <v>0</v>
      </c>
      <c r="M1218">
        <v>0</v>
      </c>
      <c r="N1218">
        <v>550</v>
      </c>
    </row>
    <row r="1219" spans="1:14" x14ac:dyDescent="0.25">
      <c r="A1219">
        <v>1467.280115</v>
      </c>
      <c r="B1219" s="1">
        <f>DATE(2014,5,7) + TIME(6,43,21)</f>
        <v>41766.280104166668</v>
      </c>
      <c r="C1219">
        <v>80</v>
      </c>
      <c r="D1219">
        <v>78.879257202000005</v>
      </c>
      <c r="E1219">
        <v>40</v>
      </c>
      <c r="F1219">
        <v>39.616439819</v>
      </c>
      <c r="G1219">
        <v>1345.4306641000001</v>
      </c>
      <c r="H1219">
        <v>1340.7912598</v>
      </c>
      <c r="I1219">
        <v>1321.1953125</v>
      </c>
      <c r="J1219">
        <v>1315.9893798999999</v>
      </c>
      <c r="K1219">
        <v>550</v>
      </c>
      <c r="L1219">
        <v>0</v>
      </c>
      <c r="M1219">
        <v>0</v>
      </c>
      <c r="N1219">
        <v>550</v>
      </c>
    </row>
    <row r="1220" spans="1:14" x14ac:dyDescent="0.25">
      <c r="A1220">
        <v>1467.631889</v>
      </c>
      <c r="B1220" s="1">
        <f>DATE(2014,5,7) + TIME(15,9,55)</f>
        <v>41766.631886574076</v>
      </c>
      <c r="C1220">
        <v>80</v>
      </c>
      <c r="D1220">
        <v>79.010757446</v>
      </c>
      <c r="E1220">
        <v>40</v>
      </c>
      <c r="F1220">
        <v>39.601913451999998</v>
      </c>
      <c r="G1220">
        <v>1345.4373779</v>
      </c>
      <c r="H1220">
        <v>1340.7979736</v>
      </c>
      <c r="I1220">
        <v>1321.1959228999999</v>
      </c>
      <c r="J1220">
        <v>1315.9880370999999</v>
      </c>
      <c r="K1220">
        <v>550</v>
      </c>
      <c r="L1220">
        <v>0</v>
      </c>
      <c r="M1220">
        <v>0</v>
      </c>
      <c r="N1220">
        <v>550</v>
      </c>
    </row>
    <row r="1221" spans="1:14" x14ac:dyDescent="0.25">
      <c r="A1221">
        <v>1468.0047669999999</v>
      </c>
      <c r="B1221" s="1">
        <f>DATE(2014,5,8) + TIME(0,6,51)</f>
        <v>41767.004756944443</v>
      </c>
      <c r="C1221">
        <v>80</v>
      </c>
      <c r="D1221">
        <v>79.130592346</v>
      </c>
      <c r="E1221">
        <v>40</v>
      </c>
      <c r="F1221">
        <v>39.586769103999998</v>
      </c>
      <c r="G1221">
        <v>1345.4436035000001</v>
      </c>
      <c r="H1221">
        <v>1340.8040771000001</v>
      </c>
      <c r="I1221">
        <v>1321.1965332</v>
      </c>
      <c r="J1221">
        <v>1315.9865723</v>
      </c>
      <c r="K1221">
        <v>550</v>
      </c>
      <c r="L1221">
        <v>0</v>
      </c>
      <c r="M1221">
        <v>0</v>
      </c>
      <c r="N1221">
        <v>550</v>
      </c>
    </row>
    <row r="1222" spans="1:14" x14ac:dyDescent="0.25">
      <c r="A1222">
        <v>1468.4008859999999</v>
      </c>
      <c r="B1222" s="1">
        <f>DATE(2014,5,8) + TIME(9,37,16)</f>
        <v>41767.400879629633</v>
      </c>
      <c r="C1222">
        <v>80</v>
      </c>
      <c r="D1222">
        <v>79.239074707</v>
      </c>
      <c r="E1222">
        <v>40</v>
      </c>
      <c r="F1222">
        <v>39.570949554000002</v>
      </c>
      <c r="G1222">
        <v>1345.4489745999999</v>
      </c>
      <c r="H1222">
        <v>1340.8094481999999</v>
      </c>
      <c r="I1222">
        <v>1321.1970214999999</v>
      </c>
      <c r="J1222">
        <v>1315.9849853999999</v>
      </c>
      <c r="K1222">
        <v>550</v>
      </c>
      <c r="L1222">
        <v>0</v>
      </c>
      <c r="M1222">
        <v>0</v>
      </c>
      <c r="N1222">
        <v>550</v>
      </c>
    </row>
    <row r="1223" spans="1:14" x14ac:dyDescent="0.25">
      <c r="A1223">
        <v>1468.822768</v>
      </c>
      <c r="B1223" s="1">
        <f>DATE(2014,5,8) + TIME(19,44,47)</f>
        <v>41767.822766203702</v>
      </c>
      <c r="C1223">
        <v>80</v>
      </c>
      <c r="D1223">
        <v>79.336593628000003</v>
      </c>
      <c r="E1223">
        <v>40</v>
      </c>
      <c r="F1223">
        <v>39.554389954000001</v>
      </c>
      <c r="G1223">
        <v>1345.4534911999999</v>
      </c>
      <c r="H1223">
        <v>1340.8139647999999</v>
      </c>
      <c r="I1223">
        <v>1321.1976318</v>
      </c>
      <c r="J1223">
        <v>1315.9833983999999</v>
      </c>
      <c r="K1223">
        <v>550</v>
      </c>
      <c r="L1223">
        <v>0</v>
      </c>
      <c r="M1223">
        <v>0</v>
      </c>
      <c r="N1223">
        <v>550</v>
      </c>
    </row>
    <row r="1224" spans="1:14" x14ac:dyDescent="0.25">
      <c r="A1224">
        <v>1469.27343</v>
      </c>
      <c r="B1224" s="1">
        <f>DATE(2014,5,9) + TIME(6,33,44)</f>
        <v>41768.273425925923</v>
      </c>
      <c r="C1224">
        <v>80</v>
      </c>
      <c r="D1224">
        <v>79.423606872999997</v>
      </c>
      <c r="E1224">
        <v>40</v>
      </c>
      <c r="F1224">
        <v>39.537014008</v>
      </c>
      <c r="G1224">
        <v>1345.4571533000001</v>
      </c>
      <c r="H1224">
        <v>1340.817749</v>
      </c>
      <c r="I1224">
        <v>1321.1982422000001</v>
      </c>
      <c r="J1224">
        <v>1315.9815673999999</v>
      </c>
      <c r="K1224">
        <v>550</v>
      </c>
      <c r="L1224">
        <v>0</v>
      </c>
      <c r="M1224">
        <v>0</v>
      </c>
      <c r="N1224">
        <v>550</v>
      </c>
    </row>
    <row r="1225" spans="1:14" x14ac:dyDescent="0.25">
      <c r="A1225">
        <v>1469.7564159999999</v>
      </c>
      <c r="B1225" s="1">
        <f>DATE(2014,5,9) + TIME(18,9,14)</f>
        <v>41768.756412037037</v>
      </c>
      <c r="C1225">
        <v>80</v>
      </c>
      <c r="D1225">
        <v>79.500602721999996</v>
      </c>
      <c r="E1225">
        <v>40</v>
      </c>
      <c r="F1225">
        <v>39.518733978</v>
      </c>
      <c r="G1225">
        <v>1345.4597168</v>
      </c>
      <c r="H1225">
        <v>1340.8205565999999</v>
      </c>
      <c r="I1225">
        <v>1321.1987305</v>
      </c>
      <c r="J1225">
        <v>1315.9797363</v>
      </c>
      <c r="K1225">
        <v>550</v>
      </c>
      <c r="L1225">
        <v>0</v>
      </c>
      <c r="M1225">
        <v>0</v>
      </c>
      <c r="N1225">
        <v>550</v>
      </c>
    </row>
    <row r="1226" spans="1:14" x14ac:dyDescent="0.25">
      <c r="A1226">
        <v>1470.2758839999999</v>
      </c>
      <c r="B1226" s="1">
        <f>DATE(2014,5,10) + TIME(6,37,16)</f>
        <v>41769.275879629633</v>
      </c>
      <c r="C1226">
        <v>80</v>
      </c>
      <c r="D1226">
        <v>79.568130492999998</v>
      </c>
      <c r="E1226">
        <v>40</v>
      </c>
      <c r="F1226">
        <v>39.499450684000003</v>
      </c>
      <c r="G1226">
        <v>1345.4610596</v>
      </c>
      <c r="H1226">
        <v>1340.8222656</v>
      </c>
      <c r="I1226">
        <v>1321.1992187999999</v>
      </c>
      <c r="J1226">
        <v>1315.9777832</v>
      </c>
      <c r="K1226">
        <v>550</v>
      </c>
      <c r="L1226">
        <v>0</v>
      </c>
      <c r="M1226">
        <v>0</v>
      </c>
      <c r="N1226">
        <v>550</v>
      </c>
    </row>
    <row r="1227" spans="1:14" x14ac:dyDescent="0.25">
      <c r="A1227">
        <v>1470.8081340000001</v>
      </c>
      <c r="B1227" s="1">
        <f>DATE(2014,5,10) + TIME(19,23,42)</f>
        <v>41769.808125000003</v>
      </c>
      <c r="C1227">
        <v>80</v>
      </c>
      <c r="D1227">
        <v>79.624328613000003</v>
      </c>
      <c r="E1227">
        <v>40</v>
      </c>
      <c r="F1227">
        <v>39.479953766000001</v>
      </c>
      <c r="G1227">
        <v>1345.4619141000001</v>
      </c>
      <c r="H1227">
        <v>1340.8234863</v>
      </c>
      <c r="I1227">
        <v>1321.199707</v>
      </c>
      <c r="J1227">
        <v>1315.9755858999999</v>
      </c>
      <c r="K1227">
        <v>550</v>
      </c>
      <c r="L1227">
        <v>0</v>
      </c>
      <c r="M1227">
        <v>0</v>
      </c>
      <c r="N1227">
        <v>550</v>
      </c>
    </row>
    <row r="1228" spans="1:14" x14ac:dyDescent="0.25">
      <c r="A1228">
        <v>1471.347041</v>
      </c>
      <c r="B1228" s="1">
        <f>DATE(2014,5,11) + TIME(8,19,44)</f>
        <v>41770.347037037034</v>
      </c>
      <c r="C1228">
        <v>80</v>
      </c>
      <c r="D1228">
        <v>79.670471191000004</v>
      </c>
      <c r="E1228">
        <v>40</v>
      </c>
      <c r="F1228">
        <v>39.460449218999997</v>
      </c>
      <c r="G1228">
        <v>1345.4615478999999</v>
      </c>
      <c r="H1228">
        <v>1340.8237305</v>
      </c>
      <c r="I1228">
        <v>1321.2000731999999</v>
      </c>
      <c r="J1228">
        <v>1315.9733887</v>
      </c>
      <c r="K1228">
        <v>550</v>
      </c>
      <c r="L1228">
        <v>0</v>
      </c>
      <c r="M1228">
        <v>0</v>
      </c>
      <c r="N1228">
        <v>550</v>
      </c>
    </row>
    <row r="1229" spans="1:14" x14ac:dyDescent="0.25">
      <c r="A1229">
        <v>1471.8945040000001</v>
      </c>
      <c r="B1229" s="1">
        <f>DATE(2014,5,11) + TIME(21,28,5)</f>
        <v>41770.894502314812</v>
      </c>
      <c r="C1229">
        <v>80</v>
      </c>
      <c r="D1229">
        <v>79.708412170000003</v>
      </c>
      <c r="E1229">
        <v>40</v>
      </c>
      <c r="F1229">
        <v>39.440883636000002</v>
      </c>
      <c r="G1229">
        <v>1345.4598389</v>
      </c>
      <c r="H1229">
        <v>1340.822876</v>
      </c>
      <c r="I1229">
        <v>1321.2004394999999</v>
      </c>
      <c r="J1229">
        <v>1315.9711914</v>
      </c>
      <c r="K1229">
        <v>550</v>
      </c>
      <c r="L1229">
        <v>0</v>
      </c>
      <c r="M1229">
        <v>0</v>
      </c>
      <c r="N1229">
        <v>550</v>
      </c>
    </row>
    <row r="1230" spans="1:14" x14ac:dyDescent="0.25">
      <c r="A1230">
        <v>1472.451693</v>
      </c>
      <c r="B1230" s="1">
        <f>DATE(2014,5,12) + TIME(10,50,26)</f>
        <v>41771.451689814814</v>
      </c>
      <c r="C1230">
        <v>80</v>
      </c>
      <c r="D1230">
        <v>79.739593506000006</v>
      </c>
      <c r="E1230">
        <v>40</v>
      </c>
      <c r="F1230">
        <v>39.421230315999999</v>
      </c>
      <c r="G1230">
        <v>1345.4567870999999</v>
      </c>
      <c r="H1230">
        <v>1340.8210449000001</v>
      </c>
      <c r="I1230">
        <v>1321.2006836</v>
      </c>
      <c r="J1230">
        <v>1315.9688721</v>
      </c>
      <c r="K1230">
        <v>550</v>
      </c>
      <c r="L1230">
        <v>0</v>
      </c>
      <c r="M1230">
        <v>0</v>
      </c>
      <c r="N1230">
        <v>550</v>
      </c>
    </row>
    <row r="1231" spans="1:14" x14ac:dyDescent="0.25">
      <c r="A1231">
        <v>1473.0200580000001</v>
      </c>
      <c r="B1231" s="1">
        <f>DATE(2014,5,13) + TIME(0,28,53)</f>
        <v>41772.020057870373</v>
      </c>
      <c r="C1231">
        <v>80</v>
      </c>
      <c r="D1231">
        <v>79.765213012999993</v>
      </c>
      <c r="E1231">
        <v>40</v>
      </c>
      <c r="F1231">
        <v>39.401451111</v>
      </c>
      <c r="G1231">
        <v>1345.4526367000001</v>
      </c>
      <c r="H1231">
        <v>1340.8183594</v>
      </c>
      <c r="I1231">
        <v>1321.2009277</v>
      </c>
      <c r="J1231">
        <v>1315.9665527</v>
      </c>
      <c r="K1231">
        <v>550</v>
      </c>
      <c r="L1231">
        <v>0</v>
      </c>
      <c r="M1231">
        <v>0</v>
      </c>
      <c r="N1231">
        <v>550</v>
      </c>
    </row>
    <row r="1232" spans="1:14" x14ac:dyDescent="0.25">
      <c r="A1232">
        <v>1473.6012270000001</v>
      </c>
      <c r="B1232" s="1">
        <f>DATE(2014,5,13) + TIME(14,25,45)</f>
        <v>41772.601215277777</v>
      </c>
      <c r="C1232">
        <v>80</v>
      </c>
      <c r="D1232">
        <v>79.786262511999993</v>
      </c>
      <c r="E1232">
        <v>40</v>
      </c>
      <c r="F1232">
        <v>39.381515503000003</v>
      </c>
      <c r="G1232">
        <v>1345.4475098</v>
      </c>
      <c r="H1232">
        <v>1340.8150635</v>
      </c>
      <c r="I1232">
        <v>1321.2010498</v>
      </c>
      <c r="J1232">
        <v>1315.9641113</v>
      </c>
      <c r="K1232">
        <v>550</v>
      </c>
      <c r="L1232">
        <v>0</v>
      </c>
      <c r="M1232">
        <v>0</v>
      </c>
      <c r="N1232">
        <v>550</v>
      </c>
    </row>
    <row r="1233" spans="1:14" x14ac:dyDescent="0.25">
      <c r="A1233">
        <v>1474.1970260000001</v>
      </c>
      <c r="B1233" s="1">
        <f>DATE(2014,5,14) + TIME(4,43,43)</f>
        <v>41773.197025462963</v>
      </c>
      <c r="C1233">
        <v>80</v>
      </c>
      <c r="D1233">
        <v>79.803550720000004</v>
      </c>
      <c r="E1233">
        <v>40</v>
      </c>
      <c r="F1233">
        <v>39.361377716</v>
      </c>
      <c r="G1233">
        <v>1345.4412841999999</v>
      </c>
      <c r="H1233">
        <v>1340.8110352000001</v>
      </c>
      <c r="I1233">
        <v>1321.2012939000001</v>
      </c>
      <c r="J1233">
        <v>1315.9615478999999</v>
      </c>
      <c r="K1233">
        <v>550</v>
      </c>
      <c r="L1233">
        <v>0</v>
      </c>
      <c r="M1233">
        <v>0</v>
      </c>
      <c r="N1233">
        <v>550</v>
      </c>
    </row>
    <row r="1234" spans="1:14" x14ac:dyDescent="0.25">
      <c r="A1234">
        <v>1474.8092389999999</v>
      </c>
      <c r="B1234" s="1">
        <f>DATE(2014,5,14) + TIME(19,25,18)</f>
        <v>41773.809236111112</v>
      </c>
      <c r="C1234">
        <v>80</v>
      </c>
      <c r="D1234">
        <v>79.817741393999995</v>
      </c>
      <c r="E1234">
        <v>40</v>
      </c>
      <c r="F1234">
        <v>39.341003418</v>
      </c>
      <c r="G1234">
        <v>1345.4342041</v>
      </c>
      <c r="H1234">
        <v>1340.8062743999999</v>
      </c>
      <c r="I1234">
        <v>1321.2012939000001</v>
      </c>
      <c r="J1234">
        <v>1315.9589844</v>
      </c>
      <c r="K1234">
        <v>550</v>
      </c>
      <c r="L1234">
        <v>0</v>
      </c>
      <c r="M1234">
        <v>0</v>
      </c>
      <c r="N1234">
        <v>550</v>
      </c>
    </row>
    <row r="1235" spans="1:14" x14ac:dyDescent="0.25">
      <c r="A1235">
        <v>1475.4398209999999</v>
      </c>
      <c r="B1235" s="1">
        <f>DATE(2014,5,15) + TIME(10,33,20)</f>
        <v>41774.439814814818</v>
      </c>
      <c r="C1235">
        <v>80</v>
      </c>
      <c r="D1235">
        <v>79.829383849999999</v>
      </c>
      <c r="E1235">
        <v>40</v>
      </c>
      <c r="F1235">
        <v>39.320358276</v>
      </c>
      <c r="G1235">
        <v>1345.4262695</v>
      </c>
      <c r="H1235">
        <v>1340.8010254000001</v>
      </c>
      <c r="I1235">
        <v>1321.2014160000001</v>
      </c>
      <c r="J1235">
        <v>1315.9562988</v>
      </c>
      <c r="K1235">
        <v>550</v>
      </c>
      <c r="L1235">
        <v>0</v>
      </c>
      <c r="M1235">
        <v>0</v>
      </c>
      <c r="N1235">
        <v>550</v>
      </c>
    </row>
    <row r="1236" spans="1:14" x14ac:dyDescent="0.25">
      <c r="A1236">
        <v>1476.090923</v>
      </c>
      <c r="B1236" s="1">
        <f>DATE(2014,5,16) + TIME(2,10,55)</f>
        <v>41775.090914351851</v>
      </c>
      <c r="C1236">
        <v>80</v>
      </c>
      <c r="D1236">
        <v>79.838920592999997</v>
      </c>
      <c r="E1236">
        <v>40</v>
      </c>
      <c r="F1236">
        <v>39.299400329999997</v>
      </c>
      <c r="G1236">
        <v>1345.4174805</v>
      </c>
      <c r="H1236">
        <v>1340.7951660000001</v>
      </c>
      <c r="I1236">
        <v>1321.2014160000001</v>
      </c>
      <c r="J1236">
        <v>1315.9534911999999</v>
      </c>
      <c r="K1236">
        <v>550</v>
      </c>
      <c r="L1236">
        <v>0</v>
      </c>
      <c r="M1236">
        <v>0</v>
      </c>
      <c r="N1236">
        <v>550</v>
      </c>
    </row>
    <row r="1237" spans="1:14" x14ac:dyDescent="0.25">
      <c r="A1237">
        <v>1476.7579760000001</v>
      </c>
      <c r="B1237" s="1">
        <f>DATE(2014,5,16) + TIME(18,11,29)</f>
        <v>41775.757974537039</v>
      </c>
      <c r="C1237">
        <v>80</v>
      </c>
      <c r="D1237">
        <v>79.846664429</v>
      </c>
      <c r="E1237">
        <v>40</v>
      </c>
      <c r="F1237">
        <v>39.278282165999997</v>
      </c>
      <c r="G1237">
        <v>1345.4079589999999</v>
      </c>
      <c r="H1237">
        <v>1340.7888184000001</v>
      </c>
      <c r="I1237">
        <v>1321.2014160000001</v>
      </c>
      <c r="J1237">
        <v>1315.9505615</v>
      </c>
      <c r="K1237">
        <v>550</v>
      </c>
      <c r="L1237">
        <v>0</v>
      </c>
      <c r="M1237">
        <v>0</v>
      </c>
      <c r="N1237">
        <v>550</v>
      </c>
    </row>
    <row r="1238" spans="1:14" x14ac:dyDescent="0.25">
      <c r="A1238">
        <v>1477.4414770000001</v>
      </c>
      <c r="B1238" s="1">
        <f>DATE(2014,5,17) + TIME(10,35,43)</f>
        <v>41776.441469907404</v>
      </c>
      <c r="C1238">
        <v>80</v>
      </c>
      <c r="D1238">
        <v>79.852951050000001</v>
      </c>
      <c r="E1238">
        <v>40</v>
      </c>
      <c r="F1238">
        <v>39.257011413999997</v>
      </c>
      <c r="G1238">
        <v>1345.3978271000001</v>
      </c>
      <c r="H1238">
        <v>1340.7821045000001</v>
      </c>
      <c r="I1238">
        <v>1321.2012939000001</v>
      </c>
      <c r="J1238">
        <v>1315.9475098</v>
      </c>
      <c r="K1238">
        <v>550</v>
      </c>
      <c r="L1238">
        <v>0</v>
      </c>
      <c r="M1238">
        <v>0</v>
      </c>
      <c r="N1238">
        <v>550</v>
      </c>
    </row>
    <row r="1239" spans="1:14" x14ac:dyDescent="0.25">
      <c r="A1239">
        <v>1478.1430969999999</v>
      </c>
      <c r="B1239" s="1">
        <f>DATE(2014,5,18) + TIME(3,26,3)</f>
        <v>41777.143090277779</v>
      </c>
      <c r="C1239">
        <v>80</v>
      </c>
      <c r="D1239">
        <v>79.858062743999994</v>
      </c>
      <c r="E1239">
        <v>40</v>
      </c>
      <c r="F1239">
        <v>39.235565186000002</v>
      </c>
      <c r="G1239">
        <v>1345.3869629000001</v>
      </c>
      <c r="H1239">
        <v>1340.7749022999999</v>
      </c>
      <c r="I1239">
        <v>1321.2011719</v>
      </c>
      <c r="J1239">
        <v>1315.9443358999999</v>
      </c>
      <c r="K1239">
        <v>550</v>
      </c>
      <c r="L1239">
        <v>0</v>
      </c>
      <c r="M1239">
        <v>0</v>
      </c>
      <c r="N1239">
        <v>550</v>
      </c>
    </row>
    <row r="1240" spans="1:14" x14ac:dyDescent="0.25">
      <c r="A1240">
        <v>1478.864615</v>
      </c>
      <c r="B1240" s="1">
        <f>DATE(2014,5,18) + TIME(20,45,2)</f>
        <v>41777.864606481482</v>
      </c>
      <c r="C1240">
        <v>80</v>
      </c>
      <c r="D1240">
        <v>79.862220764</v>
      </c>
      <c r="E1240">
        <v>40</v>
      </c>
      <c r="F1240">
        <v>39.213932036999999</v>
      </c>
      <c r="G1240">
        <v>1345.3756103999999</v>
      </c>
      <c r="H1240">
        <v>1340.7674560999999</v>
      </c>
      <c r="I1240">
        <v>1321.2010498</v>
      </c>
      <c r="J1240">
        <v>1315.9410399999999</v>
      </c>
      <c r="K1240">
        <v>550</v>
      </c>
      <c r="L1240">
        <v>0</v>
      </c>
      <c r="M1240">
        <v>0</v>
      </c>
      <c r="N1240">
        <v>550</v>
      </c>
    </row>
    <row r="1241" spans="1:14" x14ac:dyDescent="0.25">
      <c r="A1241">
        <v>1479.608567</v>
      </c>
      <c r="B1241" s="1">
        <f>DATE(2014,5,19) + TIME(14,36,20)</f>
        <v>41778.608564814815</v>
      </c>
      <c r="C1241">
        <v>80</v>
      </c>
      <c r="D1241">
        <v>79.865608214999995</v>
      </c>
      <c r="E1241">
        <v>40</v>
      </c>
      <c r="F1241">
        <v>39.192077636999997</v>
      </c>
      <c r="G1241">
        <v>1345.3637695</v>
      </c>
      <c r="H1241">
        <v>1340.7596435999999</v>
      </c>
      <c r="I1241">
        <v>1321.2008057</v>
      </c>
      <c r="J1241">
        <v>1315.9375</v>
      </c>
      <c r="K1241">
        <v>550</v>
      </c>
      <c r="L1241">
        <v>0</v>
      </c>
      <c r="M1241">
        <v>0</v>
      </c>
      <c r="N1241">
        <v>550</v>
      </c>
    </row>
    <row r="1242" spans="1:14" x14ac:dyDescent="0.25">
      <c r="A1242">
        <v>1480.3772690000001</v>
      </c>
      <c r="B1242" s="1">
        <f>DATE(2014,5,20) + TIME(9,3,16)</f>
        <v>41779.377268518518</v>
      </c>
      <c r="C1242">
        <v>80</v>
      </c>
      <c r="D1242">
        <v>79.868385314999998</v>
      </c>
      <c r="E1242">
        <v>40</v>
      </c>
      <c r="F1242">
        <v>39.169982910000002</v>
      </c>
      <c r="G1242">
        <v>1345.3513184000001</v>
      </c>
      <c r="H1242">
        <v>1340.7514647999999</v>
      </c>
      <c r="I1242">
        <v>1321.2005615</v>
      </c>
      <c r="J1242">
        <v>1315.9339600000001</v>
      </c>
      <c r="K1242">
        <v>550</v>
      </c>
      <c r="L1242">
        <v>0</v>
      </c>
      <c r="M1242">
        <v>0</v>
      </c>
      <c r="N1242">
        <v>550</v>
      </c>
    </row>
    <row r="1243" spans="1:14" x14ac:dyDescent="0.25">
      <c r="A1243">
        <v>1481.1732790000001</v>
      </c>
      <c r="B1243" s="1">
        <f>DATE(2014,5,21) + TIME(4,9,31)</f>
        <v>41780.173275462963</v>
      </c>
      <c r="C1243">
        <v>80</v>
      </c>
      <c r="D1243">
        <v>79.870651245000005</v>
      </c>
      <c r="E1243">
        <v>40</v>
      </c>
      <c r="F1243">
        <v>39.147628783999998</v>
      </c>
      <c r="G1243">
        <v>1345.3383789</v>
      </c>
      <c r="H1243">
        <v>1340.7429199000001</v>
      </c>
      <c r="I1243">
        <v>1321.2003173999999</v>
      </c>
      <c r="J1243">
        <v>1315.9301757999999</v>
      </c>
      <c r="K1243">
        <v>550</v>
      </c>
      <c r="L1243">
        <v>0</v>
      </c>
      <c r="M1243">
        <v>0</v>
      </c>
      <c r="N1243">
        <v>550</v>
      </c>
    </row>
    <row r="1244" spans="1:14" x14ac:dyDescent="0.25">
      <c r="A1244">
        <v>1481.9994730000001</v>
      </c>
      <c r="B1244" s="1">
        <f>DATE(2014,5,21) + TIME(23,59,14)</f>
        <v>41780.999467592592</v>
      </c>
      <c r="C1244">
        <v>80</v>
      </c>
      <c r="D1244">
        <v>79.872520446999999</v>
      </c>
      <c r="E1244">
        <v>40</v>
      </c>
      <c r="F1244">
        <v>39.124996185000001</v>
      </c>
      <c r="G1244">
        <v>1345.3249512</v>
      </c>
      <c r="H1244">
        <v>1340.7341309000001</v>
      </c>
      <c r="I1244">
        <v>1321.1999512</v>
      </c>
      <c r="J1244">
        <v>1315.9262695</v>
      </c>
      <c r="K1244">
        <v>550</v>
      </c>
      <c r="L1244">
        <v>0</v>
      </c>
      <c r="M1244">
        <v>0</v>
      </c>
      <c r="N1244">
        <v>550</v>
      </c>
    </row>
    <row r="1245" spans="1:14" x14ac:dyDescent="0.25">
      <c r="A1245">
        <v>1482.859111</v>
      </c>
      <c r="B1245" s="1">
        <f>DATE(2014,5,22) + TIME(20,37,7)</f>
        <v>41781.8591087963</v>
      </c>
      <c r="C1245">
        <v>80</v>
      </c>
      <c r="D1245">
        <v>79.874053954999994</v>
      </c>
      <c r="E1245">
        <v>40</v>
      </c>
      <c r="F1245">
        <v>39.102069855000003</v>
      </c>
      <c r="G1245">
        <v>1345.3109131000001</v>
      </c>
      <c r="H1245">
        <v>1340.7250977000001</v>
      </c>
      <c r="I1245">
        <v>1321.1995850000001</v>
      </c>
      <c r="J1245">
        <v>1315.9221190999999</v>
      </c>
      <c r="K1245">
        <v>550</v>
      </c>
      <c r="L1245">
        <v>0</v>
      </c>
      <c r="M1245">
        <v>0</v>
      </c>
      <c r="N1245">
        <v>550</v>
      </c>
    </row>
    <row r="1246" spans="1:14" x14ac:dyDescent="0.25">
      <c r="A1246">
        <v>1483.756157</v>
      </c>
      <c r="B1246" s="1">
        <f>DATE(2014,5,23) + TIME(18,8,51)</f>
        <v>41782.756145833337</v>
      </c>
      <c r="C1246">
        <v>80</v>
      </c>
      <c r="D1246">
        <v>79.875328064000001</v>
      </c>
      <c r="E1246">
        <v>40</v>
      </c>
      <c r="F1246">
        <v>39.078830719000003</v>
      </c>
      <c r="G1246">
        <v>1345.2963867000001</v>
      </c>
      <c r="H1246">
        <v>1340.7155762</v>
      </c>
      <c r="I1246">
        <v>1321.1990966999999</v>
      </c>
      <c r="J1246">
        <v>1315.9177245999999</v>
      </c>
      <c r="K1246">
        <v>550</v>
      </c>
      <c r="L1246">
        <v>0</v>
      </c>
      <c r="M1246">
        <v>0</v>
      </c>
      <c r="N1246">
        <v>550</v>
      </c>
    </row>
    <row r="1247" spans="1:14" x14ac:dyDescent="0.25">
      <c r="A1247">
        <v>1484.688304</v>
      </c>
      <c r="B1247" s="1">
        <f>DATE(2014,5,24) + TIME(16,31,9)</f>
        <v>41783.688298611109</v>
      </c>
      <c r="C1247">
        <v>80</v>
      </c>
      <c r="D1247">
        <v>79.876365661999998</v>
      </c>
      <c r="E1247">
        <v>40</v>
      </c>
      <c r="F1247">
        <v>39.055393219000003</v>
      </c>
      <c r="G1247">
        <v>1345.2813721</v>
      </c>
      <c r="H1247">
        <v>1340.7058105000001</v>
      </c>
      <c r="I1247">
        <v>1321.1986084</v>
      </c>
      <c r="J1247">
        <v>1315.9130858999999</v>
      </c>
      <c r="K1247">
        <v>550</v>
      </c>
      <c r="L1247">
        <v>0</v>
      </c>
      <c r="M1247">
        <v>0</v>
      </c>
      <c r="N1247">
        <v>550</v>
      </c>
    </row>
    <row r="1248" spans="1:14" x14ac:dyDescent="0.25">
      <c r="A1248">
        <v>1485.6506509999999</v>
      </c>
      <c r="B1248" s="1">
        <f>DATE(2014,5,25) + TIME(15,36,56)</f>
        <v>41784.650648148148</v>
      </c>
      <c r="C1248">
        <v>80</v>
      </c>
      <c r="D1248">
        <v>79.877220154</v>
      </c>
      <c r="E1248">
        <v>40</v>
      </c>
      <c r="F1248">
        <v>39.031940460000001</v>
      </c>
      <c r="G1248">
        <v>1345.2657471</v>
      </c>
      <c r="H1248">
        <v>1340.6958007999999</v>
      </c>
      <c r="I1248">
        <v>1321.1981201000001</v>
      </c>
      <c r="J1248">
        <v>1315.9083252</v>
      </c>
      <c r="K1248">
        <v>550</v>
      </c>
      <c r="L1248">
        <v>0</v>
      </c>
      <c r="M1248">
        <v>0</v>
      </c>
      <c r="N1248">
        <v>550</v>
      </c>
    </row>
    <row r="1249" spans="1:14" x14ac:dyDescent="0.25">
      <c r="A1249">
        <v>1486.6465370000001</v>
      </c>
      <c r="B1249" s="1">
        <f>DATE(2014,5,26) + TIME(15,31,0)</f>
        <v>41785.646527777775</v>
      </c>
      <c r="C1249">
        <v>80</v>
      </c>
      <c r="D1249">
        <v>79.877922057999996</v>
      </c>
      <c r="E1249">
        <v>40</v>
      </c>
      <c r="F1249">
        <v>39.008480071999998</v>
      </c>
      <c r="G1249">
        <v>1345.2498779</v>
      </c>
      <c r="H1249">
        <v>1340.6855469</v>
      </c>
      <c r="I1249">
        <v>1321.1975098</v>
      </c>
      <c r="J1249">
        <v>1315.9031981999999</v>
      </c>
      <c r="K1249">
        <v>550</v>
      </c>
      <c r="L1249">
        <v>0</v>
      </c>
      <c r="M1249">
        <v>0</v>
      </c>
      <c r="N1249">
        <v>550</v>
      </c>
    </row>
    <row r="1250" spans="1:14" x14ac:dyDescent="0.25">
      <c r="A1250">
        <v>1487.6625469999999</v>
      </c>
      <c r="B1250" s="1">
        <f>DATE(2014,5,27) + TIME(15,54,4)</f>
        <v>41786.662546296298</v>
      </c>
      <c r="C1250">
        <v>80</v>
      </c>
      <c r="D1250">
        <v>79.878494262999993</v>
      </c>
      <c r="E1250">
        <v>40</v>
      </c>
      <c r="F1250">
        <v>38.985343933000003</v>
      </c>
      <c r="G1250">
        <v>1345.2337646000001</v>
      </c>
      <c r="H1250">
        <v>1340.6751709</v>
      </c>
      <c r="I1250">
        <v>1321.1968993999999</v>
      </c>
      <c r="J1250">
        <v>1315.8979492000001</v>
      </c>
      <c r="K1250">
        <v>550</v>
      </c>
      <c r="L1250">
        <v>0</v>
      </c>
      <c r="M1250">
        <v>0</v>
      </c>
      <c r="N1250">
        <v>550</v>
      </c>
    </row>
    <row r="1251" spans="1:14" x14ac:dyDescent="0.25">
      <c r="A1251">
        <v>1488.6942059999999</v>
      </c>
      <c r="B1251" s="1">
        <f>DATE(2014,5,28) + TIME(16,39,39)</f>
        <v>41787.694201388891</v>
      </c>
      <c r="C1251">
        <v>80</v>
      </c>
      <c r="D1251">
        <v>79.878952025999993</v>
      </c>
      <c r="E1251">
        <v>40</v>
      </c>
      <c r="F1251">
        <v>38.962692261000001</v>
      </c>
      <c r="G1251">
        <v>1345.2174072</v>
      </c>
      <c r="H1251">
        <v>1340.6646728999999</v>
      </c>
      <c r="I1251">
        <v>1321.1961670000001</v>
      </c>
      <c r="J1251">
        <v>1315.8925781</v>
      </c>
      <c r="K1251">
        <v>550</v>
      </c>
      <c r="L1251">
        <v>0</v>
      </c>
      <c r="M1251">
        <v>0</v>
      </c>
      <c r="N1251">
        <v>550</v>
      </c>
    </row>
    <row r="1252" spans="1:14" x14ac:dyDescent="0.25">
      <c r="A1252">
        <v>1489.7450269999999</v>
      </c>
      <c r="B1252" s="1">
        <f>DATE(2014,5,29) + TIME(17,52,50)</f>
        <v>41788.745023148149</v>
      </c>
      <c r="C1252">
        <v>80</v>
      </c>
      <c r="D1252">
        <v>79.879318237000007</v>
      </c>
      <c r="E1252">
        <v>40</v>
      </c>
      <c r="F1252">
        <v>38.940544127999999</v>
      </c>
      <c r="G1252">
        <v>1345.2010498</v>
      </c>
      <c r="H1252">
        <v>1340.6542969</v>
      </c>
      <c r="I1252">
        <v>1321.1955565999999</v>
      </c>
      <c r="J1252">
        <v>1315.8869629000001</v>
      </c>
      <c r="K1252">
        <v>550</v>
      </c>
      <c r="L1252">
        <v>0</v>
      </c>
      <c r="M1252">
        <v>0</v>
      </c>
      <c r="N1252">
        <v>550</v>
      </c>
    </row>
    <row r="1253" spans="1:14" x14ac:dyDescent="0.25">
      <c r="A1253">
        <v>1490.8186009999999</v>
      </c>
      <c r="B1253" s="1">
        <f>DATE(2014,5,30) + TIME(19,38,47)</f>
        <v>41789.818599537037</v>
      </c>
      <c r="C1253">
        <v>80</v>
      </c>
      <c r="D1253">
        <v>79.879615783999995</v>
      </c>
      <c r="E1253">
        <v>40</v>
      </c>
      <c r="F1253">
        <v>38.918918609999999</v>
      </c>
      <c r="G1253">
        <v>1345.1846923999999</v>
      </c>
      <c r="H1253">
        <v>1340.6437988</v>
      </c>
      <c r="I1253">
        <v>1321.1948242000001</v>
      </c>
      <c r="J1253">
        <v>1315.8812256000001</v>
      </c>
      <c r="K1253">
        <v>550</v>
      </c>
      <c r="L1253">
        <v>0</v>
      </c>
      <c r="M1253">
        <v>0</v>
      </c>
      <c r="N1253">
        <v>550</v>
      </c>
    </row>
    <row r="1254" spans="1:14" x14ac:dyDescent="0.25">
      <c r="A1254">
        <v>1491.9187629999999</v>
      </c>
      <c r="B1254" s="1">
        <f>DATE(2014,5,31) + TIME(22,3,1)</f>
        <v>41790.918761574074</v>
      </c>
      <c r="C1254">
        <v>80</v>
      </c>
      <c r="D1254">
        <v>79.879859924000002</v>
      </c>
      <c r="E1254">
        <v>40</v>
      </c>
      <c r="F1254">
        <v>38.897853851000001</v>
      </c>
      <c r="G1254">
        <v>1345.1682129000001</v>
      </c>
      <c r="H1254">
        <v>1340.6333007999999</v>
      </c>
      <c r="I1254">
        <v>1321.1939697</v>
      </c>
      <c r="J1254">
        <v>1315.8753661999999</v>
      </c>
      <c r="K1254">
        <v>550</v>
      </c>
      <c r="L1254">
        <v>0</v>
      </c>
      <c r="M1254">
        <v>0</v>
      </c>
      <c r="N1254">
        <v>550</v>
      </c>
    </row>
    <row r="1255" spans="1:14" x14ac:dyDescent="0.25">
      <c r="A1255">
        <v>1492</v>
      </c>
      <c r="B1255" s="1">
        <f>DATE(2014,6,1) + TIME(0,0,0)</f>
        <v>41791</v>
      </c>
      <c r="C1255">
        <v>80</v>
      </c>
      <c r="D1255">
        <v>79.879867554</v>
      </c>
      <c r="E1255">
        <v>40</v>
      </c>
      <c r="F1255">
        <v>38.895973206000001</v>
      </c>
      <c r="G1255">
        <v>1345.1527100000001</v>
      </c>
      <c r="H1255">
        <v>1340.6236572</v>
      </c>
      <c r="I1255">
        <v>1321.1937256000001</v>
      </c>
      <c r="J1255">
        <v>1315.8717041</v>
      </c>
      <c r="K1255">
        <v>550</v>
      </c>
      <c r="L1255">
        <v>0</v>
      </c>
      <c r="M1255">
        <v>0</v>
      </c>
      <c r="N1255">
        <v>550</v>
      </c>
    </row>
    <row r="1256" spans="1:14" x14ac:dyDescent="0.25">
      <c r="A1256">
        <v>1493.123006</v>
      </c>
      <c r="B1256" s="1">
        <f>DATE(2014,6,2) + TIME(2,57,7)</f>
        <v>41792.122997685183</v>
      </c>
      <c r="C1256">
        <v>80</v>
      </c>
      <c r="D1256">
        <v>79.880058289000004</v>
      </c>
      <c r="E1256">
        <v>40</v>
      </c>
      <c r="F1256">
        <v>38.875793457</v>
      </c>
      <c r="G1256">
        <v>1345.1503906</v>
      </c>
      <c r="H1256">
        <v>1340.6220702999999</v>
      </c>
      <c r="I1256">
        <v>1321.1931152</v>
      </c>
      <c r="J1256">
        <v>1315.8686522999999</v>
      </c>
      <c r="K1256">
        <v>550</v>
      </c>
      <c r="L1256">
        <v>0</v>
      </c>
      <c r="M1256">
        <v>0</v>
      </c>
      <c r="N1256">
        <v>550</v>
      </c>
    </row>
    <row r="1257" spans="1:14" x14ac:dyDescent="0.25">
      <c r="A1257">
        <v>1494.2609199999999</v>
      </c>
      <c r="B1257" s="1">
        <f>DATE(2014,6,3) + TIME(6,15,43)</f>
        <v>41793.260914351849</v>
      </c>
      <c r="C1257">
        <v>80</v>
      </c>
      <c r="D1257">
        <v>79.880210876000007</v>
      </c>
      <c r="E1257">
        <v>40</v>
      </c>
      <c r="F1257">
        <v>38.856506348000003</v>
      </c>
      <c r="G1257">
        <v>1345.1336670000001</v>
      </c>
      <c r="H1257">
        <v>1340.6114502</v>
      </c>
      <c r="I1257">
        <v>1321.1922606999999</v>
      </c>
      <c r="J1257">
        <v>1315.8624268000001</v>
      </c>
      <c r="K1257">
        <v>550</v>
      </c>
      <c r="L1257">
        <v>0</v>
      </c>
      <c r="M1257">
        <v>0</v>
      </c>
      <c r="N1257">
        <v>550</v>
      </c>
    </row>
    <row r="1258" spans="1:14" x14ac:dyDescent="0.25">
      <c r="A1258">
        <v>1495.415823</v>
      </c>
      <c r="B1258" s="1">
        <f>DATE(2014,6,4) + TIME(9,58,47)</f>
        <v>41794.415821759256</v>
      </c>
      <c r="C1258">
        <v>80</v>
      </c>
      <c r="D1258">
        <v>79.880317688000005</v>
      </c>
      <c r="E1258">
        <v>40</v>
      </c>
      <c r="F1258">
        <v>38.838180542000003</v>
      </c>
      <c r="G1258">
        <v>1345.1171875</v>
      </c>
      <c r="H1258">
        <v>1340.6010742000001</v>
      </c>
      <c r="I1258">
        <v>1321.1914062000001</v>
      </c>
      <c r="J1258">
        <v>1315.8560791</v>
      </c>
      <c r="K1258">
        <v>550</v>
      </c>
      <c r="L1258">
        <v>0</v>
      </c>
      <c r="M1258">
        <v>0</v>
      </c>
      <c r="N1258">
        <v>550</v>
      </c>
    </row>
    <row r="1259" spans="1:14" x14ac:dyDescent="0.25">
      <c r="A1259">
        <v>1496.591754</v>
      </c>
      <c r="B1259" s="1">
        <f>DATE(2014,6,5) + TIME(14,12,7)</f>
        <v>41795.591747685183</v>
      </c>
      <c r="C1259">
        <v>80</v>
      </c>
      <c r="D1259">
        <v>79.880401610999996</v>
      </c>
      <c r="E1259">
        <v>40</v>
      </c>
      <c r="F1259">
        <v>38.820869446000003</v>
      </c>
      <c r="G1259">
        <v>1345.1007079999999</v>
      </c>
      <c r="H1259">
        <v>1340.5905762</v>
      </c>
      <c r="I1259">
        <v>1321.1905518000001</v>
      </c>
      <c r="J1259">
        <v>1315.8496094</v>
      </c>
      <c r="K1259">
        <v>550</v>
      </c>
      <c r="L1259">
        <v>0</v>
      </c>
      <c r="M1259">
        <v>0</v>
      </c>
      <c r="N1259">
        <v>550</v>
      </c>
    </row>
    <row r="1260" spans="1:14" x14ac:dyDescent="0.25">
      <c r="A1260">
        <v>1497.7930739999999</v>
      </c>
      <c r="B1260" s="1">
        <f>DATE(2014,6,6) + TIME(19,2,1)</f>
        <v>41796.793067129627</v>
      </c>
      <c r="C1260">
        <v>80</v>
      </c>
      <c r="D1260">
        <v>79.880462645999998</v>
      </c>
      <c r="E1260">
        <v>40</v>
      </c>
      <c r="F1260">
        <v>38.804626464999998</v>
      </c>
      <c r="G1260">
        <v>1345.0841064000001</v>
      </c>
      <c r="H1260">
        <v>1340.5802002</v>
      </c>
      <c r="I1260">
        <v>1321.1896973</v>
      </c>
      <c r="J1260">
        <v>1315.8428954999999</v>
      </c>
      <c r="K1260">
        <v>550</v>
      </c>
      <c r="L1260">
        <v>0</v>
      </c>
      <c r="M1260">
        <v>0</v>
      </c>
      <c r="N1260">
        <v>550</v>
      </c>
    </row>
    <row r="1261" spans="1:14" x14ac:dyDescent="0.25">
      <c r="A1261">
        <v>1499.0234390000001</v>
      </c>
      <c r="B1261" s="1">
        <f>DATE(2014,6,8) + TIME(0,33,45)</f>
        <v>41798.0234375</v>
      </c>
      <c r="C1261">
        <v>80</v>
      </c>
      <c r="D1261">
        <v>79.880508422999995</v>
      </c>
      <c r="E1261">
        <v>40</v>
      </c>
      <c r="F1261">
        <v>38.789543152</v>
      </c>
      <c r="G1261">
        <v>1345.0676269999999</v>
      </c>
      <c r="H1261">
        <v>1340.5697021000001</v>
      </c>
      <c r="I1261">
        <v>1321.1888428</v>
      </c>
      <c r="J1261">
        <v>1315.8360596</v>
      </c>
      <c r="K1261">
        <v>550</v>
      </c>
      <c r="L1261">
        <v>0</v>
      </c>
      <c r="M1261">
        <v>0</v>
      </c>
      <c r="N1261">
        <v>550</v>
      </c>
    </row>
    <row r="1262" spans="1:14" x14ac:dyDescent="0.25">
      <c r="A1262">
        <v>1500.286852</v>
      </c>
      <c r="B1262" s="1">
        <f>DATE(2014,6,9) + TIME(6,53,4)</f>
        <v>41799.286851851852</v>
      </c>
      <c r="C1262">
        <v>80</v>
      </c>
      <c r="D1262">
        <v>79.880531310999999</v>
      </c>
      <c r="E1262">
        <v>40</v>
      </c>
      <c r="F1262">
        <v>38.775718689000001</v>
      </c>
      <c r="G1262">
        <v>1345.0509033000001</v>
      </c>
      <c r="H1262">
        <v>1340.5593262</v>
      </c>
      <c r="I1262">
        <v>1321.1879882999999</v>
      </c>
      <c r="J1262">
        <v>1315.8291016000001</v>
      </c>
      <c r="K1262">
        <v>550</v>
      </c>
      <c r="L1262">
        <v>0</v>
      </c>
      <c r="M1262">
        <v>0</v>
      </c>
      <c r="N1262">
        <v>550</v>
      </c>
    </row>
    <row r="1263" spans="1:14" x14ac:dyDescent="0.25">
      <c r="A1263">
        <v>1501.5877190000001</v>
      </c>
      <c r="B1263" s="1">
        <f>DATE(2014,6,10) + TIME(14,6,18)</f>
        <v>41800.587708333333</v>
      </c>
      <c r="C1263">
        <v>80</v>
      </c>
      <c r="D1263">
        <v>79.880538939999994</v>
      </c>
      <c r="E1263">
        <v>40</v>
      </c>
      <c r="F1263">
        <v>38.763278960999997</v>
      </c>
      <c r="G1263">
        <v>1345.0341797000001</v>
      </c>
      <c r="H1263">
        <v>1340.5487060999999</v>
      </c>
      <c r="I1263">
        <v>1321.1870117000001</v>
      </c>
      <c r="J1263">
        <v>1315.8220214999999</v>
      </c>
      <c r="K1263">
        <v>550</v>
      </c>
      <c r="L1263">
        <v>0</v>
      </c>
      <c r="M1263">
        <v>0</v>
      </c>
      <c r="N1263">
        <v>550</v>
      </c>
    </row>
    <row r="1264" spans="1:14" x14ac:dyDescent="0.25">
      <c r="A1264">
        <v>1502.9309880000001</v>
      </c>
      <c r="B1264" s="1">
        <f>DATE(2014,6,11) + TIME(22,20,37)</f>
        <v>41801.930983796294</v>
      </c>
      <c r="C1264">
        <v>80</v>
      </c>
      <c r="D1264">
        <v>79.880538939999994</v>
      </c>
      <c r="E1264">
        <v>40</v>
      </c>
      <c r="F1264">
        <v>38.752372741999999</v>
      </c>
      <c r="G1264">
        <v>1345.0172118999999</v>
      </c>
      <c r="H1264">
        <v>1340.5380858999999</v>
      </c>
      <c r="I1264">
        <v>1321.1861572</v>
      </c>
      <c r="J1264">
        <v>1315.8146973</v>
      </c>
      <c r="K1264">
        <v>550</v>
      </c>
      <c r="L1264">
        <v>0</v>
      </c>
      <c r="M1264">
        <v>0</v>
      </c>
      <c r="N1264">
        <v>550</v>
      </c>
    </row>
    <row r="1265" spans="1:14" x14ac:dyDescent="0.25">
      <c r="A1265">
        <v>1504.322287</v>
      </c>
      <c r="B1265" s="1">
        <f>DATE(2014,6,13) + TIME(7,44,5)</f>
        <v>41803.322280092594</v>
      </c>
      <c r="C1265">
        <v>80</v>
      </c>
      <c r="D1265">
        <v>79.880523682000003</v>
      </c>
      <c r="E1265">
        <v>40</v>
      </c>
      <c r="F1265">
        <v>38.743179321</v>
      </c>
      <c r="G1265">
        <v>1345.0001221</v>
      </c>
      <c r="H1265">
        <v>1340.5273437999999</v>
      </c>
      <c r="I1265">
        <v>1321.1851807</v>
      </c>
      <c r="J1265">
        <v>1315.8071289</v>
      </c>
      <c r="K1265">
        <v>550</v>
      </c>
      <c r="L1265">
        <v>0</v>
      </c>
      <c r="M1265">
        <v>0</v>
      </c>
      <c r="N1265">
        <v>550</v>
      </c>
    </row>
    <row r="1266" spans="1:14" x14ac:dyDescent="0.25">
      <c r="A1266">
        <v>1505.7491749999999</v>
      </c>
      <c r="B1266" s="1">
        <f>DATE(2014,6,14) + TIME(17,58,48)</f>
        <v>41804.749166666668</v>
      </c>
      <c r="C1266">
        <v>80</v>
      </c>
      <c r="D1266">
        <v>79.880500792999996</v>
      </c>
      <c r="E1266">
        <v>40</v>
      </c>
      <c r="F1266">
        <v>38.735988616999997</v>
      </c>
      <c r="G1266">
        <v>1344.9826660000001</v>
      </c>
      <c r="H1266">
        <v>1340.5164795000001</v>
      </c>
      <c r="I1266">
        <v>1321.1843262</v>
      </c>
      <c r="J1266">
        <v>1315.7993164</v>
      </c>
      <c r="K1266">
        <v>550</v>
      </c>
      <c r="L1266">
        <v>0</v>
      </c>
      <c r="M1266">
        <v>0</v>
      </c>
      <c r="N1266">
        <v>550</v>
      </c>
    </row>
    <row r="1267" spans="1:14" x14ac:dyDescent="0.25">
      <c r="A1267">
        <v>1507.2037399999999</v>
      </c>
      <c r="B1267" s="1">
        <f>DATE(2014,6,16) + TIME(4,53,23)</f>
        <v>41806.203738425924</v>
      </c>
      <c r="C1267">
        <v>80</v>
      </c>
      <c r="D1267">
        <v>79.880470275999997</v>
      </c>
      <c r="E1267">
        <v>40</v>
      </c>
      <c r="F1267">
        <v>38.731044769</v>
      </c>
      <c r="G1267">
        <v>1344.9652100000001</v>
      </c>
      <c r="H1267">
        <v>1340.5054932</v>
      </c>
      <c r="I1267">
        <v>1321.1834716999999</v>
      </c>
      <c r="J1267">
        <v>1315.7915039</v>
      </c>
      <c r="K1267">
        <v>550</v>
      </c>
      <c r="L1267">
        <v>0</v>
      </c>
      <c r="M1267">
        <v>0</v>
      </c>
      <c r="N1267">
        <v>550</v>
      </c>
    </row>
    <row r="1268" spans="1:14" x14ac:dyDescent="0.25">
      <c r="A1268">
        <v>1508.6922520000001</v>
      </c>
      <c r="B1268" s="1">
        <f>DATE(2014,6,17) + TIME(16,36,50)</f>
        <v>41807.692245370374</v>
      </c>
      <c r="C1268">
        <v>80</v>
      </c>
      <c r="D1268">
        <v>79.880439757999994</v>
      </c>
      <c r="E1268">
        <v>40</v>
      </c>
      <c r="F1268">
        <v>38.728538512999997</v>
      </c>
      <c r="G1268">
        <v>1344.9476318</v>
      </c>
      <c r="H1268">
        <v>1340.4945068</v>
      </c>
      <c r="I1268">
        <v>1321.1827393000001</v>
      </c>
      <c r="J1268">
        <v>1315.7835693</v>
      </c>
      <c r="K1268">
        <v>550</v>
      </c>
      <c r="L1268">
        <v>0</v>
      </c>
      <c r="M1268">
        <v>0</v>
      </c>
      <c r="N1268">
        <v>550</v>
      </c>
    </row>
    <row r="1269" spans="1:14" x14ac:dyDescent="0.25">
      <c r="A1269">
        <v>1510.2202150000001</v>
      </c>
      <c r="B1269" s="1">
        <f>DATE(2014,6,19) + TIME(5,17,6)</f>
        <v>41809.220208333332</v>
      </c>
      <c r="C1269">
        <v>80</v>
      </c>
      <c r="D1269">
        <v>79.880393982000001</v>
      </c>
      <c r="E1269">
        <v>40</v>
      </c>
      <c r="F1269">
        <v>38.728706359999997</v>
      </c>
      <c r="G1269">
        <v>1344.9300536999999</v>
      </c>
      <c r="H1269">
        <v>1340.4835204999999</v>
      </c>
      <c r="I1269">
        <v>1321.1820068</v>
      </c>
      <c r="J1269">
        <v>1315.7755127</v>
      </c>
      <c r="K1269">
        <v>550</v>
      </c>
      <c r="L1269">
        <v>0</v>
      </c>
      <c r="M1269">
        <v>0</v>
      </c>
      <c r="N1269">
        <v>550</v>
      </c>
    </row>
    <row r="1270" spans="1:14" x14ac:dyDescent="0.25">
      <c r="A1270">
        <v>1511.7927529999999</v>
      </c>
      <c r="B1270" s="1">
        <f>DATE(2014,6,20) + TIME(19,1,33)</f>
        <v>41810.792743055557</v>
      </c>
      <c r="C1270">
        <v>80</v>
      </c>
      <c r="D1270">
        <v>79.880348205999994</v>
      </c>
      <c r="E1270">
        <v>40</v>
      </c>
      <c r="F1270">
        <v>38.731826781999999</v>
      </c>
      <c r="G1270">
        <v>1344.9123535000001</v>
      </c>
      <c r="H1270">
        <v>1340.4724120999999</v>
      </c>
      <c r="I1270">
        <v>1321.1812743999999</v>
      </c>
      <c r="J1270">
        <v>1315.7674560999999</v>
      </c>
      <c r="K1270">
        <v>550</v>
      </c>
      <c r="L1270">
        <v>0</v>
      </c>
      <c r="M1270">
        <v>0</v>
      </c>
      <c r="N1270">
        <v>550</v>
      </c>
    </row>
    <row r="1271" spans="1:14" x14ac:dyDescent="0.25">
      <c r="A1271">
        <v>1513.4155969999999</v>
      </c>
      <c r="B1271" s="1">
        <f>DATE(2014,6,22) + TIME(9,58,27)</f>
        <v>41812.415590277778</v>
      </c>
      <c r="C1271">
        <v>80</v>
      </c>
      <c r="D1271">
        <v>79.880302428999997</v>
      </c>
      <c r="E1271">
        <v>40</v>
      </c>
      <c r="F1271">
        <v>38.738231659</v>
      </c>
      <c r="G1271">
        <v>1344.8945312000001</v>
      </c>
      <c r="H1271">
        <v>1340.4611815999999</v>
      </c>
      <c r="I1271">
        <v>1321.1806641000001</v>
      </c>
      <c r="J1271">
        <v>1315.7592772999999</v>
      </c>
      <c r="K1271">
        <v>550</v>
      </c>
      <c r="L1271">
        <v>0</v>
      </c>
      <c r="M1271">
        <v>0</v>
      </c>
      <c r="N1271">
        <v>550</v>
      </c>
    </row>
    <row r="1272" spans="1:14" x14ac:dyDescent="0.25">
      <c r="A1272">
        <v>1515.066182</v>
      </c>
      <c r="B1272" s="1">
        <f>DATE(2014,6,24) + TIME(1,35,18)</f>
        <v>41814.066180555557</v>
      </c>
      <c r="C1272">
        <v>80</v>
      </c>
      <c r="D1272">
        <v>79.880256653000004</v>
      </c>
      <c r="E1272">
        <v>40</v>
      </c>
      <c r="F1272">
        <v>38.748188018999997</v>
      </c>
      <c r="G1272">
        <v>1344.8764647999999</v>
      </c>
      <c r="H1272">
        <v>1340.4499512</v>
      </c>
      <c r="I1272">
        <v>1321.1800536999999</v>
      </c>
      <c r="J1272">
        <v>1315.7509766000001</v>
      </c>
      <c r="K1272">
        <v>550</v>
      </c>
      <c r="L1272">
        <v>0</v>
      </c>
      <c r="M1272">
        <v>0</v>
      </c>
      <c r="N1272">
        <v>550</v>
      </c>
    </row>
    <row r="1273" spans="1:14" x14ac:dyDescent="0.25">
      <c r="A1273">
        <v>1516.7346889999999</v>
      </c>
      <c r="B1273" s="1">
        <f>DATE(2014,6,25) + TIME(17,37,57)</f>
        <v>41815.7346875</v>
      </c>
      <c r="C1273">
        <v>80</v>
      </c>
      <c r="D1273">
        <v>79.880203246999997</v>
      </c>
      <c r="E1273">
        <v>40</v>
      </c>
      <c r="F1273">
        <v>38.761905669999997</v>
      </c>
      <c r="G1273">
        <v>1344.8585204999999</v>
      </c>
      <c r="H1273">
        <v>1340.4385986</v>
      </c>
      <c r="I1273">
        <v>1321.1796875</v>
      </c>
      <c r="J1273">
        <v>1315.7427978999999</v>
      </c>
      <c r="K1273">
        <v>550</v>
      </c>
      <c r="L1273">
        <v>0</v>
      </c>
      <c r="M1273">
        <v>0</v>
      </c>
      <c r="N1273">
        <v>550</v>
      </c>
    </row>
    <row r="1274" spans="1:14" x14ac:dyDescent="0.25">
      <c r="A1274">
        <v>1518.4265069999999</v>
      </c>
      <c r="B1274" s="1">
        <f>DATE(2014,6,27) + TIME(10,14,10)</f>
        <v>41817.426504629628</v>
      </c>
      <c r="C1274">
        <v>80</v>
      </c>
      <c r="D1274">
        <v>79.880149841000005</v>
      </c>
      <c r="E1274">
        <v>40</v>
      </c>
      <c r="F1274">
        <v>38.779624939000001</v>
      </c>
      <c r="G1274">
        <v>1344.8405762</v>
      </c>
      <c r="H1274">
        <v>1340.4273682</v>
      </c>
      <c r="I1274">
        <v>1321.1794434000001</v>
      </c>
      <c r="J1274">
        <v>1315.7347411999999</v>
      </c>
      <c r="K1274">
        <v>550</v>
      </c>
      <c r="L1274">
        <v>0</v>
      </c>
      <c r="M1274">
        <v>0</v>
      </c>
      <c r="N1274">
        <v>550</v>
      </c>
    </row>
    <row r="1275" spans="1:14" x14ac:dyDescent="0.25">
      <c r="A1275">
        <v>1520.1471160000001</v>
      </c>
      <c r="B1275" s="1">
        <f>DATE(2014,6,29) + TIME(3,31,50)</f>
        <v>41819.147106481483</v>
      </c>
      <c r="C1275">
        <v>80</v>
      </c>
      <c r="D1275">
        <v>79.880096436000002</v>
      </c>
      <c r="E1275">
        <v>40</v>
      </c>
      <c r="F1275">
        <v>38.801639557000001</v>
      </c>
      <c r="G1275">
        <v>1344.822876</v>
      </c>
      <c r="H1275">
        <v>1340.4162598</v>
      </c>
      <c r="I1275">
        <v>1321.1793213000001</v>
      </c>
      <c r="J1275">
        <v>1315.7268065999999</v>
      </c>
      <c r="K1275">
        <v>550</v>
      </c>
      <c r="L1275">
        <v>0</v>
      </c>
      <c r="M1275">
        <v>0</v>
      </c>
      <c r="N1275">
        <v>550</v>
      </c>
    </row>
    <row r="1276" spans="1:14" x14ac:dyDescent="0.25">
      <c r="A1276">
        <v>1521.9022560000001</v>
      </c>
      <c r="B1276" s="1">
        <f>DATE(2014,6,30) + TIME(21,39,14)</f>
        <v>41820.902245370373</v>
      </c>
      <c r="C1276">
        <v>80</v>
      </c>
      <c r="D1276">
        <v>79.880043029999996</v>
      </c>
      <c r="E1276">
        <v>40</v>
      </c>
      <c r="F1276">
        <v>38.828304291000002</v>
      </c>
      <c r="G1276">
        <v>1344.8051757999999</v>
      </c>
      <c r="H1276">
        <v>1340.4051514</v>
      </c>
      <c r="I1276">
        <v>1321.1793213000001</v>
      </c>
      <c r="J1276">
        <v>1315.7191161999999</v>
      </c>
      <c r="K1276">
        <v>550</v>
      </c>
      <c r="L1276">
        <v>0</v>
      </c>
      <c r="M1276">
        <v>0</v>
      </c>
      <c r="N1276">
        <v>550</v>
      </c>
    </row>
    <row r="1277" spans="1:14" x14ac:dyDescent="0.25">
      <c r="A1277">
        <v>1522</v>
      </c>
      <c r="B1277" s="1">
        <f>DATE(2014,7,1) + TIME(0,0,0)</f>
        <v>41821</v>
      </c>
      <c r="C1277">
        <v>80</v>
      </c>
      <c r="D1277">
        <v>79.880027771000002</v>
      </c>
      <c r="E1277">
        <v>40</v>
      </c>
      <c r="F1277">
        <v>38.830829620000003</v>
      </c>
      <c r="G1277">
        <v>1344.7879639</v>
      </c>
      <c r="H1277">
        <v>1340.3944091999999</v>
      </c>
      <c r="I1277">
        <v>1321.1838379000001</v>
      </c>
      <c r="J1277">
        <v>1315.7156981999999</v>
      </c>
      <c r="K1277">
        <v>550</v>
      </c>
      <c r="L1277">
        <v>0</v>
      </c>
      <c r="M1277">
        <v>0</v>
      </c>
      <c r="N1277">
        <v>550</v>
      </c>
    </row>
    <row r="1278" spans="1:14" x14ac:dyDescent="0.25">
      <c r="A1278">
        <v>1523.7957180000001</v>
      </c>
      <c r="B1278" s="1">
        <f>DATE(2014,7,2) + TIME(19,5,50)</f>
        <v>41822.795717592591</v>
      </c>
      <c r="C1278">
        <v>80</v>
      </c>
      <c r="D1278">
        <v>79.879981994999994</v>
      </c>
      <c r="E1278">
        <v>40</v>
      </c>
      <c r="F1278">
        <v>38.862548828000001</v>
      </c>
      <c r="G1278">
        <v>1344.7863769999999</v>
      </c>
      <c r="H1278">
        <v>1340.3933105000001</v>
      </c>
      <c r="I1278">
        <v>1321.1794434000001</v>
      </c>
      <c r="J1278">
        <v>1315.7109375</v>
      </c>
      <c r="K1278">
        <v>550</v>
      </c>
      <c r="L1278">
        <v>0</v>
      </c>
      <c r="M1278">
        <v>0</v>
      </c>
      <c r="N1278">
        <v>550</v>
      </c>
    </row>
    <row r="1279" spans="1:14" x14ac:dyDescent="0.25">
      <c r="A1279">
        <v>1525.641437</v>
      </c>
      <c r="B1279" s="1">
        <f>DATE(2014,7,4) + TIME(15,23,40)</f>
        <v>41824.641435185185</v>
      </c>
      <c r="C1279">
        <v>80</v>
      </c>
      <c r="D1279">
        <v>79.879928589000002</v>
      </c>
      <c r="E1279">
        <v>40</v>
      </c>
      <c r="F1279">
        <v>38.899959564</v>
      </c>
      <c r="G1279">
        <v>1344.7685547000001</v>
      </c>
      <c r="H1279">
        <v>1340.3820800999999</v>
      </c>
      <c r="I1279">
        <v>1321.1798096</v>
      </c>
      <c r="J1279">
        <v>1315.7036132999999</v>
      </c>
      <c r="K1279">
        <v>550</v>
      </c>
      <c r="L1279">
        <v>0</v>
      </c>
      <c r="M1279">
        <v>0</v>
      </c>
      <c r="N1279">
        <v>550</v>
      </c>
    </row>
    <row r="1280" spans="1:14" x14ac:dyDescent="0.25">
      <c r="A1280">
        <v>1527.5417930000001</v>
      </c>
      <c r="B1280" s="1">
        <f>DATE(2014,7,6) + TIME(13,0,10)</f>
        <v>41826.54178240741</v>
      </c>
      <c r="C1280">
        <v>80</v>
      </c>
      <c r="D1280">
        <v>79.879882812000005</v>
      </c>
      <c r="E1280">
        <v>40</v>
      </c>
      <c r="F1280">
        <v>38.943603516000003</v>
      </c>
      <c r="G1280">
        <v>1344.7506103999999</v>
      </c>
      <c r="H1280">
        <v>1340.3707274999999</v>
      </c>
      <c r="I1280">
        <v>1321.1804199000001</v>
      </c>
      <c r="J1280">
        <v>1315.6964111</v>
      </c>
      <c r="K1280">
        <v>550</v>
      </c>
      <c r="L1280">
        <v>0</v>
      </c>
      <c r="M1280">
        <v>0</v>
      </c>
      <c r="N1280">
        <v>550</v>
      </c>
    </row>
    <row r="1281" spans="1:14" x14ac:dyDescent="0.25">
      <c r="A1281">
        <v>1529.5049409999999</v>
      </c>
      <c r="B1281" s="1">
        <f>DATE(2014,7,8) + TIME(12,7,6)</f>
        <v>41828.504930555559</v>
      </c>
      <c r="C1281">
        <v>80</v>
      </c>
      <c r="D1281">
        <v>79.879829407000003</v>
      </c>
      <c r="E1281">
        <v>40</v>
      </c>
      <c r="F1281">
        <v>38.994178771999998</v>
      </c>
      <c r="G1281">
        <v>1344.7324219</v>
      </c>
      <c r="H1281">
        <v>1340.3592529</v>
      </c>
      <c r="I1281">
        <v>1321.1812743999999</v>
      </c>
      <c r="J1281">
        <v>1315.6894531</v>
      </c>
      <c r="K1281">
        <v>550</v>
      </c>
      <c r="L1281">
        <v>0</v>
      </c>
      <c r="M1281">
        <v>0</v>
      </c>
      <c r="N1281">
        <v>550</v>
      </c>
    </row>
    <row r="1282" spans="1:14" x14ac:dyDescent="0.25">
      <c r="A1282">
        <v>1531.52495</v>
      </c>
      <c r="B1282" s="1">
        <f>DATE(2014,7,10) + TIME(12,35,55)</f>
        <v>41830.524942129632</v>
      </c>
      <c r="C1282">
        <v>80</v>
      </c>
      <c r="D1282">
        <v>79.879783630000006</v>
      </c>
      <c r="E1282">
        <v>40</v>
      </c>
      <c r="F1282">
        <v>39.052238463999998</v>
      </c>
      <c r="G1282">
        <v>1344.7139893000001</v>
      </c>
      <c r="H1282">
        <v>1340.3476562000001</v>
      </c>
      <c r="I1282">
        <v>1321.1824951000001</v>
      </c>
      <c r="J1282">
        <v>1315.6828613</v>
      </c>
      <c r="K1282">
        <v>550</v>
      </c>
      <c r="L1282">
        <v>0</v>
      </c>
      <c r="M1282">
        <v>0</v>
      </c>
      <c r="N1282">
        <v>550</v>
      </c>
    </row>
    <row r="1283" spans="1:14" x14ac:dyDescent="0.25">
      <c r="A1283">
        <v>1533.5760909999999</v>
      </c>
      <c r="B1283" s="1">
        <f>DATE(2014,7,12) + TIME(13,49,34)</f>
        <v>41832.57608796296</v>
      </c>
      <c r="C1283">
        <v>80</v>
      </c>
      <c r="D1283">
        <v>79.879737853999998</v>
      </c>
      <c r="E1283">
        <v>40</v>
      </c>
      <c r="F1283">
        <v>39.117919921999999</v>
      </c>
      <c r="G1283">
        <v>1344.6954346</v>
      </c>
      <c r="H1283">
        <v>1340.3358154</v>
      </c>
      <c r="I1283">
        <v>1321.184082</v>
      </c>
      <c r="J1283">
        <v>1315.6766356999999</v>
      </c>
      <c r="K1283">
        <v>550</v>
      </c>
      <c r="L1283">
        <v>0</v>
      </c>
      <c r="M1283">
        <v>0</v>
      </c>
      <c r="N1283">
        <v>550</v>
      </c>
    </row>
    <row r="1284" spans="1:14" x14ac:dyDescent="0.25">
      <c r="A1284">
        <v>1535.665796</v>
      </c>
      <c r="B1284" s="1">
        <f>DATE(2014,7,14) + TIME(15,58,44)</f>
        <v>41834.66578703704</v>
      </c>
      <c r="C1284">
        <v>80</v>
      </c>
      <c r="D1284">
        <v>79.879692078000005</v>
      </c>
      <c r="E1284">
        <v>40</v>
      </c>
      <c r="F1284">
        <v>39.191753386999999</v>
      </c>
      <c r="G1284">
        <v>1344.6768798999999</v>
      </c>
      <c r="H1284">
        <v>1340.3239745999999</v>
      </c>
      <c r="I1284">
        <v>1321.1859131000001</v>
      </c>
      <c r="J1284">
        <v>1315.6710204999999</v>
      </c>
      <c r="K1284">
        <v>550</v>
      </c>
      <c r="L1284">
        <v>0</v>
      </c>
      <c r="M1284">
        <v>0</v>
      </c>
      <c r="N1284">
        <v>550</v>
      </c>
    </row>
    <row r="1285" spans="1:14" x14ac:dyDescent="0.25">
      <c r="A1285">
        <v>1537.8011300000001</v>
      </c>
      <c r="B1285" s="1">
        <f>DATE(2014,7,16) + TIME(19,13,37)</f>
        <v>41836.801122685189</v>
      </c>
      <c r="C1285">
        <v>80</v>
      </c>
      <c r="D1285">
        <v>79.879646300999994</v>
      </c>
      <c r="E1285">
        <v>40</v>
      </c>
      <c r="F1285">
        <v>39.274425506999997</v>
      </c>
      <c r="G1285">
        <v>1344.6582031</v>
      </c>
      <c r="H1285">
        <v>1340.3121338000001</v>
      </c>
      <c r="I1285">
        <v>1321.1881103999999</v>
      </c>
      <c r="J1285">
        <v>1315.6658935999999</v>
      </c>
      <c r="K1285">
        <v>550</v>
      </c>
      <c r="L1285">
        <v>0</v>
      </c>
      <c r="M1285">
        <v>0</v>
      </c>
      <c r="N1285">
        <v>550</v>
      </c>
    </row>
    <row r="1286" spans="1:14" x14ac:dyDescent="0.25">
      <c r="A1286">
        <v>1539.989536</v>
      </c>
      <c r="B1286" s="1">
        <f>DATE(2014,7,18) + TIME(23,44,55)</f>
        <v>41838.989525462966</v>
      </c>
      <c r="C1286">
        <v>80</v>
      </c>
      <c r="D1286">
        <v>79.879608153999996</v>
      </c>
      <c r="E1286">
        <v>40</v>
      </c>
      <c r="F1286">
        <v>39.366756439</v>
      </c>
      <c r="G1286">
        <v>1344.6395264</v>
      </c>
      <c r="H1286">
        <v>1340.3001709</v>
      </c>
      <c r="I1286">
        <v>1321.1906738</v>
      </c>
      <c r="J1286">
        <v>1315.661499</v>
      </c>
      <c r="K1286">
        <v>550</v>
      </c>
      <c r="L1286">
        <v>0</v>
      </c>
      <c r="M1286">
        <v>0</v>
      </c>
      <c r="N1286">
        <v>550</v>
      </c>
    </row>
    <row r="1287" spans="1:14" x14ac:dyDescent="0.25">
      <c r="A1287">
        <v>1542.2391560000001</v>
      </c>
      <c r="B1287" s="1">
        <f>DATE(2014,7,21) + TIME(5,44,23)</f>
        <v>41841.239155092589</v>
      </c>
      <c r="C1287">
        <v>80</v>
      </c>
      <c r="D1287">
        <v>79.879570006999998</v>
      </c>
      <c r="E1287">
        <v>40</v>
      </c>
      <c r="F1287">
        <v>39.469730376999998</v>
      </c>
      <c r="G1287">
        <v>1344.6207274999999</v>
      </c>
      <c r="H1287">
        <v>1340.2882079999999</v>
      </c>
      <c r="I1287">
        <v>1321.1937256000001</v>
      </c>
      <c r="J1287">
        <v>1315.6577147999999</v>
      </c>
      <c r="K1287">
        <v>550</v>
      </c>
      <c r="L1287">
        <v>0</v>
      </c>
      <c r="M1287">
        <v>0</v>
      </c>
      <c r="N1287">
        <v>550</v>
      </c>
    </row>
    <row r="1288" spans="1:14" x14ac:dyDescent="0.25">
      <c r="A1288">
        <v>1544.538337</v>
      </c>
      <c r="B1288" s="1">
        <f>DATE(2014,7,23) + TIME(12,55,12)</f>
        <v>41843.53833333333</v>
      </c>
      <c r="C1288">
        <v>80</v>
      </c>
      <c r="D1288">
        <v>79.87953186</v>
      </c>
      <c r="E1288">
        <v>40</v>
      </c>
      <c r="F1288">
        <v>39.583908080999997</v>
      </c>
      <c r="G1288">
        <v>1344.6018065999999</v>
      </c>
      <c r="H1288">
        <v>1340.276001</v>
      </c>
      <c r="I1288">
        <v>1321.1972656</v>
      </c>
      <c r="J1288">
        <v>1315.6547852000001</v>
      </c>
      <c r="K1288">
        <v>550</v>
      </c>
      <c r="L1288">
        <v>0</v>
      </c>
      <c r="M1288">
        <v>0</v>
      </c>
      <c r="N1288">
        <v>550</v>
      </c>
    </row>
    <row r="1289" spans="1:14" x14ac:dyDescent="0.25">
      <c r="A1289">
        <v>1546.8713829999999</v>
      </c>
      <c r="B1289" s="1">
        <f>DATE(2014,7,25) + TIME(20,54,47)</f>
        <v>41845.871377314812</v>
      </c>
      <c r="C1289">
        <v>80</v>
      </c>
      <c r="D1289">
        <v>79.879493713000002</v>
      </c>
      <c r="E1289">
        <v>40</v>
      </c>
      <c r="F1289">
        <v>39.709506988999998</v>
      </c>
      <c r="G1289">
        <v>1344.5827637</v>
      </c>
      <c r="H1289">
        <v>1340.2637939000001</v>
      </c>
      <c r="I1289">
        <v>1321.2014160000001</v>
      </c>
      <c r="J1289">
        <v>1315.6529541</v>
      </c>
      <c r="K1289">
        <v>550</v>
      </c>
      <c r="L1289">
        <v>0</v>
      </c>
      <c r="M1289">
        <v>0</v>
      </c>
      <c r="N1289">
        <v>550</v>
      </c>
    </row>
    <row r="1290" spans="1:14" x14ac:dyDescent="0.25">
      <c r="A1290">
        <v>1549.2470619999999</v>
      </c>
      <c r="B1290" s="1">
        <f>DATE(2014,7,28) + TIME(5,55,46)</f>
        <v>41848.247060185182</v>
      </c>
      <c r="C1290">
        <v>80</v>
      </c>
      <c r="D1290">
        <v>79.879463196000003</v>
      </c>
      <c r="E1290">
        <v>40</v>
      </c>
      <c r="F1290">
        <v>39.847301483000003</v>
      </c>
      <c r="G1290">
        <v>1344.5637207</v>
      </c>
      <c r="H1290">
        <v>1340.2514647999999</v>
      </c>
      <c r="I1290">
        <v>1321.2060547000001</v>
      </c>
      <c r="J1290">
        <v>1315.6520995999999</v>
      </c>
      <c r="K1290">
        <v>550</v>
      </c>
      <c r="L1290">
        <v>0</v>
      </c>
      <c r="M1290">
        <v>0</v>
      </c>
      <c r="N1290">
        <v>550</v>
      </c>
    </row>
    <row r="1291" spans="1:14" x14ac:dyDescent="0.25">
      <c r="A1291">
        <v>1551.6743630000001</v>
      </c>
      <c r="B1291" s="1">
        <f>DATE(2014,7,30) + TIME(16,11,4)</f>
        <v>41850.674351851849</v>
      </c>
      <c r="C1291">
        <v>80</v>
      </c>
      <c r="D1291">
        <v>79.879432678000001</v>
      </c>
      <c r="E1291">
        <v>40</v>
      </c>
      <c r="F1291">
        <v>39.998310089</v>
      </c>
      <c r="G1291">
        <v>1344.5446777</v>
      </c>
      <c r="H1291">
        <v>1340.2391356999999</v>
      </c>
      <c r="I1291">
        <v>1321.2113036999999</v>
      </c>
      <c r="J1291">
        <v>1315.6523437999999</v>
      </c>
      <c r="K1291">
        <v>550</v>
      </c>
      <c r="L1291">
        <v>0</v>
      </c>
      <c r="M1291">
        <v>0</v>
      </c>
      <c r="N1291">
        <v>550</v>
      </c>
    </row>
    <row r="1292" spans="1:14" x14ac:dyDescent="0.25">
      <c r="A1292">
        <v>1553</v>
      </c>
      <c r="B1292" s="1">
        <f>DATE(2014,8,1) + TIME(0,0,0)</f>
        <v>41852</v>
      </c>
      <c r="C1292">
        <v>80</v>
      </c>
      <c r="D1292">
        <v>79.879386901999993</v>
      </c>
      <c r="E1292">
        <v>40</v>
      </c>
      <c r="F1292">
        <v>40.108024596999996</v>
      </c>
      <c r="G1292">
        <v>1344.5255127</v>
      </c>
      <c r="H1292">
        <v>1340.2268065999999</v>
      </c>
      <c r="I1292">
        <v>1321.2210693</v>
      </c>
      <c r="J1292">
        <v>1315.6549072</v>
      </c>
      <c r="K1292">
        <v>550</v>
      </c>
      <c r="L1292">
        <v>0</v>
      </c>
      <c r="M1292">
        <v>0</v>
      </c>
      <c r="N1292">
        <v>550</v>
      </c>
    </row>
    <row r="1293" spans="1:14" x14ac:dyDescent="0.25">
      <c r="A1293">
        <v>1555.4742140000001</v>
      </c>
      <c r="B1293" s="1">
        <f>DATE(2014,8,3) + TIME(11,22,52)</f>
        <v>41854.474212962959</v>
      </c>
      <c r="C1293">
        <v>80</v>
      </c>
      <c r="D1293">
        <v>79.879379271999994</v>
      </c>
      <c r="E1293">
        <v>40</v>
      </c>
      <c r="F1293">
        <v>40.270812988000003</v>
      </c>
      <c r="G1293">
        <v>1344.5152588000001</v>
      </c>
      <c r="H1293">
        <v>1340.2199707</v>
      </c>
      <c r="I1293">
        <v>1321.2200928</v>
      </c>
      <c r="J1293">
        <v>1315.6555175999999</v>
      </c>
      <c r="K1293">
        <v>550</v>
      </c>
      <c r="L1293">
        <v>0</v>
      </c>
      <c r="M1293">
        <v>0</v>
      </c>
      <c r="N1293">
        <v>550</v>
      </c>
    </row>
    <row r="1294" spans="1:14" x14ac:dyDescent="0.25">
      <c r="A1294">
        <v>1558.0216559999999</v>
      </c>
      <c r="B1294" s="1">
        <f>DATE(2014,8,6) + TIME(0,31,11)</f>
        <v>41857.021655092591</v>
      </c>
      <c r="C1294">
        <v>80</v>
      </c>
      <c r="D1294">
        <v>79.879364014000004</v>
      </c>
      <c r="E1294">
        <v>40</v>
      </c>
      <c r="F1294">
        <v>40.452930449999997</v>
      </c>
      <c r="G1294">
        <v>1344.4963379000001</v>
      </c>
      <c r="H1294">
        <v>1340.2076416</v>
      </c>
      <c r="I1294">
        <v>1321.2270507999999</v>
      </c>
      <c r="J1294">
        <v>1315.6591797000001</v>
      </c>
      <c r="K1294">
        <v>550</v>
      </c>
      <c r="L1294">
        <v>0</v>
      </c>
      <c r="M1294">
        <v>0</v>
      </c>
      <c r="N1294">
        <v>550</v>
      </c>
    </row>
    <row r="1295" spans="1:14" x14ac:dyDescent="0.25">
      <c r="A1295">
        <v>1560.6270910000001</v>
      </c>
      <c r="B1295" s="1">
        <f>DATE(2014,8,8) + TIME(15,3,0)</f>
        <v>41859.627083333333</v>
      </c>
      <c r="C1295">
        <v>80</v>
      </c>
      <c r="D1295">
        <v>79.879348754999995</v>
      </c>
      <c r="E1295">
        <v>40</v>
      </c>
      <c r="F1295">
        <v>40.653671265</v>
      </c>
      <c r="G1295">
        <v>1344.4770507999999</v>
      </c>
      <c r="H1295">
        <v>1340.1950684000001</v>
      </c>
      <c r="I1295">
        <v>1321.2349853999999</v>
      </c>
      <c r="J1295">
        <v>1315.6644286999999</v>
      </c>
      <c r="K1295">
        <v>550</v>
      </c>
      <c r="L1295">
        <v>0</v>
      </c>
      <c r="M1295">
        <v>0</v>
      </c>
      <c r="N1295">
        <v>550</v>
      </c>
    </row>
    <row r="1296" spans="1:14" x14ac:dyDescent="0.25">
      <c r="A1296">
        <v>1563.3007680000001</v>
      </c>
      <c r="B1296" s="1">
        <f>DATE(2014,8,11) + TIME(7,13,6)</f>
        <v>41862.300763888888</v>
      </c>
      <c r="C1296">
        <v>80</v>
      </c>
      <c r="D1296">
        <v>79.879333496000001</v>
      </c>
      <c r="E1296">
        <v>40</v>
      </c>
      <c r="F1296">
        <v>40.873485565000003</v>
      </c>
      <c r="G1296">
        <v>1344.4577637</v>
      </c>
      <c r="H1296">
        <v>1340.1823730000001</v>
      </c>
      <c r="I1296">
        <v>1321.2435303</v>
      </c>
      <c r="J1296">
        <v>1315.6713867000001</v>
      </c>
      <c r="K1296">
        <v>550</v>
      </c>
      <c r="L1296">
        <v>0</v>
      </c>
      <c r="M1296">
        <v>0</v>
      </c>
      <c r="N1296">
        <v>550</v>
      </c>
    </row>
    <row r="1297" spans="1:14" x14ac:dyDescent="0.25">
      <c r="A1297">
        <v>1566.0535359999999</v>
      </c>
      <c r="B1297" s="1">
        <f>DATE(2014,8,14) + TIME(1,17,5)</f>
        <v>41865.053530092591</v>
      </c>
      <c r="C1297">
        <v>80</v>
      </c>
      <c r="D1297">
        <v>79.879318237000007</v>
      </c>
      <c r="E1297">
        <v>40</v>
      </c>
      <c r="F1297">
        <v>41.113449097</v>
      </c>
      <c r="G1297">
        <v>1344.4382324000001</v>
      </c>
      <c r="H1297">
        <v>1340.1694336</v>
      </c>
      <c r="I1297">
        <v>1321.2529297000001</v>
      </c>
      <c r="J1297">
        <v>1315.6802978999999</v>
      </c>
      <c r="K1297">
        <v>550</v>
      </c>
      <c r="L1297">
        <v>0</v>
      </c>
      <c r="M1297">
        <v>0</v>
      </c>
      <c r="N1297">
        <v>550</v>
      </c>
    </row>
    <row r="1298" spans="1:14" x14ac:dyDescent="0.25">
      <c r="A1298">
        <v>1568.868054</v>
      </c>
      <c r="B1298" s="1">
        <f>DATE(2014,8,16) + TIME(20,49,59)</f>
        <v>41867.868043981478</v>
      </c>
      <c r="C1298">
        <v>80</v>
      </c>
      <c r="D1298">
        <v>79.879310607999997</v>
      </c>
      <c r="E1298">
        <v>40</v>
      </c>
      <c r="F1298">
        <v>41.373641968000001</v>
      </c>
      <c r="G1298">
        <v>1344.418457</v>
      </c>
      <c r="H1298">
        <v>1340.1563721</v>
      </c>
      <c r="I1298">
        <v>1321.2633057</v>
      </c>
      <c r="J1298">
        <v>1315.6912841999999</v>
      </c>
      <c r="K1298">
        <v>550</v>
      </c>
      <c r="L1298">
        <v>0</v>
      </c>
      <c r="M1298">
        <v>0</v>
      </c>
      <c r="N1298">
        <v>550</v>
      </c>
    </row>
    <row r="1299" spans="1:14" x14ac:dyDescent="0.25">
      <c r="A1299">
        <v>1571.74333</v>
      </c>
      <c r="B1299" s="1">
        <f>DATE(2014,8,19) + TIME(17,50,23)</f>
        <v>41870.743321759262</v>
      </c>
      <c r="C1299">
        <v>80</v>
      </c>
      <c r="D1299">
        <v>79.879302979000002</v>
      </c>
      <c r="E1299">
        <v>40</v>
      </c>
      <c r="F1299">
        <v>41.654396057</v>
      </c>
      <c r="G1299">
        <v>1344.3985596</v>
      </c>
      <c r="H1299">
        <v>1340.1431885</v>
      </c>
      <c r="I1299">
        <v>1321.2746582</v>
      </c>
      <c r="J1299">
        <v>1315.7045897999999</v>
      </c>
      <c r="K1299">
        <v>550</v>
      </c>
      <c r="L1299">
        <v>0</v>
      </c>
      <c r="M1299">
        <v>0</v>
      </c>
      <c r="N1299">
        <v>550</v>
      </c>
    </row>
    <row r="1300" spans="1:14" x14ac:dyDescent="0.25">
      <c r="A1300">
        <v>1574.6914810000001</v>
      </c>
      <c r="B1300" s="1">
        <f>DATE(2014,8,22) + TIME(16,35,43)</f>
        <v>41873.691469907404</v>
      </c>
      <c r="C1300">
        <v>80</v>
      </c>
      <c r="D1300">
        <v>79.879295349000003</v>
      </c>
      <c r="E1300">
        <v>40</v>
      </c>
      <c r="F1300">
        <v>41.956718445</v>
      </c>
      <c r="G1300">
        <v>1344.3785399999999</v>
      </c>
      <c r="H1300">
        <v>1340.1300048999999</v>
      </c>
      <c r="I1300">
        <v>1321.2871094</v>
      </c>
      <c r="J1300">
        <v>1315.7202147999999</v>
      </c>
      <c r="K1300">
        <v>550</v>
      </c>
      <c r="L1300">
        <v>0</v>
      </c>
      <c r="M1300">
        <v>0</v>
      </c>
      <c r="N1300">
        <v>550</v>
      </c>
    </row>
    <row r="1301" spans="1:14" x14ac:dyDescent="0.25">
      <c r="A1301">
        <v>1577.7254310000001</v>
      </c>
      <c r="B1301" s="1">
        <f>DATE(2014,8,25) + TIME(17,24,37)</f>
        <v>41876.725428240738</v>
      </c>
      <c r="C1301">
        <v>80</v>
      </c>
      <c r="D1301">
        <v>79.879295349000003</v>
      </c>
      <c r="E1301">
        <v>40</v>
      </c>
      <c r="F1301">
        <v>42.281997681</v>
      </c>
      <c r="G1301">
        <v>1344.3585204999999</v>
      </c>
      <c r="H1301">
        <v>1340.1165771000001</v>
      </c>
      <c r="I1301">
        <v>1321.3005370999999</v>
      </c>
      <c r="J1301">
        <v>1315.7384033000001</v>
      </c>
      <c r="K1301">
        <v>550</v>
      </c>
      <c r="L1301">
        <v>0</v>
      </c>
      <c r="M1301">
        <v>0</v>
      </c>
      <c r="N1301">
        <v>550</v>
      </c>
    </row>
    <row r="1302" spans="1:14" x14ac:dyDescent="0.25">
      <c r="A1302">
        <v>1580.823101</v>
      </c>
      <c r="B1302" s="1">
        <f>DATE(2014,8,28) + TIME(19,45,15)</f>
        <v>41879.82309027778</v>
      </c>
      <c r="C1302">
        <v>80</v>
      </c>
      <c r="D1302">
        <v>79.879302979000002</v>
      </c>
      <c r="E1302">
        <v>40</v>
      </c>
      <c r="F1302">
        <v>42.629806518999999</v>
      </c>
      <c r="G1302">
        <v>1344.3381348</v>
      </c>
      <c r="H1302">
        <v>1340.1029053</v>
      </c>
      <c r="I1302">
        <v>1321.3154297000001</v>
      </c>
      <c r="J1302">
        <v>1315.7593993999999</v>
      </c>
      <c r="K1302">
        <v>550</v>
      </c>
      <c r="L1302">
        <v>0</v>
      </c>
      <c r="M1302">
        <v>0</v>
      </c>
      <c r="N1302">
        <v>550</v>
      </c>
    </row>
    <row r="1303" spans="1:14" x14ac:dyDescent="0.25">
      <c r="A1303">
        <v>1582.4115509999999</v>
      </c>
      <c r="B1303" s="1">
        <f>DATE(2014,8,30) + TIME(9,52,37)</f>
        <v>41881.411539351851</v>
      </c>
      <c r="C1303">
        <v>80</v>
      </c>
      <c r="D1303">
        <v>79.879264832000004</v>
      </c>
      <c r="E1303">
        <v>40</v>
      </c>
      <c r="F1303">
        <v>42.876014709000003</v>
      </c>
      <c r="G1303">
        <v>1344.317749</v>
      </c>
      <c r="H1303">
        <v>1340.0893555</v>
      </c>
      <c r="I1303">
        <v>1321.3380127</v>
      </c>
      <c r="J1303">
        <v>1315.7823486</v>
      </c>
      <c r="K1303">
        <v>550</v>
      </c>
      <c r="L1303">
        <v>0</v>
      </c>
      <c r="M1303">
        <v>0</v>
      </c>
      <c r="N1303">
        <v>550</v>
      </c>
    </row>
    <row r="1304" spans="1:14" x14ac:dyDescent="0.25">
      <c r="A1304">
        <v>1584</v>
      </c>
      <c r="B1304" s="1">
        <f>DATE(2014,9,1) + TIME(0,0,0)</f>
        <v>41883</v>
      </c>
      <c r="C1304">
        <v>80</v>
      </c>
      <c r="D1304">
        <v>79.879241942999997</v>
      </c>
      <c r="E1304">
        <v>40</v>
      </c>
      <c r="F1304">
        <v>43.108474731000001</v>
      </c>
      <c r="G1304">
        <v>1344.3073730000001</v>
      </c>
      <c r="H1304">
        <v>1340.0823975000001</v>
      </c>
      <c r="I1304">
        <v>1321.3457031</v>
      </c>
      <c r="J1304">
        <v>1315.7978516000001</v>
      </c>
      <c r="K1304">
        <v>550</v>
      </c>
      <c r="L1304">
        <v>0</v>
      </c>
      <c r="M1304">
        <v>0</v>
      </c>
      <c r="N1304">
        <v>550</v>
      </c>
    </row>
    <row r="1305" spans="1:14" x14ac:dyDescent="0.25">
      <c r="A1305">
        <v>1587.176899</v>
      </c>
      <c r="B1305" s="1">
        <f>DATE(2014,9,4) + TIME(4,14,44)</f>
        <v>41886.176898148151</v>
      </c>
      <c r="C1305">
        <v>80</v>
      </c>
      <c r="D1305">
        <v>79.879287719999994</v>
      </c>
      <c r="E1305">
        <v>40</v>
      </c>
      <c r="F1305">
        <v>43.445899963000002</v>
      </c>
      <c r="G1305">
        <v>1344.2972411999999</v>
      </c>
      <c r="H1305">
        <v>1340.0753173999999</v>
      </c>
      <c r="I1305">
        <v>1321.3481445</v>
      </c>
      <c r="J1305">
        <v>1315.8144531</v>
      </c>
      <c r="K1305">
        <v>550</v>
      </c>
      <c r="L1305">
        <v>0</v>
      </c>
      <c r="M1305">
        <v>0</v>
      </c>
      <c r="N1305">
        <v>550</v>
      </c>
    </row>
    <row r="1306" spans="1:14" x14ac:dyDescent="0.25">
      <c r="A1306">
        <v>1590.4001270000001</v>
      </c>
      <c r="B1306" s="1">
        <f>DATE(2014,9,7) + TIME(9,36,10)</f>
        <v>41889.40011574074</v>
      </c>
      <c r="C1306">
        <v>80</v>
      </c>
      <c r="D1306">
        <v>79.879310607999997</v>
      </c>
      <c r="E1306">
        <v>40</v>
      </c>
      <c r="F1306">
        <v>43.826534271</v>
      </c>
      <c r="G1306">
        <v>1344.2770995999999</v>
      </c>
      <c r="H1306">
        <v>1340.0617675999999</v>
      </c>
      <c r="I1306">
        <v>1321.3670654</v>
      </c>
      <c r="J1306">
        <v>1315.8421631000001</v>
      </c>
      <c r="K1306">
        <v>550</v>
      </c>
      <c r="L1306">
        <v>0</v>
      </c>
      <c r="M1306">
        <v>0</v>
      </c>
      <c r="N1306">
        <v>550</v>
      </c>
    </row>
    <row r="1307" spans="1:14" x14ac:dyDescent="0.25">
      <c r="A1307">
        <v>1593.692517</v>
      </c>
      <c r="B1307" s="1">
        <f>DATE(2014,9,10) + TIME(16,37,13)</f>
        <v>41892.692511574074</v>
      </c>
      <c r="C1307">
        <v>80</v>
      </c>
      <c r="D1307">
        <v>79.879333496000001</v>
      </c>
      <c r="E1307">
        <v>40</v>
      </c>
      <c r="F1307">
        <v>44.238636016999997</v>
      </c>
      <c r="G1307">
        <v>1344.2569579999999</v>
      </c>
      <c r="H1307">
        <v>1340.0482178</v>
      </c>
      <c r="I1307">
        <v>1321.3868408000001</v>
      </c>
      <c r="J1307">
        <v>1315.8736572</v>
      </c>
      <c r="K1307">
        <v>550</v>
      </c>
      <c r="L1307">
        <v>0</v>
      </c>
      <c r="M1307">
        <v>0</v>
      </c>
      <c r="N1307">
        <v>550</v>
      </c>
    </row>
    <row r="1308" spans="1:14" x14ac:dyDescent="0.25">
      <c r="A1308">
        <v>1597.0672070000001</v>
      </c>
      <c r="B1308" s="1">
        <f>DATE(2014,9,14) + TIME(1,36,46)</f>
        <v>41896.067199074074</v>
      </c>
      <c r="C1308">
        <v>80</v>
      </c>
      <c r="D1308">
        <v>79.879356384000005</v>
      </c>
      <c r="E1308">
        <v>40</v>
      </c>
      <c r="F1308">
        <v>44.676452636999997</v>
      </c>
      <c r="G1308">
        <v>1344.2368164</v>
      </c>
      <c r="H1308">
        <v>1340.034668</v>
      </c>
      <c r="I1308">
        <v>1321.4078368999999</v>
      </c>
      <c r="J1308">
        <v>1315.9088135</v>
      </c>
      <c r="K1308">
        <v>550</v>
      </c>
      <c r="L1308">
        <v>0</v>
      </c>
      <c r="M1308">
        <v>0</v>
      </c>
      <c r="N1308">
        <v>550</v>
      </c>
    </row>
    <row r="1309" spans="1:14" x14ac:dyDescent="0.25">
      <c r="A1309">
        <v>1600.5387459999999</v>
      </c>
      <c r="B1309" s="1">
        <f>DATE(2014,9,17) + TIME(12,55,47)</f>
        <v>41899.538738425923</v>
      </c>
      <c r="C1309">
        <v>80</v>
      </c>
      <c r="D1309">
        <v>79.879379271999994</v>
      </c>
      <c r="E1309">
        <v>40</v>
      </c>
      <c r="F1309">
        <v>45.137283324999999</v>
      </c>
      <c r="G1309">
        <v>1344.2166748</v>
      </c>
      <c r="H1309">
        <v>1340.0209961</v>
      </c>
      <c r="I1309">
        <v>1321.4302978999999</v>
      </c>
      <c r="J1309">
        <v>1315.9473877</v>
      </c>
      <c r="K1309">
        <v>550</v>
      </c>
      <c r="L1309">
        <v>0</v>
      </c>
      <c r="M1309">
        <v>0</v>
      </c>
      <c r="N1309">
        <v>550</v>
      </c>
    </row>
    <row r="1310" spans="1:14" x14ac:dyDescent="0.25">
      <c r="A1310">
        <v>1604.1224119999999</v>
      </c>
      <c r="B1310" s="1">
        <f>DATE(2014,9,21) + TIME(2,56,16)</f>
        <v>41903.122407407405</v>
      </c>
      <c r="C1310">
        <v>80</v>
      </c>
      <c r="D1310">
        <v>79.879402161000002</v>
      </c>
      <c r="E1310">
        <v>40</v>
      </c>
      <c r="F1310">
        <v>45.619876861999998</v>
      </c>
      <c r="G1310">
        <v>1344.1962891000001</v>
      </c>
      <c r="H1310">
        <v>1340.0072021000001</v>
      </c>
      <c r="I1310">
        <v>1321.4543457</v>
      </c>
      <c r="J1310">
        <v>1315.9895019999999</v>
      </c>
      <c r="K1310">
        <v>550</v>
      </c>
      <c r="L1310">
        <v>0</v>
      </c>
      <c r="M1310">
        <v>0</v>
      </c>
      <c r="N1310">
        <v>550</v>
      </c>
    </row>
    <row r="1311" spans="1:14" x14ac:dyDescent="0.25">
      <c r="A1311">
        <v>1607.793766</v>
      </c>
      <c r="B1311" s="1">
        <f>DATE(2014,9,24) + TIME(19,3,1)</f>
        <v>41906.793761574074</v>
      </c>
      <c r="C1311">
        <v>80</v>
      </c>
      <c r="D1311">
        <v>79.879432678000001</v>
      </c>
      <c r="E1311">
        <v>40</v>
      </c>
      <c r="F1311">
        <v>46.121143341</v>
      </c>
      <c r="G1311">
        <v>1344.1756591999999</v>
      </c>
      <c r="H1311">
        <v>1339.9931641000001</v>
      </c>
      <c r="I1311">
        <v>1321.4802245999999</v>
      </c>
      <c r="J1311">
        <v>1316.0352783000001</v>
      </c>
      <c r="K1311">
        <v>550</v>
      </c>
      <c r="L1311">
        <v>0</v>
      </c>
      <c r="M1311">
        <v>0</v>
      </c>
      <c r="N1311">
        <v>550</v>
      </c>
    </row>
    <row r="1312" spans="1:14" x14ac:dyDescent="0.25">
      <c r="A1312">
        <v>1611.5705009999999</v>
      </c>
      <c r="B1312" s="1">
        <f>DATE(2014,9,28) + TIME(13,41,31)</f>
        <v>41910.570497685185</v>
      </c>
      <c r="C1312">
        <v>80</v>
      </c>
      <c r="D1312">
        <v>79.879463196000003</v>
      </c>
      <c r="E1312">
        <v>40</v>
      </c>
      <c r="F1312">
        <v>46.639171599999997</v>
      </c>
      <c r="G1312">
        <v>1344.1550293</v>
      </c>
      <c r="H1312">
        <v>1339.9792480000001</v>
      </c>
      <c r="I1312">
        <v>1321.5078125</v>
      </c>
      <c r="J1312">
        <v>1316.0847168</v>
      </c>
      <c r="K1312">
        <v>550</v>
      </c>
      <c r="L1312">
        <v>0</v>
      </c>
      <c r="M1312">
        <v>0</v>
      </c>
      <c r="N1312">
        <v>550</v>
      </c>
    </row>
    <row r="1313" spans="1:14" x14ac:dyDescent="0.25">
      <c r="A1313">
        <v>1614</v>
      </c>
      <c r="B1313" s="1">
        <f>DATE(2014,10,1) + TIME(0,0,0)</f>
        <v>41913</v>
      </c>
      <c r="C1313">
        <v>80</v>
      </c>
      <c r="D1313">
        <v>79.879447936999995</v>
      </c>
      <c r="E1313">
        <v>40</v>
      </c>
      <c r="F1313">
        <v>47.060047150000003</v>
      </c>
      <c r="G1313">
        <v>1344.1342772999999</v>
      </c>
      <c r="H1313">
        <v>1339.965332</v>
      </c>
      <c r="I1313">
        <v>1321.5418701000001</v>
      </c>
      <c r="J1313">
        <v>1316.1351318</v>
      </c>
      <c r="K1313">
        <v>550</v>
      </c>
      <c r="L1313">
        <v>0</v>
      </c>
      <c r="M1313">
        <v>0</v>
      </c>
      <c r="N1313">
        <v>550</v>
      </c>
    </row>
    <row r="1314" spans="1:14" x14ac:dyDescent="0.25">
      <c r="A1314">
        <v>1617.9005979999999</v>
      </c>
      <c r="B1314" s="1">
        <f>DATE(2014,10,4) + TIME(21,36,51)</f>
        <v>41916.900590277779</v>
      </c>
      <c r="C1314">
        <v>80</v>
      </c>
      <c r="D1314">
        <v>79.879508971999996</v>
      </c>
      <c r="E1314">
        <v>40</v>
      </c>
      <c r="F1314">
        <v>47.549110413000001</v>
      </c>
      <c r="G1314">
        <v>1344.1212158000001</v>
      </c>
      <c r="H1314">
        <v>1339.9562988</v>
      </c>
      <c r="I1314">
        <v>1321.5573730000001</v>
      </c>
      <c r="J1314">
        <v>1316.1773682</v>
      </c>
      <c r="K1314">
        <v>550</v>
      </c>
      <c r="L1314">
        <v>0</v>
      </c>
      <c r="M1314">
        <v>0</v>
      </c>
      <c r="N1314">
        <v>550</v>
      </c>
    </row>
    <row r="1315" spans="1:14" x14ac:dyDescent="0.25">
      <c r="A1315">
        <v>1621.9403870000001</v>
      </c>
      <c r="B1315" s="1">
        <f>DATE(2014,10,8) + TIME(22,34,9)</f>
        <v>41920.940381944441</v>
      </c>
      <c r="C1315">
        <v>80</v>
      </c>
      <c r="D1315">
        <v>79.879554748999993</v>
      </c>
      <c r="E1315">
        <v>40</v>
      </c>
      <c r="F1315">
        <v>48.075340271000002</v>
      </c>
      <c r="G1315">
        <v>1344.1005858999999</v>
      </c>
      <c r="H1315">
        <v>1339.9423827999999</v>
      </c>
      <c r="I1315">
        <v>1321.5889893000001</v>
      </c>
      <c r="J1315">
        <v>1316.2327881000001</v>
      </c>
      <c r="K1315">
        <v>550</v>
      </c>
      <c r="L1315">
        <v>0</v>
      </c>
      <c r="M1315">
        <v>0</v>
      </c>
      <c r="N1315">
        <v>550</v>
      </c>
    </row>
    <row r="1316" spans="1:14" x14ac:dyDescent="0.25">
      <c r="A1316">
        <v>1626.037331</v>
      </c>
      <c r="B1316" s="1">
        <f>DATE(2014,10,13) + TIME(0,53,45)</f>
        <v>41925.037326388891</v>
      </c>
      <c r="C1316">
        <v>80</v>
      </c>
      <c r="D1316">
        <v>79.879600525000001</v>
      </c>
      <c r="E1316">
        <v>40</v>
      </c>
      <c r="F1316">
        <v>48.619335175000003</v>
      </c>
      <c r="G1316">
        <v>1344.0797118999999</v>
      </c>
      <c r="H1316">
        <v>1339.9283447</v>
      </c>
      <c r="I1316">
        <v>1321.6230469</v>
      </c>
      <c r="J1316">
        <v>1316.2929687999999</v>
      </c>
      <c r="K1316">
        <v>550</v>
      </c>
      <c r="L1316">
        <v>0</v>
      </c>
      <c r="M1316">
        <v>0</v>
      </c>
      <c r="N1316">
        <v>550</v>
      </c>
    </row>
    <row r="1317" spans="1:14" x14ac:dyDescent="0.25">
      <c r="A1317">
        <v>1630.2230709999999</v>
      </c>
      <c r="B1317" s="1">
        <f>DATE(2014,10,17) + TIME(5,21,13)</f>
        <v>41929.223067129627</v>
      </c>
      <c r="C1317">
        <v>80</v>
      </c>
      <c r="D1317">
        <v>79.879653931000007</v>
      </c>
      <c r="E1317">
        <v>40</v>
      </c>
      <c r="F1317">
        <v>49.170795441000003</v>
      </c>
      <c r="G1317">
        <v>1344.0592041</v>
      </c>
      <c r="H1317">
        <v>1339.9144286999999</v>
      </c>
      <c r="I1317">
        <v>1321.6585693</v>
      </c>
      <c r="J1317">
        <v>1316.3564452999999</v>
      </c>
      <c r="K1317">
        <v>550</v>
      </c>
      <c r="L1317">
        <v>0</v>
      </c>
      <c r="M1317">
        <v>0</v>
      </c>
      <c r="N1317">
        <v>550</v>
      </c>
    </row>
    <row r="1318" spans="1:14" x14ac:dyDescent="0.25">
      <c r="A1318">
        <v>1634.5276859999999</v>
      </c>
      <c r="B1318" s="1">
        <f>DATE(2014,10,21) + TIME(12,39,52)</f>
        <v>41933.527685185189</v>
      </c>
      <c r="C1318">
        <v>80</v>
      </c>
      <c r="D1318">
        <v>79.879699707</v>
      </c>
      <c r="E1318">
        <v>40</v>
      </c>
      <c r="F1318">
        <v>49.725925445999998</v>
      </c>
      <c r="G1318">
        <v>1344.0386963000001</v>
      </c>
      <c r="H1318">
        <v>1339.9007568</v>
      </c>
      <c r="I1318">
        <v>1321.6955565999999</v>
      </c>
      <c r="J1318">
        <v>1316.4228516000001</v>
      </c>
      <c r="K1318">
        <v>550</v>
      </c>
      <c r="L1318">
        <v>0</v>
      </c>
      <c r="M1318">
        <v>0</v>
      </c>
      <c r="N1318">
        <v>550</v>
      </c>
    </row>
    <row r="1319" spans="1:14" x14ac:dyDescent="0.25">
      <c r="A1319">
        <v>1638.9648999999999</v>
      </c>
      <c r="B1319" s="1">
        <f>DATE(2014,10,25) + TIME(23,9,27)</f>
        <v>41937.964895833335</v>
      </c>
      <c r="C1319">
        <v>80</v>
      </c>
      <c r="D1319">
        <v>79.879753113000007</v>
      </c>
      <c r="E1319">
        <v>40</v>
      </c>
      <c r="F1319">
        <v>50.282745361000003</v>
      </c>
      <c r="G1319">
        <v>1344.0181885</v>
      </c>
      <c r="H1319">
        <v>1339.8870850000001</v>
      </c>
      <c r="I1319">
        <v>1321.7341309000001</v>
      </c>
      <c r="J1319">
        <v>1316.4918213000001</v>
      </c>
      <c r="K1319">
        <v>550</v>
      </c>
      <c r="L1319">
        <v>0</v>
      </c>
      <c r="M1319">
        <v>0</v>
      </c>
      <c r="N1319">
        <v>550</v>
      </c>
    </row>
    <row r="1320" spans="1:14" x14ac:dyDescent="0.25">
      <c r="A1320">
        <v>1643.5346119999999</v>
      </c>
      <c r="B1320" s="1">
        <f>DATE(2014,10,30) + TIME(12,49,50)</f>
        <v>41942.53460648148</v>
      </c>
      <c r="C1320">
        <v>80</v>
      </c>
      <c r="D1320">
        <v>79.879814147999994</v>
      </c>
      <c r="E1320">
        <v>40</v>
      </c>
      <c r="F1320">
        <v>50.838893890000001</v>
      </c>
      <c r="G1320">
        <v>1343.9976807</v>
      </c>
      <c r="H1320">
        <v>1339.8734131000001</v>
      </c>
      <c r="I1320">
        <v>1321.7745361</v>
      </c>
      <c r="J1320">
        <v>1316.5635986</v>
      </c>
      <c r="K1320">
        <v>550</v>
      </c>
      <c r="L1320">
        <v>0</v>
      </c>
      <c r="M1320">
        <v>0</v>
      </c>
      <c r="N1320">
        <v>550</v>
      </c>
    </row>
    <row r="1321" spans="1:14" x14ac:dyDescent="0.25">
      <c r="A1321">
        <v>1645</v>
      </c>
      <c r="B1321" s="1">
        <f>DATE(2014,11,1) + TIME(0,0,0)</f>
        <v>41944</v>
      </c>
      <c r="C1321">
        <v>80</v>
      </c>
      <c r="D1321">
        <v>79.879776000999996</v>
      </c>
      <c r="E1321">
        <v>40</v>
      </c>
      <c r="F1321">
        <v>51.136058806999998</v>
      </c>
      <c r="G1321">
        <v>1343.9774170000001</v>
      </c>
      <c r="H1321">
        <v>1339.8602295000001</v>
      </c>
      <c r="I1321">
        <v>1321.8243408000001</v>
      </c>
      <c r="J1321">
        <v>1316.6289062000001</v>
      </c>
      <c r="K1321">
        <v>550</v>
      </c>
      <c r="L1321">
        <v>0</v>
      </c>
      <c r="M1321">
        <v>0</v>
      </c>
      <c r="N1321">
        <v>550</v>
      </c>
    </row>
    <row r="1322" spans="1:14" x14ac:dyDescent="0.25">
      <c r="A1322">
        <v>1645.0000010000001</v>
      </c>
      <c r="B1322" s="1">
        <f>DATE(2014,11,1) + TIME(0,0,0)</f>
        <v>41944</v>
      </c>
      <c r="C1322">
        <v>80</v>
      </c>
      <c r="D1322">
        <v>79.879753113000007</v>
      </c>
      <c r="E1322">
        <v>40</v>
      </c>
      <c r="F1322">
        <v>51.136089325</v>
      </c>
      <c r="G1322">
        <v>1339.6604004000001</v>
      </c>
      <c r="H1322">
        <v>1337.9705810999999</v>
      </c>
      <c r="I1322">
        <v>1327.3564452999999</v>
      </c>
      <c r="J1322">
        <v>1322.0683594</v>
      </c>
      <c r="K1322">
        <v>0</v>
      </c>
      <c r="L1322">
        <v>550</v>
      </c>
      <c r="M1322">
        <v>550</v>
      </c>
      <c r="N1322">
        <v>0</v>
      </c>
    </row>
    <row r="1323" spans="1:14" x14ac:dyDescent="0.25">
      <c r="A1323">
        <v>1645.000004</v>
      </c>
      <c r="B1323" s="1">
        <f>DATE(2014,11,1) + TIME(0,0,0)</f>
        <v>41944</v>
      </c>
      <c r="C1323">
        <v>80</v>
      </c>
      <c r="D1323">
        <v>79.879676818999997</v>
      </c>
      <c r="E1323">
        <v>40</v>
      </c>
      <c r="F1323">
        <v>51.136157990000001</v>
      </c>
      <c r="G1323">
        <v>1339.1553954999999</v>
      </c>
      <c r="H1323">
        <v>1337.4655762</v>
      </c>
      <c r="I1323">
        <v>1327.9136963000001</v>
      </c>
      <c r="J1323">
        <v>1322.7154541</v>
      </c>
      <c r="K1323">
        <v>0</v>
      </c>
      <c r="L1323">
        <v>550</v>
      </c>
      <c r="M1323">
        <v>550</v>
      </c>
      <c r="N1323">
        <v>0</v>
      </c>
    </row>
    <row r="1324" spans="1:14" x14ac:dyDescent="0.25">
      <c r="A1324">
        <v>1645.0000130000001</v>
      </c>
      <c r="B1324" s="1">
        <f>DATE(2014,11,1) + TIME(0,0,1)</f>
        <v>41944.000011574077</v>
      </c>
      <c r="C1324">
        <v>80</v>
      </c>
      <c r="D1324">
        <v>79.87953186</v>
      </c>
      <c r="E1324">
        <v>40</v>
      </c>
      <c r="F1324">
        <v>51.136314392000003</v>
      </c>
      <c r="G1324">
        <v>1338.1354980000001</v>
      </c>
      <c r="H1324">
        <v>1336.4436035000001</v>
      </c>
      <c r="I1324">
        <v>1329.2075195</v>
      </c>
      <c r="J1324">
        <v>1324.1535644999999</v>
      </c>
      <c r="K1324">
        <v>0</v>
      </c>
      <c r="L1324">
        <v>550</v>
      </c>
      <c r="M1324">
        <v>550</v>
      </c>
      <c r="N1324">
        <v>0</v>
      </c>
    </row>
    <row r="1325" spans="1:14" x14ac:dyDescent="0.25">
      <c r="A1325">
        <v>1645.0000399999999</v>
      </c>
      <c r="B1325" s="1">
        <f>DATE(2014,11,1) + TIME(0,0,3)</f>
        <v>41944.000034722223</v>
      </c>
      <c r="C1325">
        <v>80</v>
      </c>
      <c r="D1325">
        <v>79.879318237000007</v>
      </c>
      <c r="E1325">
        <v>40</v>
      </c>
      <c r="F1325">
        <v>51.136512756000002</v>
      </c>
      <c r="G1325">
        <v>1336.6401367000001</v>
      </c>
      <c r="H1325">
        <v>1334.9373779</v>
      </c>
      <c r="I1325">
        <v>1331.4648437999999</v>
      </c>
      <c r="J1325">
        <v>1326.4863281</v>
      </c>
      <c r="K1325">
        <v>0</v>
      </c>
      <c r="L1325">
        <v>550</v>
      </c>
      <c r="M1325">
        <v>550</v>
      </c>
      <c r="N1325">
        <v>0</v>
      </c>
    </row>
    <row r="1326" spans="1:14" x14ac:dyDescent="0.25">
      <c r="A1326">
        <v>1645.000121</v>
      </c>
      <c r="B1326" s="1">
        <f>DATE(2014,11,1) + TIME(0,0,10)</f>
        <v>41944.000115740739</v>
      </c>
      <c r="C1326">
        <v>80</v>
      </c>
      <c r="D1326">
        <v>79.879074097</v>
      </c>
      <c r="E1326">
        <v>40</v>
      </c>
      <c r="F1326">
        <v>51.136589049999998</v>
      </c>
      <c r="G1326">
        <v>1334.9545897999999</v>
      </c>
      <c r="H1326">
        <v>1333.2244873</v>
      </c>
      <c r="I1326">
        <v>1334.3642577999999</v>
      </c>
      <c r="J1326">
        <v>1329.3702393000001</v>
      </c>
      <c r="K1326">
        <v>0</v>
      </c>
      <c r="L1326">
        <v>550</v>
      </c>
      <c r="M1326">
        <v>550</v>
      </c>
      <c r="N1326">
        <v>0</v>
      </c>
    </row>
    <row r="1327" spans="1:14" x14ac:dyDescent="0.25">
      <c r="A1327">
        <v>1645.000364</v>
      </c>
      <c r="B1327" s="1">
        <f>DATE(2014,11,1) + TIME(0,0,31)</f>
        <v>41944.000358796293</v>
      </c>
      <c r="C1327">
        <v>80</v>
      </c>
      <c r="D1327">
        <v>79.878799438000001</v>
      </c>
      <c r="E1327">
        <v>40</v>
      </c>
      <c r="F1327">
        <v>51.136096954000003</v>
      </c>
      <c r="G1327">
        <v>1333.2055664</v>
      </c>
      <c r="H1327">
        <v>1331.4031981999999</v>
      </c>
      <c r="I1327">
        <v>1337.4348144999999</v>
      </c>
      <c r="J1327">
        <v>1332.4099120999999</v>
      </c>
      <c r="K1327">
        <v>0</v>
      </c>
      <c r="L1327">
        <v>550</v>
      </c>
      <c r="M1327">
        <v>550</v>
      </c>
      <c r="N1327">
        <v>0</v>
      </c>
    </row>
    <row r="1328" spans="1:14" x14ac:dyDescent="0.25">
      <c r="A1328">
        <v>1645.0010930000001</v>
      </c>
      <c r="B1328" s="1">
        <f>DATE(2014,11,1) + TIME(0,1,34)</f>
        <v>41944.001087962963</v>
      </c>
      <c r="C1328">
        <v>80</v>
      </c>
      <c r="D1328">
        <v>79.878463745000005</v>
      </c>
      <c r="E1328">
        <v>40</v>
      </c>
      <c r="F1328">
        <v>51.133823395</v>
      </c>
      <c r="G1328">
        <v>1331.4294434000001</v>
      </c>
      <c r="H1328">
        <v>1329.4857178</v>
      </c>
      <c r="I1328">
        <v>1340.4285889</v>
      </c>
      <c r="J1328">
        <v>1335.3641356999999</v>
      </c>
      <c r="K1328">
        <v>0</v>
      </c>
      <c r="L1328">
        <v>550</v>
      </c>
      <c r="M1328">
        <v>550</v>
      </c>
      <c r="N1328">
        <v>0</v>
      </c>
    </row>
    <row r="1329" spans="1:14" x14ac:dyDescent="0.25">
      <c r="A1329">
        <v>1645.0032799999999</v>
      </c>
      <c r="B1329" s="1">
        <f>DATE(2014,11,1) + TIME(0,4,43)</f>
        <v>41944.003275462965</v>
      </c>
      <c r="C1329">
        <v>80</v>
      </c>
      <c r="D1329">
        <v>79.877983092999997</v>
      </c>
      <c r="E1329">
        <v>40</v>
      </c>
      <c r="F1329">
        <v>51.126106262</v>
      </c>
      <c r="G1329">
        <v>1329.8395995999999</v>
      </c>
      <c r="H1329">
        <v>1327.7401123</v>
      </c>
      <c r="I1329">
        <v>1342.9456786999999</v>
      </c>
      <c r="J1329">
        <v>1337.8184814000001</v>
      </c>
      <c r="K1329">
        <v>0</v>
      </c>
      <c r="L1329">
        <v>550</v>
      </c>
      <c r="M1329">
        <v>550</v>
      </c>
      <c r="N1329">
        <v>0</v>
      </c>
    </row>
    <row r="1330" spans="1:14" x14ac:dyDescent="0.25">
      <c r="A1330">
        <v>1645.0098410000001</v>
      </c>
      <c r="B1330" s="1">
        <f>DATE(2014,11,1) + TIME(0,14,10)</f>
        <v>41944.009837962964</v>
      </c>
      <c r="C1330">
        <v>80</v>
      </c>
      <c r="D1330">
        <v>79.877029418999996</v>
      </c>
      <c r="E1330">
        <v>40</v>
      </c>
      <c r="F1330">
        <v>51.101997375000003</v>
      </c>
      <c r="G1330">
        <v>1328.6855469</v>
      </c>
      <c r="H1330">
        <v>1326.505249</v>
      </c>
      <c r="I1330">
        <v>1344.5772704999999</v>
      </c>
      <c r="J1330">
        <v>1339.3884277</v>
      </c>
      <c r="K1330">
        <v>0</v>
      </c>
      <c r="L1330">
        <v>550</v>
      </c>
      <c r="M1330">
        <v>550</v>
      </c>
      <c r="N1330">
        <v>0</v>
      </c>
    </row>
    <row r="1331" spans="1:14" x14ac:dyDescent="0.25">
      <c r="A1331">
        <v>1645.029524</v>
      </c>
      <c r="B1331" s="1">
        <f>DATE(2014,11,1) + TIME(0,42,30)</f>
        <v>41944.029513888891</v>
      </c>
      <c r="C1331">
        <v>80</v>
      </c>
      <c r="D1331">
        <v>79.874565125000004</v>
      </c>
      <c r="E1331">
        <v>40</v>
      </c>
      <c r="F1331">
        <v>51.029167174999998</v>
      </c>
      <c r="G1331">
        <v>1328.0115966999999</v>
      </c>
      <c r="H1331">
        <v>1325.8116454999999</v>
      </c>
      <c r="I1331">
        <v>1345.3503418</v>
      </c>
      <c r="J1331">
        <v>1340.1209716999999</v>
      </c>
      <c r="K1331">
        <v>0</v>
      </c>
      <c r="L1331">
        <v>550</v>
      </c>
      <c r="M1331">
        <v>550</v>
      </c>
      <c r="N1331">
        <v>0</v>
      </c>
    </row>
    <row r="1332" spans="1:14" x14ac:dyDescent="0.25">
      <c r="A1332">
        <v>1645.088573</v>
      </c>
      <c r="B1332" s="1">
        <f>DATE(2014,11,1) + TIME(2,7,32)</f>
        <v>41944.088564814818</v>
      </c>
      <c r="C1332">
        <v>80</v>
      </c>
      <c r="D1332">
        <v>79.867469787999994</v>
      </c>
      <c r="E1332">
        <v>40</v>
      </c>
      <c r="F1332">
        <v>50.814571381</v>
      </c>
      <c r="G1332">
        <v>1327.7023925999999</v>
      </c>
      <c r="H1332">
        <v>1325.5003661999999</v>
      </c>
      <c r="I1332">
        <v>1345.5808105000001</v>
      </c>
      <c r="J1332">
        <v>1340.3295897999999</v>
      </c>
      <c r="K1332">
        <v>0</v>
      </c>
      <c r="L1332">
        <v>550</v>
      </c>
      <c r="M1332">
        <v>550</v>
      </c>
      <c r="N1332">
        <v>0</v>
      </c>
    </row>
    <row r="1333" spans="1:14" x14ac:dyDescent="0.25">
      <c r="A1333">
        <v>1645.2657200000001</v>
      </c>
      <c r="B1333" s="1">
        <f>DATE(2014,11,1) + TIME(6,22,38)</f>
        <v>41944.265717592592</v>
      </c>
      <c r="C1333">
        <v>80</v>
      </c>
      <c r="D1333">
        <v>79.846939086999996</v>
      </c>
      <c r="E1333">
        <v>40</v>
      </c>
      <c r="F1333">
        <v>50.210132598999998</v>
      </c>
      <c r="G1333">
        <v>1327.6066894999999</v>
      </c>
      <c r="H1333">
        <v>1325.4045410000001</v>
      </c>
      <c r="I1333">
        <v>1345.5988769999999</v>
      </c>
      <c r="J1333">
        <v>1340.3238524999999</v>
      </c>
      <c r="K1333">
        <v>0</v>
      </c>
      <c r="L1333">
        <v>550</v>
      </c>
      <c r="M1333">
        <v>550</v>
      </c>
      <c r="N1333">
        <v>0</v>
      </c>
    </row>
    <row r="1334" spans="1:14" x14ac:dyDescent="0.25">
      <c r="A1334">
        <v>1645.53764</v>
      </c>
      <c r="B1334" s="1">
        <f>DATE(2014,11,1) + TIME(12,54,12)</f>
        <v>41944.537638888891</v>
      </c>
      <c r="C1334">
        <v>80</v>
      </c>
      <c r="D1334">
        <v>79.816398621000005</v>
      </c>
      <c r="E1334">
        <v>40</v>
      </c>
      <c r="F1334">
        <v>49.366996765000003</v>
      </c>
      <c r="G1334">
        <v>1327.5869141000001</v>
      </c>
      <c r="H1334">
        <v>1325.3840332</v>
      </c>
      <c r="I1334">
        <v>1345.583374</v>
      </c>
      <c r="J1334">
        <v>1340.2836914</v>
      </c>
      <c r="K1334">
        <v>0</v>
      </c>
      <c r="L1334">
        <v>550</v>
      </c>
      <c r="M1334">
        <v>550</v>
      </c>
      <c r="N1334">
        <v>0</v>
      </c>
    </row>
    <row r="1335" spans="1:14" x14ac:dyDescent="0.25">
      <c r="A1335">
        <v>1645.837274</v>
      </c>
      <c r="B1335" s="1">
        <f>DATE(2014,11,1) + TIME(20,5,40)</f>
        <v>41944.837268518517</v>
      </c>
      <c r="C1335">
        <v>80</v>
      </c>
      <c r="D1335">
        <v>79.783470154</v>
      </c>
      <c r="E1335">
        <v>40</v>
      </c>
      <c r="F1335">
        <v>48.530002594000003</v>
      </c>
      <c r="G1335">
        <v>1327.5769043</v>
      </c>
      <c r="H1335">
        <v>1325.3728027</v>
      </c>
      <c r="I1335">
        <v>1345.5621338000001</v>
      </c>
      <c r="J1335">
        <v>1340.2421875</v>
      </c>
      <c r="K1335">
        <v>0</v>
      </c>
      <c r="L1335">
        <v>550</v>
      </c>
      <c r="M1335">
        <v>550</v>
      </c>
      <c r="N1335">
        <v>0</v>
      </c>
    </row>
    <row r="1336" spans="1:14" x14ac:dyDescent="0.25">
      <c r="A1336">
        <v>1646.169965</v>
      </c>
      <c r="B1336" s="1">
        <f>DATE(2014,11,2) + TIME(4,4,44)</f>
        <v>41945.169953703706</v>
      </c>
      <c r="C1336">
        <v>80</v>
      </c>
      <c r="D1336">
        <v>79.747756957999997</v>
      </c>
      <c r="E1336">
        <v>40</v>
      </c>
      <c r="F1336">
        <v>47.700206756999997</v>
      </c>
      <c r="G1336">
        <v>1327.5673827999999</v>
      </c>
      <c r="H1336">
        <v>1325.3618164</v>
      </c>
      <c r="I1336">
        <v>1345.541626</v>
      </c>
      <c r="J1336">
        <v>1340.2016602000001</v>
      </c>
      <c r="K1336">
        <v>0</v>
      </c>
      <c r="L1336">
        <v>550</v>
      </c>
      <c r="M1336">
        <v>550</v>
      </c>
      <c r="N1336">
        <v>0</v>
      </c>
    </row>
    <row r="1337" spans="1:14" x14ac:dyDescent="0.25">
      <c r="A1337">
        <v>1646.542829</v>
      </c>
      <c r="B1337" s="1">
        <f>DATE(2014,11,2) + TIME(13,1,40)</f>
        <v>41945.542824074073</v>
      </c>
      <c r="C1337">
        <v>80</v>
      </c>
      <c r="D1337">
        <v>79.708740234000004</v>
      </c>
      <c r="E1337">
        <v>40</v>
      </c>
      <c r="F1337">
        <v>46.878528594999999</v>
      </c>
      <c r="G1337">
        <v>1327.5570068</v>
      </c>
      <c r="H1337">
        <v>1325.3497314000001</v>
      </c>
      <c r="I1337">
        <v>1345.5211182</v>
      </c>
      <c r="J1337">
        <v>1340.1613769999999</v>
      </c>
      <c r="K1337">
        <v>0</v>
      </c>
      <c r="L1337">
        <v>550</v>
      </c>
      <c r="M1337">
        <v>550</v>
      </c>
      <c r="N1337">
        <v>0</v>
      </c>
    </row>
    <row r="1338" spans="1:14" x14ac:dyDescent="0.25">
      <c r="A1338">
        <v>1646.9446210000001</v>
      </c>
      <c r="B1338" s="1">
        <f>DATE(2014,11,2) + TIME(22,40,15)</f>
        <v>41945.944618055553</v>
      </c>
      <c r="C1338">
        <v>80</v>
      </c>
      <c r="D1338">
        <v>79.667686462000006</v>
      </c>
      <c r="E1338">
        <v>40</v>
      </c>
      <c r="F1338">
        <v>46.101451873999999</v>
      </c>
      <c r="G1338">
        <v>1327.5457764</v>
      </c>
      <c r="H1338">
        <v>1325.3363036999999</v>
      </c>
      <c r="I1338">
        <v>1345.5002440999999</v>
      </c>
      <c r="J1338">
        <v>1340.1223144999999</v>
      </c>
      <c r="K1338">
        <v>0</v>
      </c>
      <c r="L1338">
        <v>550</v>
      </c>
      <c r="M1338">
        <v>550</v>
      </c>
      <c r="N1338">
        <v>0</v>
      </c>
    </row>
    <row r="1339" spans="1:14" x14ac:dyDescent="0.25">
      <c r="A1339">
        <v>1647.359678</v>
      </c>
      <c r="B1339" s="1">
        <f>DATE(2014,11,3) + TIME(8,37,56)</f>
        <v>41946.359675925924</v>
      </c>
      <c r="C1339">
        <v>80</v>
      </c>
      <c r="D1339">
        <v>79.626159668</v>
      </c>
      <c r="E1339">
        <v>40</v>
      </c>
      <c r="F1339">
        <v>45.398216247999997</v>
      </c>
      <c r="G1339">
        <v>1327.5338135</v>
      </c>
      <c r="H1339">
        <v>1325.3220214999999</v>
      </c>
      <c r="I1339">
        <v>1345.4802245999999</v>
      </c>
      <c r="J1339">
        <v>1340.0864257999999</v>
      </c>
      <c r="K1339">
        <v>0</v>
      </c>
      <c r="L1339">
        <v>550</v>
      </c>
      <c r="M1339">
        <v>550</v>
      </c>
      <c r="N1339">
        <v>0</v>
      </c>
    </row>
    <row r="1340" spans="1:14" x14ac:dyDescent="0.25">
      <c r="A1340">
        <v>1647.7891549999999</v>
      </c>
      <c r="B1340" s="1">
        <f>DATE(2014,11,3) + TIME(18,56,23)</f>
        <v>41946.789155092592</v>
      </c>
      <c r="C1340">
        <v>80</v>
      </c>
      <c r="D1340">
        <v>79.584068298000005</v>
      </c>
      <c r="E1340">
        <v>40</v>
      </c>
      <c r="F1340">
        <v>44.76203537</v>
      </c>
      <c r="G1340">
        <v>1327.5216064000001</v>
      </c>
      <c r="H1340">
        <v>1325.3071289</v>
      </c>
      <c r="I1340">
        <v>1345.4619141000001</v>
      </c>
      <c r="J1340">
        <v>1340.0538329999999</v>
      </c>
      <c r="K1340">
        <v>0</v>
      </c>
      <c r="L1340">
        <v>550</v>
      </c>
      <c r="M1340">
        <v>550</v>
      </c>
      <c r="N1340">
        <v>0</v>
      </c>
    </row>
    <row r="1341" spans="1:14" x14ac:dyDescent="0.25">
      <c r="A1341">
        <v>1648.2338540000001</v>
      </c>
      <c r="B1341" s="1">
        <f>DATE(2014,11,4) + TIME(5,36,44)</f>
        <v>41947.233842592592</v>
      </c>
      <c r="C1341">
        <v>80</v>
      </c>
      <c r="D1341">
        <v>79.541358947999996</v>
      </c>
      <c r="E1341">
        <v>40</v>
      </c>
      <c r="F1341">
        <v>44.187480927000003</v>
      </c>
      <c r="G1341">
        <v>1327.5091553</v>
      </c>
      <c r="H1341">
        <v>1325.2917480000001</v>
      </c>
      <c r="I1341">
        <v>1345.4453125</v>
      </c>
      <c r="J1341">
        <v>1340.0244141000001</v>
      </c>
      <c r="K1341">
        <v>0</v>
      </c>
      <c r="L1341">
        <v>550</v>
      </c>
      <c r="M1341">
        <v>550</v>
      </c>
      <c r="N1341">
        <v>0</v>
      </c>
    </row>
    <row r="1342" spans="1:14" x14ac:dyDescent="0.25">
      <c r="A1342">
        <v>1648.6946479999999</v>
      </c>
      <c r="B1342" s="1">
        <f>DATE(2014,11,4) + TIME(16,40,17)</f>
        <v>41947.694641203707</v>
      </c>
      <c r="C1342">
        <v>80</v>
      </c>
      <c r="D1342">
        <v>79.497978209999999</v>
      </c>
      <c r="E1342">
        <v>40</v>
      </c>
      <c r="F1342">
        <v>43.669563293000003</v>
      </c>
      <c r="G1342">
        <v>1327.4962158000001</v>
      </c>
      <c r="H1342">
        <v>1325.2756348</v>
      </c>
      <c r="I1342">
        <v>1345.4301757999999</v>
      </c>
      <c r="J1342">
        <v>1339.9979248</v>
      </c>
      <c r="K1342">
        <v>0</v>
      </c>
      <c r="L1342">
        <v>550</v>
      </c>
      <c r="M1342">
        <v>550</v>
      </c>
      <c r="N1342">
        <v>0</v>
      </c>
    </row>
    <row r="1343" spans="1:14" x14ac:dyDescent="0.25">
      <c r="A1343">
        <v>1649.1724859999999</v>
      </c>
      <c r="B1343" s="1">
        <f>DATE(2014,11,5) + TIME(4,8,22)</f>
        <v>41948.172476851854</v>
      </c>
      <c r="C1343">
        <v>80</v>
      </c>
      <c r="D1343">
        <v>79.453865050999994</v>
      </c>
      <c r="E1343">
        <v>40</v>
      </c>
      <c r="F1343">
        <v>43.203704834</v>
      </c>
      <c r="G1343">
        <v>1327.4829102000001</v>
      </c>
      <c r="H1343">
        <v>1325.2589111</v>
      </c>
      <c r="I1343">
        <v>1345.4163818</v>
      </c>
      <c r="J1343">
        <v>1339.973999</v>
      </c>
      <c r="K1343">
        <v>0</v>
      </c>
      <c r="L1343">
        <v>550</v>
      </c>
      <c r="M1343">
        <v>550</v>
      </c>
      <c r="N1343">
        <v>0</v>
      </c>
    </row>
    <row r="1344" spans="1:14" x14ac:dyDescent="0.25">
      <c r="A1344">
        <v>1649.668103</v>
      </c>
      <c r="B1344" s="1">
        <f>DATE(2014,11,5) + TIME(16,2,4)</f>
        <v>41948.66810185185</v>
      </c>
      <c r="C1344">
        <v>80</v>
      </c>
      <c r="D1344">
        <v>79.408988953000005</v>
      </c>
      <c r="E1344">
        <v>40</v>
      </c>
      <c r="F1344">
        <v>42.785911560000002</v>
      </c>
      <c r="G1344">
        <v>1327.4692382999999</v>
      </c>
      <c r="H1344">
        <v>1325.2415771000001</v>
      </c>
      <c r="I1344">
        <v>1345.4040527</v>
      </c>
      <c r="J1344">
        <v>1339.9526367000001</v>
      </c>
      <c r="K1344">
        <v>0</v>
      </c>
      <c r="L1344">
        <v>550</v>
      </c>
      <c r="M1344">
        <v>550</v>
      </c>
      <c r="N1344">
        <v>0</v>
      </c>
    </row>
    <row r="1345" spans="1:14" x14ac:dyDescent="0.25">
      <c r="A1345">
        <v>1650.1828129999999</v>
      </c>
      <c r="B1345" s="1">
        <f>DATE(2014,11,6) + TIME(4,23,15)</f>
        <v>41949.182812500003</v>
      </c>
      <c r="C1345">
        <v>80</v>
      </c>
      <c r="D1345">
        <v>79.363258361999996</v>
      </c>
      <c r="E1345">
        <v>40</v>
      </c>
      <c r="F1345">
        <v>42.412071228000002</v>
      </c>
      <c r="G1345">
        <v>1327.4550781</v>
      </c>
      <c r="H1345">
        <v>1325.2235106999999</v>
      </c>
      <c r="I1345">
        <v>1345.3928223</v>
      </c>
      <c r="J1345">
        <v>1339.9335937999999</v>
      </c>
      <c r="K1345">
        <v>0</v>
      </c>
      <c r="L1345">
        <v>550</v>
      </c>
      <c r="M1345">
        <v>550</v>
      </c>
      <c r="N1345">
        <v>0</v>
      </c>
    </row>
    <row r="1346" spans="1:14" x14ac:dyDescent="0.25">
      <c r="A1346">
        <v>1650.7178530000001</v>
      </c>
      <c r="B1346" s="1">
        <f>DATE(2014,11,6) + TIME(17,13,42)</f>
        <v>41949.717847222222</v>
      </c>
      <c r="C1346">
        <v>80</v>
      </c>
      <c r="D1346">
        <v>79.316596985000004</v>
      </c>
      <c r="E1346">
        <v>40</v>
      </c>
      <c r="F1346">
        <v>42.078540801999999</v>
      </c>
      <c r="G1346">
        <v>1327.4404297000001</v>
      </c>
      <c r="H1346">
        <v>1325.2045897999999</v>
      </c>
      <c r="I1346">
        <v>1345.3828125</v>
      </c>
      <c r="J1346">
        <v>1339.9167480000001</v>
      </c>
      <c r="K1346">
        <v>0</v>
      </c>
      <c r="L1346">
        <v>550</v>
      </c>
      <c r="M1346">
        <v>550</v>
      </c>
      <c r="N1346">
        <v>0</v>
      </c>
    </row>
    <row r="1347" spans="1:14" x14ac:dyDescent="0.25">
      <c r="A1347">
        <v>1651.2745190000001</v>
      </c>
      <c r="B1347" s="1">
        <f>DATE(2014,11,7) + TIME(6,35,18)</f>
        <v>41950.274513888886</v>
      </c>
      <c r="C1347">
        <v>80</v>
      </c>
      <c r="D1347">
        <v>79.268928528000004</v>
      </c>
      <c r="E1347">
        <v>40</v>
      </c>
      <c r="F1347">
        <v>41.781963347999998</v>
      </c>
      <c r="G1347">
        <v>1327.425293</v>
      </c>
      <c r="H1347">
        <v>1325.1850586</v>
      </c>
      <c r="I1347">
        <v>1345.3739014</v>
      </c>
      <c r="J1347">
        <v>1339.9018555</v>
      </c>
      <c r="K1347">
        <v>0</v>
      </c>
      <c r="L1347">
        <v>550</v>
      </c>
      <c r="M1347">
        <v>550</v>
      </c>
      <c r="N1347">
        <v>0</v>
      </c>
    </row>
    <row r="1348" spans="1:14" x14ac:dyDescent="0.25">
      <c r="A1348">
        <v>1651.8542210000001</v>
      </c>
      <c r="B1348" s="1">
        <f>DATE(2014,11,7) + TIME(20,30,4)</f>
        <v>41950.854212962964</v>
      </c>
      <c r="C1348">
        <v>80</v>
      </c>
      <c r="D1348">
        <v>79.220176696999999</v>
      </c>
      <c r="E1348">
        <v>40</v>
      </c>
      <c r="F1348">
        <v>41.519207000999998</v>
      </c>
      <c r="G1348">
        <v>1327.409668</v>
      </c>
      <c r="H1348">
        <v>1325.1645507999999</v>
      </c>
      <c r="I1348">
        <v>1345.3659668</v>
      </c>
      <c r="J1348">
        <v>1339.8887939000001</v>
      </c>
      <c r="K1348">
        <v>0</v>
      </c>
      <c r="L1348">
        <v>550</v>
      </c>
      <c r="M1348">
        <v>550</v>
      </c>
      <c r="N1348">
        <v>0</v>
      </c>
    </row>
    <row r="1349" spans="1:14" x14ac:dyDescent="0.25">
      <c r="A1349">
        <v>1652.458496</v>
      </c>
      <c r="B1349" s="1">
        <f>DATE(2014,11,8) + TIME(11,0,14)</f>
        <v>41951.458495370367</v>
      </c>
      <c r="C1349">
        <v>80</v>
      </c>
      <c r="D1349">
        <v>79.170249939000001</v>
      </c>
      <c r="E1349">
        <v>40</v>
      </c>
      <c r="F1349">
        <v>41.287345885999997</v>
      </c>
      <c r="G1349">
        <v>1327.3933105000001</v>
      </c>
      <c r="H1349">
        <v>1325.1433105000001</v>
      </c>
      <c r="I1349">
        <v>1345.3591309000001</v>
      </c>
      <c r="J1349">
        <v>1339.8775635</v>
      </c>
      <c r="K1349">
        <v>0</v>
      </c>
      <c r="L1349">
        <v>550</v>
      </c>
      <c r="M1349">
        <v>550</v>
      </c>
      <c r="N1349">
        <v>0</v>
      </c>
    </row>
    <row r="1350" spans="1:14" x14ac:dyDescent="0.25">
      <c r="A1350">
        <v>1653.089017</v>
      </c>
      <c r="B1350" s="1">
        <f>DATE(2014,11,9) + TIME(2,8,11)</f>
        <v>41952.089016203703</v>
      </c>
      <c r="C1350">
        <v>80</v>
      </c>
      <c r="D1350">
        <v>79.119056701999995</v>
      </c>
      <c r="E1350">
        <v>40</v>
      </c>
      <c r="F1350">
        <v>41.083629608000003</v>
      </c>
      <c r="G1350">
        <v>1327.3763428</v>
      </c>
      <c r="H1350">
        <v>1325.1209716999999</v>
      </c>
      <c r="I1350">
        <v>1345.3530272999999</v>
      </c>
      <c r="J1350">
        <v>1339.8677978999999</v>
      </c>
      <c r="K1350">
        <v>0</v>
      </c>
      <c r="L1350">
        <v>550</v>
      </c>
      <c r="M1350">
        <v>550</v>
      </c>
      <c r="N1350">
        <v>0</v>
      </c>
    </row>
    <row r="1351" spans="1:14" x14ac:dyDescent="0.25">
      <c r="A1351">
        <v>1653.7476160000001</v>
      </c>
      <c r="B1351" s="1">
        <f>DATE(2014,11,9) + TIME(17,56,34)</f>
        <v>41952.747615740744</v>
      </c>
      <c r="C1351">
        <v>80</v>
      </c>
      <c r="D1351">
        <v>79.066490173000005</v>
      </c>
      <c r="E1351">
        <v>40</v>
      </c>
      <c r="F1351">
        <v>40.905479431000003</v>
      </c>
      <c r="G1351">
        <v>1327.3587646000001</v>
      </c>
      <c r="H1351">
        <v>1325.0977783000001</v>
      </c>
      <c r="I1351">
        <v>1345.3479004000001</v>
      </c>
      <c r="J1351">
        <v>1339.8596190999999</v>
      </c>
      <c r="K1351">
        <v>0</v>
      </c>
      <c r="L1351">
        <v>550</v>
      </c>
      <c r="M1351">
        <v>550</v>
      </c>
      <c r="N1351">
        <v>0</v>
      </c>
    </row>
    <row r="1352" spans="1:14" x14ac:dyDescent="0.25">
      <c r="A1352">
        <v>1654.4362940000001</v>
      </c>
      <c r="B1352" s="1">
        <f>DATE(2014,11,10) + TIME(10,28,15)</f>
        <v>41953.436284722222</v>
      </c>
      <c r="C1352">
        <v>80</v>
      </c>
      <c r="D1352">
        <v>79.012443542</v>
      </c>
      <c r="E1352">
        <v>40</v>
      </c>
      <c r="F1352">
        <v>40.750480652</v>
      </c>
      <c r="G1352">
        <v>1327.340332</v>
      </c>
      <c r="H1352">
        <v>1325.0733643000001</v>
      </c>
      <c r="I1352">
        <v>1345.3435059000001</v>
      </c>
      <c r="J1352">
        <v>1339.8527832</v>
      </c>
      <c r="K1352">
        <v>0</v>
      </c>
      <c r="L1352">
        <v>550</v>
      </c>
      <c r="M1352">
        <v>550</v>
      </c>
      <c r="N1352">
        <v>0</v>
      </c>
    </row>
    <row r="1353" spans="1:14" x14ac:dyDescent="0.25">
      <c r="A1353">
        <v>1655.157281</v>
      </c>
      <c r="B1353" s="1">
        <f>DATE(2014,11,11) + TIME(3,46,29)</f>
        <v>41954.157280092593</v>
      </c>
      <c r="C1353">
        <v>80</v>
      </c>
      <c r="D1353">
        <v>78.956802367999998</v>
      </c>
      <c r="E1353">
        <v>40</v>
      </c>
      <c r="F1353">
        <v>40.616355896000002</v>
      </c>
      <c r="G1353">
        <v>1327.3211670000001</v>
      </c>
      <c r="H1353">
        <v>1325.0478516000001</v>
      </c>
      <c r="I1353">
        <v>1345.3399658000001</v>
      </c>
      <c r="J1353">
        <v>1339.847168</v>
      </c>
      <c r="K1353">
        <v>0</v>
      </c>
      <c r="L1353">
        <v>550</v>
      </c>
      <c r="M1353">
        <v>550</v>
      </c>
      <c r="N1353">
        <v>0</v>
      </c>
    </row>
    <row r="1354" spans="1:14" x14ac:dyDescent="0.25">
      <c r="A1354">
        <v>1655.912851</v>
      </c>
      <c r="B1354" s="1">
        <f>DATE(2014,11,11) + TIME(21,54,30)</f>
        <v>41954.912847222222</v>
      </c>
      <c r="C1354">
        <v>80</v>
      </c>
      <c r="D1354">
        <v>78.899436950999998</v>
      </c>
      <c r="E1354">
        <v>40</v>
      </c>
      <c r="F1354">
        <v>40.500995635999999</v>
      </c>
      <c r="G1354">
        <v>1327.3011475000001</v>
      </c>
      <c r="H1354">
        <v>1325.0212402</v>
      </c>
      <c r="I1354">
        <v>1345.3371582</v>
      </c>
      <c r="J1354">
        <v>1339.8426514</v>
      </c>
      <c r="K1354">
        <v>0</v>
      </c>
      <c r="L1354">
        <v>550</v>
      </c>
      <c r="M1354">
        <v>550</v>
      </c>
      <c r="N1354">
        <v>0</v>
      </c>
    </row>
    <row r="1355" spans="1:14" x14ac:dyDescent="0.25">
      <c r="A1355">
        <v>1656.705647</v>
      </c>
      <c r="B1355" s="1">
        <f>DATE(2014,11,12) + TIME(16,56,7)</f>
        <v>41955.705636574072</v>
      </c>
      <c r="C1355">
        <v>80</v>
      </c>
      <c r="D1355">
        <v>78.840232849000003</v>
      </c>
      <c r="E1355">
        <v>40</v>
      </c>
      <c r="F1355">
        <v>40.402389526</v>
      </c>
      <c r="G1355">
        <v>1327.2801514</v>
      </c>
      <c r="H1355">
        <v>1324.9931641000001</v>
      </c>
      <c r="I1355">
        <v>1345.3349608999999</v>
      </c>
      <c r="J1355">
        <v>1339.8392334</v>
      </c>
      <c r="K1355">
        <v>0</v>
      </c>
      <c r="L1355">
        <v>550</v>
      </c>
      <c r="M1355">
        <v>550</v>
      </c>
      <c r="N1355">
        <v>0</v>
      </c>
    </row>
    <row r="1356" spans="1:14" x14ac:dyDescent="0.25">
      <c r="A1356">
        <v>1657.5388399999999</v>
      </c>
      <c r="B1356" s="1">
        <f>DATE(2014,11,13) + TIME(12,55,55)</f>
        <v>41956.538831018515</v>
      </c>
      <c r="C1356">
        <v>80</v>
      </c>
      <c r="D1356">
        <v>78.779006957999997</v>
      </c>
      <c r="E1356">
        <v>40</v>
      </c>
      <c r="F1356">
        <v>40.318653107000003</v>
      </c>
      <c r="G1356">
        <v>1327.2581786999999</v>
      </c>
      <c r="H1356">
        <v>1324.9637451000001</v>
      </c>
      <c r="I1356">
        <v>1345.333374</v>
      </c>
      <c r="J1356">
        <v>1339.8366699000001</v>
      </c>
      <c r="K1356">
        <v>0</v>
      </c>
      <c r="L1356">
        <v>550</v>
      </c>
      <c r="M1356">
        <v>550</v>
      </c>
      <c r="N1356">
        <v>0</v>
      </c>
    </row>
    <row r="1357" spans="1:14" x14ac:dyDescent="0.25">
      <c r="A1357">
        <v>1658.415737</v>
      </c>
      <c r="B1357" s="1">
        <f>DATE(2014,11,14) + TIME(9,58,39)</f>
        <v>41957.415729166663</v>
      </c>
      <c r="C1357">
        <v>80</v>
      </c>
      <c r="D1357">
        <v>78.715614318999997</v>
      </c>
      <c r="E1357">
        <v>40</v>
      </c>
      <c r="F1357">
        <v>40.248046875</v>
      </c>
      <c r="G1357">
        <v>1327.2351074000001</v>
      </c>
      <c r="H1357">
        <v>1324.9327393000001</v>
      </c>
      <c r="I1357">
        <v>1345.3325195</v>
      </c>
      <c r="J1357">
        <v>1339.8350829999999</v>
      </c>
      <c r="K1357">
        <v>0</v>
      </c>
      <c r="L1357">
        <v>550</v>
      </c>
      <c r="M1357">
        <v>550</v>
      </c>
      <c r="N1357">
        <v>0</v>
      </c>
    </row>
    <row r="1358" spans="1:14" x14ac:dyDescent="0.25">
      <c r="A1358">
        <v>1659.3400349999999</v>
      </c>
      <c r="B1358" s="1">
        <f>DATE(2014,11,15) + TIME(8,9,39)</f>
        <v>41958.34003472222</v>
      </c>
      <c r="C1358">
        <v>80</v>
      </c>
      <c r="D1358">
        <v>78.649856567</v>
      </c>
      <c r="E1358">
        <v>40</v>
      </c>
      <c r="F1358">
        <v>40.188961028999998</v>
      </c>
      <c r="G1358">
        <v>1327.2108154</v>
      </c>
      <c r="H1358">
        <v>1324.9000243999999</v>
      </c>
      <c r="I1358">
        <v>1345.3321533000001</v>
      </c>
      <c r="J1358">
        <v>1339.8341064000001</v>
      </c>
      <c r="K1358">
        <v>0</v>
      </c>
      <c r="L1358">
        <v>550</v>
      </c>
      <c r="M1358">
        <v>550</v>
      </c>
      <c r="N1358">
        <v>0</v>
      </c>
    </row>
    <row r="1359" spans="1:14" x14ac:dyDescent="0.25">
      <c r="A1359">
        <v>1660.315871</v>
      </c>
      <c r="B1359" s="1">
        <f>DATE(2014,11,16) + TIME(7,34,51)</f>
        <v>41959.315868055557</v>
      </c>
      <c r="C1359">
        <v>80</v>
      </c>
      <c r="D1359">
        <v>78.581558228000006</v>
      </c>
      <c r="E1359">
        <v>40</v>
      </c>
      <c r="F1359">
        <v>40.139915465999998</v>
      </c>
      <c r="G1359">
        <v>1327.1851807</v>
      </c>
      <c r="H1359">
        <v>1324.8656006000001</v>
      </c>
      <c r="I1359">
        <v>1345.3322754000001</v>
      </c>
      <c r="J1359">
        <v>1339.8338623</v>
      </c>
      <c r="K1359">
        <v>0</v>
      </c>
      <c r="L1359">
        <v>550</v>
      </c>
      <c r="M1359">
        <v>550</v>
      </c>
      <c r="N1359">
        <v>0</v>
      </c>
    </row>
    <row r="1360" spans="1:14" x14ac:dyDescent="0.25">
      <c r="A1360">
        <v>1661.3461580000001</v>
      </c>
      <c r="B1360" s="1">
        <f>DATE(2014,11,17) + TIME(8,18,28)</f>
        <v>41960.34615740741</v>
      </c>
      <c r="C1360">
        <v>80</v>
      </c>
      <c r="D1360">
        <v>78.510597228999998</v>
      </c>
      <c r="E1360">
        <v>40</v>
      </c>
      <c r="F1360">
        <v>40.099590302000003</v>
      </c>
      <c r="G1360">
        <v>1327.1582031</v>
      </c>
      <c r="H1360">
        <v>1324.8291016000001</v>
      </c>
      <c r="I1360">
        <v>1345.3330077999999</v>
      </c>
      <c r="J1360">
        <v>1339.8343506000001</v>
      </c>
      <c r="K1360">
        <v>0</v>
      </c>
      <c r="L1360">
        <v>550</v>
      </c>
      <c r="M1360">
        <v>550</v>
      </c>
      <c r="N1360">
        <v>0</v>
      </c>
    </row>
    <row r="1361" spans="1:14" x14ac:dyDescent="0.25">
      <c r="A1361">
        <v>1662.403401</v>
      </c>
      <c r="B1361" s="1">
        <f>DATE(2014,11,18) + TIME(9,40,53)</f>
        <v>41961.403391203705</v>
      </c>
      <c r="C1361">
        <v>80</v>
      </c>
      <c r="D1361">
        <v>78.438514709000003</v>
      </c>
      <c r="E1361">
        <v>40</v>
      </c>
      <c r="F1361">
        <v>40.067481995000001</v>
      </c>
      <c r="G1361">
        <v>1327.1297606999999</v>
      </c>
      <c r="H1361">
        <v>1324.7908935999999</v>
      </c>
      <c r="I1361">
        <v>1345.3341064000001</v>
      </c>
      <c r="J1361">
        <v>1339.8352050999999</v>
      </c>
      <c r="K1361">
        <v>0</v>
      </c>
      <c r="L1361">
        <v>550</v>
      </c>
      <c r="M1361">
        <v>550</v>
      </c>
      <c r="N1361">
        <v>0</v>
      </c>
    </row>
    <row r="1362" spans="1:14" x14ac:dyDescent="0.25">
      <c r="A1362">
        <v>1663.4909</v>
      </c>
      <c r="B1362" s="1">
        <f>DATE(2014,11,19) + TIME(11,46,53)</f>
        <v>41962.490891203706</v>
      </c>
      <c r="C1362">
        <v>80</v>
      </c>
      <c r="D1362">
        <v>78.365203856999997</v>
      </c>
      <c r="E1362">
        <v>40</v>
      </c>
      <c r="F1362">
        <v>40.041950225999997</v>
      </c>
      <c r="G1362">
        <v>1327.1004639</v>
      </c>
      <c r="H1362">
        <v>1324.7513428</v>
      </c>
      <c r="I1362">
        <v>1345.3355713000001</v>
      </c>
      <c r="J1362">
        <v>1339.8365478999999</v>
      </c>
      <c r="K1362">
        <v>0</v>
      </c>
      <c r="L1362">
        <v>550</v>
      </c>
      <c r="M1362">
        <v>550</v>
      </c>
      <c r="N1362">
        <v>0</v>
      </c>
    </row>
    <row r="1363" spans="1:14" x14ac:dyDescent="0.25">
      <c r="A1363">
        <v>1664.6108999999999</v>
      </c>
      <c r="B1363" s="1">
        <f>DATE(2014,11,20) + TIME(14,39,41)</f>
        <v>41963.610891203702</v>
      </c>
      <c r="C1363">
        <v>80</v>
      </c>
      <c r="D1363">
        <v>78.290573120000005</v>
      </c>
      <c r="E1363">
        <v>40</v>
      </c>
      <c r="F1363">
        <v>40.021701813</v>
      </c>
      <c r="G1363">
        <v>1327.0703125</v>
      </c>
      <c r="H1363">
        <v>1324.7105713000001</v>
      </c>
      <c r="I1363">
        <v>1345.3374022999999</v>
      </c>
      <c r="J1363">
        <v>1339.8382568</v>
      </c>
      <c r="K1363">
        <v>0</v>
      </c>
      <c r="L1363">
        <v>550</v>
      </c>
      <c r="M1363">
        <v>550</v>
      </c>
      <c r="N1363">
        <v>0</v>
      </c>
    </row>
    <row r="1364" spans="1:14" x14ac:dyDescent="0.25">
      <c r="A1364">
        <v>1665.7658260000001</v>
      </c>
      <c r="B1364" s="1">
        <f>DATE(2014,11,21) + TIME(18,22,47)</f>
        <v>41964.765821759262</v>
      </c>
      <c r="C1364">
        <v>80</v>
      </c>
      <c r="D1364">
        <v>78.214546204000001</v>
      </c>
      <c r="E1364">
        <v>40</v>
      </c>
      <c r="F1364">
        <v>40.005676270000002</v>
      </c>
      <c r="G1364">
        <v>1327.0391846</v>
      </c>
      <c r="H1364">
        <v>1324.668457</v>
      </c>
      <c r="I1364">
        <v>1345.3395995999999</v>
      </c>
      <c r="J1364">
        <v>1339.8400879000001</v>
      </c>
      <c r="K1364">
        <v>0</v>
      </c>
      <c r="L1364">
        <v>550</v>
      </c>
      <c r="M1364">
        <v>550</v>
      </c>
      <c r="N1364">
        <v>0</v>
      </c>
    </row>
    <row r="1365" spans="1:14" x14ac:dyDescent="0.25">
      <c r="A1365">
        <v>1666.958261</v>
      </c>
      <c r="B1365" s="1">
        <f>DATE(2014,11,22) + TIME(22,59,53)</f>
        <v>41965.958252314813</v>
      </c>
      <c r="C1365">
        <v>80</v>
      </c>
      <c r="D1365">
        <v>78.137039185000006</v>
      </c>
      <c r="E1365">
        <v>40</v>
      </c>
      <c r="F1365">
        <v>39.993026733000001</v>
      </c>
      <c r="G1365">
        <v>1327.0070800999999</v>
      </c>
      <c r="H1365">
        <v>1324.6248779</v>
      </c>
      <c r="I1365">
        <v>1345.3419189000001</v>
      </c>
      <c r="J1365">
        <v>1339.8421631000001</v>
      </c>
      <c r="K1365">
        <v>0</v>
      </c>
      <c r="L1365">
        <v>550</v>
      </c>
      <c r="M1365">
        <v>550</v>
      </c>
      <c r="N1365">
        <v>0</v>
      </c>
    </row>
    <row r="1366" spans="1:14" x14ac:dyDescent="0.25">
      <c r="A1366">
        <v>1668.1909619999999</v>
      </c>
      <c r="B1366" s="1">
        <f>DATE(2014,11,24) + TIME(4,34,59)</f>
        <v>41967.190960648149</v>
      </c>
      <c r="C1366">
        <v>80</v>
      </c>
      <c r="D1366">
        <v>78.057952881000006</v>
      </c>
      <c r="E1366">
        <v>40</v>
      </c>
      <c r="F1366">
        <v>39.983058929000002</v>
      </c>
      <c r="G1366">
        <v>1326.9738769999999</v>
      </c>
      <c r="H1366">
        <v>1324.5798339999999</v>
      </c>
      <c r="I1366">
        <v>1345.3444824000001</v>
      </c>
      <c r="J1366">
        <v>1339.8443603999999</v>
      </c>
      <c r="K1366">
        <v>0</v>
      </c>
      <c r="L1366">
        <v>550</v>
      </c>
      <c r="M1366">
        <v>550</v>
      </c>
      <c r="N1366">
        <v>0</v>
      </c>
    </row>
    <row r="1367" spans="1:14" x14ac:dyDescent="0.25">
      <c r="A1367">
        <v>1669.4669120000001</v>
      </c>
      <c r="B1367" s="1">
        <f>DATE(2014,11,25) + TIME(11,12,21)</f>
        <v>41968.466909722221</v>
      </c>
      <c r="C1367">
        <v>80</v>
      </c>
      <c r="D1367">
        <v>77.977172851999995</v>
      </c>
      <c r="E1367">
        <v>40</v>
      </c>
      <c r="F1367">
        <v>39.975215912000003</v>
      </c>
      <c r="G1367">
        <v>1326.9394531</v>
      </c>
      <c r="H1367">
        <v>1324.5330810999999</v>
      </c>
      <c r="I1367">
        <v>1345.347168</v>
      </c>
      <c r="J1367">
        <v>1339.8468018000001</v>
      </c>
      <c r="K1367">
        <v>0</v>
      </c>
      <c r="L1367">
        <v>550</v>
      </c>
      <c r="M1367">
        <v>550</v>
      </c>
      <c r="N1367">
        <v>0</v>
      </c>
    </row>
    <row r="1368" spans="1:14" x14ac:dyDescent="0.25">
      <c r="A1368">
        <v>1670.7893429999999</v>
      </c>
      <c r="B1368" s="1">
        <f>DATE(2014,11,26) + TIME(18,56,39)</f>
        <v>41969.789340277777</v>
      </c>
      <c r="C1368">
        <v>80</v>
      </c>
      <c r="D1368">
        <v>77.894592285000002</v>
      </c>
      <c r="E1368">
        <v>40</v>
      </c>
      <c r="F1368">
        <v>39.969051360999998</v>
      </c>
      <c r="G1368">
        <v>1326.9038086</v>
      </c>
      <c r="H1368">
        <v>1324.4847411999999</v>
      </c>
      <c r="I1368">
        <v>1345.3500977000001</v>
      </c>
      <c r="J1368">
        <v>1339.8492432</v>
      </c>
      <c r="K1368">
        <v>0</v>
      </c>
      <c r="L1368">
        <v>550</v>
      </c>
      <c r="M1368">
        <v>550</v>
      </c>
      <c r="N1368">
        <v>0</v>
      </c>
    </row>
    <row r="1369" spans="1:14" x14ac:dyDescent="0.25">
      <c r="A1369">
        <v>1672.161769</v>
      </c>
      <c r="B1369" s="1">
        <f>DATE(2014,11,28) + TIME(3,52,56)</f>
        <v>41971.161759259259</v>
      </c>
      <c r="C1369">
        <v>80</v>
      </c>
      <c r="D1369">
        <v>77.810073853000006</v>
      </c>
      <c r="E1369">
        <v>40</v>
      </c>
      <c r="F1369">
        <v>39.964210510000001</v>
      </c>
      <c r="G1369">
        <v>1326.8669434000001</v>
      </c>
      <c r="H1369">
        <v>1324.4344481999999</v>
      </c>
      <c r="I1369">
        <v>1345.3532714999999</v>
      </c>
      <c r="J1369">
        <v>1339.8516846</v>
      </c>
      <c r="K1369">
        <v>0</v>
      </c>
      <c r="L1369">
        <v>550</v>
      </c>
      <c r="M1369">
        <v>550</v>
      </c>
      <c r="N1369">
        <v>0</v>
      </c>
    </row>
    <row r="1370" spans="1:14" x14ac:dyDescent="0.25">
      <c r="A1370">
        <v>1673.588019</v>
      </c>
      <c r="B1370" s="1">
        <f>DATE(2014,11,29) + TIME(14,6,44)</f>
        <v>41972.588009259256</v>
      </c>
      <c r="C1370">
        <v>80</v>
      </c>
      <c r="D1370">
        <v>77.723487853999998</v>
      </c>
      <c r="E1370">
        <v>40</v>
      </c>
      <c r="F1370">
        <v>39.960403442</v>
      </c>
      <c r="G1370">
        <v>1326.8286132999999</v>
      </c>
      <c r="H1370">
        <v>1324.3822021000001</v>
      </c>
      <c r="I1370">
        <v>1345.3564452999999</v>
      </c>
      <c r="J1370">
        <v>1339.8542480000001</v>
      </c>
      <c r="K1370">
        <v>0</v>
      </c>
      <c r="L1370">
        <v>550</v>
      </c>
      <c r="M1370">
        <v>550</v>
      </c>
      <c r="N1370">
        <v>0</v>
      </c>
    </row>
    <row r="1371" spans="1:14" x14ac:dyDescent="0.25">
      <c r="A1371">
        <v>1675</v>
      </c>
      <c r="B1371" s="1">
        <f>DATE(2014,12,1) + TIME(0,0,0)</f>
        <v>41974</v>
      </c>
      <c r="C1371">
        <v>80</v>
      </c>
      <c r="D1371">
        <v>77.637924193999993</v>
      </c>
      <c r="E1371">
        <v>40</v>
      </c>
      <c r="F1371">
        <v>39.957523346000002</v>
      </c>
      <c r="G1371">
        <v>1326.7889404</v>
      </c>
      <c r="H1371">
        <v>1324.3283690999999</v>
      </c>
      <c r="I1371">
        <v>1345.3598632999999</v>
      </c>
      <c r="J1371">
        <v>1339.8569336</v>
      </c>
      <c r="K1371">
        <v>0</v>
      </c>
      <c r="L1371">
        <v>550</v>
      </c>
      <c r="M1371">
        <v>550</v>
      </c>
      <c r="N1371">
        <v>0</v>
      </c>
    </row>
    <row r="1372" spans="1:14" x14ac:dyDescent="0.25">
      <c r="A1372">
        <v>1676.4836439999999</v>
      </c>
      <c r="B1372" s="1">
        <f>DATE(2014,12,2) + TIME(11,36,26)</f>
        <v>41975.483634259261</v>
      </c>
      <c r="C1372">
        <v>80</v>
      </c>
      <c r="D1372">
        <v>77.549736022999994</v>
      </c>
      <c r="E1372">
        <v>40</v>
      </c>
      <c r="F1372">
        <v>39.955211638999998</v>
      </c>
      <c r="G1372">
        <v>1326.7491454999999</v>
      </c>
      <c r="H1372">
        <v>1324.2740478999999</v>
      </c>
      <c r="I1372">
        <v>1345.3632812000001</v>
      </c>
      <c r="J1372">
        <v>1339.8594971</v>
      </c>
      <c r="K1372">
        <v>0</v>
      </c>
      <c r="L1372">
        <v>550</v>
      </c>
      <c r="M1372">
        <v>550</v>
      </c>
      <c r="N1372">
        <v>0</v>
      </c>
    </row>
    <row r="1373" spans="1:14" x14ac:dyDescent="0.25">
      <c r="A1373">
        <v>1678.0936939999999</v>
      </c>
      <c r="B1373" s="1">
        <f>DATE(2014,12,4) + TIME(2,14,55)</f>
        <v>41977.093692129631</v>
      </c>
      <c r="C1373">
        <v>80</v>
      </c>
      <c r="D1373">
        <v>77.456573485999996</v>
      </c>
      <c r="E1373">
        <v>40</v>
      </c>
      <c r="F1373">
        <v>39.953315734999997</v>
      </c>
      <c r="G1373">
        <v>1326.7073975000001</v>
      </c>
      <c r="H1373">
        <v>1324.2169189000001</v>
      </c>
      <c r="I1373">
        <v>1345.3668213000001</v>
      </c>
      <c r="J1373">
        <v>1339.8620605000001</v>
      </c>
      <c r="K1373">
        <v>0</v>
      </c>
      <c r="L1373">
        <v>550</v>
      </c>
      <c r="M1373">
        <v>550</v>
      </c>
      <c r="N1373">
        <v>0</v>
      </c>
    </row>
    <row r="1374" spans="1:14" x14ac:dyDescent="0.25">
      <c r="A1374">
        <v>1679.7740120000001</v>
      </c>
      <c r="B1374" s="1">
        <f>DATE(2014,12,5) + TIME(18,34,34)</f>
        <v>41978.774004629631</v>
      </c>
      <c r="C1374">
        <v>80</v>
      </c>
      <c r="D1374">
        <v>77.360610961999996</v>
      </c>
      <c r="E1374">
        <v>40</v>
      </c>
      <c r="F1374">
        <v>39.951816559000001</v>
      </c>
      <c r="G1374">
        <v>1326.6624756000001</v>
      </c>
      <c r="H1374">
        <v>1324.1556396000001</v>
      </c>
      <c r="I1374">
        <v>1345.3706055</v>
      </c>
      <c r="J1374">
        <v>1339.8647461</v>
      </c>
      <c r="K1374">
        <v>0</v>
      </c>
      <c r="L1374">
        <v>550</v>
      </c>
      <c r="M1374">
        <v>550</v>
      </c>
      <c r="N1374">
        <v>0</v>
      </c>
    </row>
    <row r="1375" spans="1:14" x14ac:dyDescent="0.25">
      <c r="A1375">
        <v>1681.5330980000001</v>
      </c>
      <c r="B1375" s="1">
        <f>DATE(2014,12,7) + TIME(12,47,39)</f>
        <v>41980.533090277779</v>
      </c>
      <c r="C1375">
        <v>80</v>
      </c>
      <c r="D1375">
        <v>77.261566161999994</v>
      </c>
      <c r="E1375">
        <v>40</v>
      </c>
      <c r="F1375">
        <v>39.950622559000003</v>
      </c>
      <c r="G1375">
        <v>1326.6154785000001</v>
      </c>
      <c r="H1375">
        <v>1324.0914307</v>
      </c>
      <c r="I1375">
        <v>1345.3745117000001</v>
      </c>
      <c r="J1375">
        <v>1339.8675536999999</v>
      </c>
      <c r="K1375">
        <v>0</v>
      </c>
      <c r="L1375">
        <v>550</v>
      </c>
      <c r="M1375">
        <v>550</v>
      </c>
      <c r="N1375">
        <v>0</v>
      </c>
    </row>
    <row r="1376" spans="1:14" x14ac:dyDescent="0.25">
      <c r="A1376">
        <v>1683.343809</v>
      </c>
      <c r="B1376" s="1">
        <f>DATE(2014,12,9) + TIME(8,15,5)</f>
        <v>41982.343807870369</v>
      </c>
      <c r="C1376">
        <v>80</v>
      </c>
      <c r="D1376">
        <v>77.160514832000004</v>
      </c>
      <c r="E1376">
        <v>40</v>
      </c>
      <c r="F1376">
        <v>39.949687957999998</v>
      </c>
      <c r="G1376">
        <v>1326.5665283000001</v>
      </c>
      <c r="H1376">
        <v>1324.0245361</v>
      </c>
      <c r="I1376">
        <v>1345.3786620999999</v>
      </c>
      <c r="J1376">
        <v>1339.8703613</v>
      </c>
      <c r="K1376">
        <v>0</v>
      </c>
      <c r="L1376">
        <v>550</v>
      </c>
      <c r="M1376">
        <v>550</v>
      </c>
      <c r="N1376">
        <v>0</v>
      </c>
    </row>
    <row r="1377" spans="1:14" x14ac:dyDescent="0.25">
      <c r="A1377">
        <v>1685.2058830000001</v>
      </c>
      <c r="B1377" s="1">
        <f>DATE(2014,12,11) + TIME(4,56,28)</f>
        <v>41984.205879629626</v>
      </c>
      <c r="C1377">
        <v>80</v>
      </c>
      <c r="D1377">
        <v>77.057586670000006</v>
      </c>
      <c r="E1377">
        <v>40</v>
      </c>
      <c r="F1377">
        <v>39.948947906000001</v>
      </c>
      <c r="G1377">
        <v>1326.5158690999999</v>
      </c>
      <c r="H1377">
        <v>1323.9553223</v>
      </c>
      <c r="I1377">
        <v>1345.3828125</v>
      </c>
      <c r="J1377">
        <v>1339.8731689000001</v>
      </c>
      <c r="K1377">
        <v>0</v>
      </c>
      <c r="L1377">
        <v>550</v>
      </c>
      <c r="M1377">
        <v>550</v>
      </c>
      <c r="N1377">
        <v>0</v>
      </c>
    </row>
    <row r="1378" spans="1:14" x14ac:dyDescent="0.25">
      <c r="A1378">
        <v>1687.12373</v>
      </c>
      <c r="B1378" s="1">
        <f>DATE(2014,12,13) + TIME(2,58,10)</f>
        <v>41986.123726851853</v>
      </c>
      <c r="C1378">
        <v>80</v>
      </c>
      <c r="D1378">
        <v>76.952713012999993</v>
      </c>
      <c r="E1378">
        <v>40</v>
      </c>
      <c r="F1378">
        <v>39.948364257999998</v>
      </c>
      <c r="G1378">
        <v>1326.4637451000001</v>
      </c>
      <c r="H1378">
        <v>1323.8839111</v>
      </c>
      <c r="I1378">
        <v>1345.3870850000001</v>
      </c>
      <c r="J1378">
        <v>1339.8759766000001</v>
      </c>
      <c r="K1378">
        <v>0</v>
      </c>
      <c r="L1378">
        <v>550</v>
      </c>
      <c r="M1378">
        <v>550</v>
      </c>
      <c r="N1378">
        <v>0</v>
      </c>
    </row>
    <row r="1379" spans="1:14" x14ac:dyDescent="0.25">
      <c r="A1379">
        <v>1689.1019679999999</v>
      </c>
      <c r="B1379" s="1">
        <f>DATE(2014,12,15) + TIME(2,26,50)</f>
        <v>41988.101967592593</v>
      </c>
      <c r="C1379">
        <v>80</v>
      </c>
      <c r="D1379">
        <v>76.845771790000001</v>
      </c>
      <c r="E1379">
        <v>40</v>
      </c>
      <c r="F1379">
        <v>39.947898864999999</v>
      </c>
      <c r="G1379">
        <v>1326.4099120999999</v>
      </c>
      <c r="H1379">
        <v>1323.8101807</v>
      </c>
      <c r="I1379">
        <v>1345.3913574000001</v>
      </c>
      <c r="J1379">
        <v>1339.8786620999999</v>
      </c>
      <c r="K1379">
        <v>0</v>
      </c>
      <c r="L1379">
        <v>550</v>
      </c>
      <c r="M1379">
        <v>550</v>
      </c>
      <c r="N1379">
        <v>0</v>
      </c>
    </row>
    <row r="1380" spans="1:14" x14ac:dyDescent="0.25">
      <c r="A1380">
        <v>1691.1455820000001</v>
      </c>
      <c r="B1380" s="1">
        <f>DATE(2014,12,17) + TIME(3,29,38)</f>
        <v>41990.145578703705</v>
      </c>
      <c r="C1380">
        <v>80</v>
      </c>
      <c r="D1380">
        <v>76.736602782999995</v>
      </c>
      <c r="E1380">
        <v>40</v>
      </c>
      <c r="F1380">
        <v>39.947528839</v>
      </c>
      <c r="G1380">
        <v>1326.3544922000001</v>
      </c>
      <c r="H1380">
        <v>1323.7341309000001</v>
      </c>
      <c r="I1380">
        <v>1345.3957519999999</v>
      </c>
      <c r="J1380">
        <v>1339.8814697</v>
      </c>
      <c r="K1380">
        <v>0</v>
      </c>
      <c r="L1380">
        <v>550</v>
      </c>
      <c r="M1380">
        <v>550</v>
      </c>
      <c r="N1380">
        <v>0</v>
      </c>
    </row>
    <row r="1381" spans="1:14" x14ac:dyDescent="0.25">
      <c r="A1381">
        <v>1693.2598889999999</v>
      </c>
      <c r="B1381" s="1">
        <f>DATE(2014,12,19) + TIME(6,14,14)</f>
        <v>41992.259884259256</v>
      </c>
      <c r="C1381">
        <v>80</v>
      </c>
      <c r="D1381">
        <v>76.624977111999996</v>
      </c>
      <c r="E1381">
        <v>40</v>
      </c>
      <c r="F1381">
        <v>39.947235106999997</v>
      </c>
      <c r="G1381">
        <v>1326.2971190999999</v>
      </c>
      <c r="H1381">
        <v>1323.6555175999999</v>
      </c>
      <c r="I1381">
        <v>1345.4001464999999</v>
      </c>
      <c r="J1381">
        <v>1339.8842772999999</v>
      </c>
      <c r="K1381">
        <v>0</v>
      </c>
      <c r="L1381">
        <v>550</v>
      </c>
      <c r="M1381">
        <v>550</v>
      </c>
      <c r="N1381">
        <v>0</v>
      </c>
    </row>
    <row r="1382" spans="1:14" x14ac:dyDescent="0.25">
      <c r="A1382">
        <v>1695.450652</v>
      </c>
      <c r="B1382" s="1">
        <f>DATE(2014,12,21) + TIME(10,48,56)</f>
        <v>41994.450648148151</v>
      </c>
      <c r="C1382">
        <v>80</v>
      </c>
      <c r="D1382">
        <v>76.510665893999999</v>
      </c>
      <c r="E1382">
        <v>40</v>
      </c>
      <c r="F1382">
        <v>39.946998596</v>
      </c>
      <c r="G1382">
        <v>1326.2379149999999</v>
      </c>
      <c r="H1382">
        <v>1323.5740966999999</v>
      </c>
      <c r="I1382">
        <v>1345.4046631000001</v>
      </c>
      <c r="J1382">
        <v>1339.8869629000001</v>
      </c>
      <c r="K1382">
        <v>0</v>
      </c>
      <c r="L1382">
        <v>550</v>
      </c>
      <c r="M1382">
        <v>550</v>
      </c>
      <c r="N1382">
        <v>0</v>
      </c>
    </row>
    <row r="1383" spans="1:14" x14ac:dyDescent="0.25">
      <c r="A1383">
        <v>1697.723872</v>
      </c>
      <c r="B1383" s="1">
        <f>DATE(2014,12,23) + TIME(17,22,22)</f>
        <v>41996.723865740743</v>
      </c>
      <c r="C1383">
        <v>80</v>
      </c>
      <c r="D1383">
        <v>76.393363953000005</v>
      </c>
      <c r="E1383">
        <v>40</v>
      </c>
      <c r="F1383">
        <v>39.946811676000003</v>
      </c>
      <c r="G1383">
        <v>1326.1765137</v>
      </c>
      <c r="H1383">
        <v>1323.4897461</v>
      </c>
      <c r="I1383">
        <v>1345.4093018000001</v>
      </c>
      <c r="J1383">
        <v>1339.8897704999999</v>
      </c>
      <c r="K1383">
        <v>0</v>
      </c>
      <c r="L1383">
        <v>550</v>
      </c>
      <c r="M1383">
        <v>550</v>
      </c>
      <c r="N1383">
        <v>0</v>
      </c>
    </row>
    <row r="1384" spans="1:14" x14ac:dyDescent="0.25">
      <c r="A1384">
        <v>1700.085799</v>
      </c>
      <c r="B1384" s="1">
        <f>DATE(2014,12,26) + TIME(2,3,33)</f>
        <v>41999.085798611108</v>
      </c>
      <c r="C1384">
        <v>80</v>
      </c>
      <c r="D1384">
        <v>76.272758483999993</v>
      </c>
      <c r="E1384">
        <v>40</v>
      </c>
      <c r="F1384">
        <v>39.946662903000004</v>
      </c>
      <c r="G1384">
        <v>1326.1129149999999</v>
      </c>
      <c r="H1384">
        <v>1323.4022216999999</v>
      </c>
      <c r="I1384">
        <v>1345.4140625</v>
      </c>
      <c r="J1384">
        <v>1339.8925781</v>
      </c>
      <c r="K1384">
        <v>0</v>
      </c>
      <c r="L1384">
        <v>550</v>
      </c>
      <c r="M1384">
        <v>550</v>
      </c>
      <c r="N1384">
        <v>0</v>
      </c>
    </row>
    <row r="1385" spans="1:14" x14ac:dyDescent="0.25">
      <c r="A1385">
        <v>1702.5445440000001</v>
      </c>
      <c r="B1385" s="1">
        <f>DATE(2014,12,28) + TIME(13,4,8)</f>
        <v>42001.544537037036</v>
      </c>
      <c r="C1385">
        <v>80</v>
      </c>
      <c r="D1385">
        <v>76.1484375</v>
      </c>
      <c r="E1385">
        <v>40</v>
      </c>
      <c r="F1385">
        <v>39.946548462000003</v>
      </c>
      <c r="G1385">
        <v>1326.046875</v>
      </c>
      <c r="H1385">
        <v>1323.3114014</v>
      </c>
      <c r="I1385">
        <v>1345.4188231999999</v>
      </c>
      <c r="J1385">
        <v>1339.8955077999999</v>
      </c>
      <c r="K1385">
        <v>0</v>
      </c>
      <c r="L1385">
        <v>550</v>
      </c>
      <c r="M1385">
        <v>550</v>
      </c>
      <c r="N1385">
        <v>0</v>
      </c>
    </row>
    <row r="1386" spans="1:14" x14ac:dyDescent="0.25">
      <c r="A1386">
        <v>1705.108342</v>
      </c>
      <c r="B1386" s="1">
        <f>DATE(2014,12,31) + TIME(2,36,0)</f>
        <v>42004.10833333333</v>
      </c>
      <c r="C1386">
        <v>80</v>
      </c>
      <c r="D1386">
        <v>76.019950867000006</v>
      </c>
      <c r="E1386">
        <v>40</v>
      </c>
      <c r="F1386">
        <v>39.946456908999998</v>
      </c>
      <c r="G1386">
        <v>1325.9782714999999</v>
      </c>
      <c r="H1386">
        <v>1323.2169189000001</v>
      </c>
      <c r="I1386">
        <v>1345.4235839999999</v>
      </c>
      <c r="J1386">
        <v>1339.8983154</v>
      </c>
      <c r="K1386">
        <v>0</v>
      </c>
      <c r="L1386">
        <v>550</v>
      </c>
      <c r="M1386">
        <v>550</v>
      </c>
      <c r="N1386">
        <v>0</v>
      </c>
    </row>
    <row r="1387" spans="1:14" x14ac:dyDescent="0.25">
      <c r="A1387">
        <v>1706</v>
      </c>
      <c r="B1387" s="1">
        <f>DATE(2015,1,1) + TIME(0,0,0)</f>
        <v>42005</v>
      </c>
      <c r="C1387">
        <v>80</v>
      </c>
      <c r="D1387">
        <v>75.959045410000002</v>
      </c>
      <c r="E1387">
        <v>40</v>
      </c>
      <c r="F1387">
        <v>39.946434021000002</v>
      </c>
      <c r="G1387">
        <v>1325.9133300999999</v>
      </c>
      <c r="H1387">
        <v>1323.1312256000001</v>
      </c>
      <c r="I1387">
        <v>1345.4278564000001</v>
      </c>
      <c r="J1387">
        <v>1339.9008789</v>
      </c>
      <c r="K1387">
        <v>0</v>
      </c>
      <c r="L1387">
        <v>550</v>
      </c>
      <c r="M1387">
        <v>550</v>
      </c>
      <c r="N1387">
        <v>0</v>
      </c>
    </row>
    <row r="1388" spans="1:14" x14ac:dyDescent="0.25">
      <c r="A1388">
        <v>1708.660261</v>
      </c>
      <c r="B1388" s="1">
        <f>DATE(2015,1,3) + TIME(15,50,46)</f>
        <v>42007.660254629627</v>
      </c>
      <c r="C1388">
        <v>80</v>
      </c>
      <c r="D1388">
        <v>75.832542419000006</v>
      </c>
      <c r="E1388">
        <v>40</v>
      </c>
      <c r="F1388">
        <v>39.946372986</v>
      </c>
      <c r="G1388">
        <v>1325.8781738</v>
      </c>
      <c r="H1388">
        <v>1323.0777588000001</v>
      </c>
      <c r="I1388">
        <v>1345.4304199000001</v>
      </c>
      <c r="J1388">
        <v>1339.9022216999999</v>
      </c>
      <c r="K1388">
        <v>0</v>
      </c>
      <c r="L1388">
        <v>550</v>
      </c>
      <c r="M1388">
        <v>550</v>
      </c>
      <c r="N1388">
        <v>0</v>
      </c>
    </row>
    <row r="1389" spans="1:14" x14ac:dyDescent="0.25">
      <c r="A1389">
        <v>1711.422039</v>
      </c>
      <c r="B1389" s="1">
        <f>DATE(2015,1,6) + TIME(10,7,44)</f>
        <v>42010.422037037039</v>
      </c>
      <c r="C1389">
        <v>80</v>
      </c>
      <c r="D1389">
        <v>75.699111938000001</v>
      </c>
      <c r="E1389">
        <v>40</v>
      </c>
      <c r="F1389">
        <v>39.946327209000003</v>
      </c>
      <c r="G1389">
        <v>1325.8059082</v>
      </c>
      <c r="H1389">
        <v>1322.9785156</v>
      </c>
      <c r="I1389">
        <v>1345.4353027</v>
      </c>
      <c r="J1389">
        <v>1339.9051514</v>
      </c>
      <c r="K1389">
        <v>0</v>
      </c>
      <c r="L1389">
        <v>550</v>
      </c>
      <c r="M1389">
        <v>550</v>
      </c>
      <c r="N1389">
        <v>0</v>
      </c>
    </row>
    <row r="1390" spans="1:14" x14ac:dyDescent="0.25">
      <c r="A1390">
        <v>1714.2679149999999</v>
      </c>
      <c r="B1390" s="1">
        <f>DATE(2015,1,9) + TIME(6,25,47)</f>
        <v>42013.267905092594</v>
      </c>
      <c r="C1390">
        <v>80</v>
      </c>
      <c r="D1390">
        <v>75.559867858999993</v>
      </c>
      <c r="E1390">
        <v>40</v>
      </c>
      <c r="F1390">
        <v>39.946296691999997</v>
      </c>
      <c r="G1390">
        <v>1325.7302245999999</v>
      </c>
      <c r="H1390">
        <v>1322.8743896000001</v>
      </c>
      <c r="I1390">
        <v>1345.4403076000001</v>
      </c>
      <c r="J1390">
        <v>1339.9082031</v>
      </c>
      <c r="K1390">
        <v>0</v>
      </c>
      <c r="L1390">
        <v>550</v>
      </c>
      <c r="M1390">
        <v>550</v>
      </c>
      <c r="N1390">
        <v>0</v>
      </c>
    </row>
    <row r="1391" spans="1:14" x14ac:dyDescent="0.25">
      <c r="A1391">
        <v>1717.206111</v>
      </c>
      <c r="B1391" s="1">
        <f>DATE(2015,1,12) + TIME(4,56,48)</f>
        <v>42016.206111111111</v>
      </c>
      <c r="C1391">
        <v>80</v>
      </c>
      <c r="D1391">
        <v>75.415054321</v>
      </c>
      <c r="E1391">
        <v>40</v>
      </c>
      <c r="F1391">
        <v>39.946277618000003</v>
      </c>
      <c r="G1391">
        <v>1325.6519774999999</v>
      </c>
      <c r="H1391">
        <v>1322.7662353999999</v>
      </c>
      <c r="I1391">
        <v>1345.4453125</v>
      </c>
      <c r="J1391">
        <v>1339.9111327999999</v>
      </c>
      <c r="K1391">
        <v>0</v>
      </c>
      <c r="L1391">
        <v>550</v>
      </c>
      <c r="M1391">
        <v>550</v>
      </c>
      <c r="N1391">
        <v>0</v>
      </c>
    </row>
    <row r="1392" spans="1:14" x14ac:dyDescent="0.25">
      <c r="A1392">
        <v>1720.2338440000001</v>
      </c>
      <c r="B1392" s="1">
        <f>DATE(2015,1,15) + TIME(5,36,44)</f>
        <v>42019.233842592592</v>
      </c>
      <c r="C1392">
        <v>80</v>
      </c>
      <c r="D1392">
        <v>75.264801024999997</v>
      </c>
      <c r="E1392">
        <v>40</v>
      </c>
      <c r="F1392">
        <v>39.946262359999999</v>
      </c>
      <c r="G1392">
        <v>1325.5710449000001</v>
      </c>
      <c r="H1392">
        <v>1322.6544189000001</v>
      </c>
      <c r="I1392">
        <v>1345.4503173999999</v>
      </c>
      <c r="J1392">
        <v>1339.9141846</v>
      </c>
      <c r="K1392">
        <v>0</v>
      </c>
      <c r="L1392">
        <v>550</v>
      </c>
      <c r="M1392">
        <v>550</v>
      </c>
      <c r="N1392">
        <v>0</v>
      </c>
    </row>
    <row r="1393" spans="1:14" x14ac:dyDescent="0.25">
      <c r="A1393">
        <v>1723.3174019999999</v>
      </c>
      <c r="B1393" s="1">
        <f>DATE(2015,1,18) + TIME(7,37,3)</f>
        <v>42022.317395833335</v>
      </c>
      <c r="C1393">
        <v>80</v>
      </c>
      <c r="D1393">
        <v>75.109947204999997</v>
      </c>
      <c r="E1393">
        <v>40</v>
      </c>
      <c r="F1393">
        <v>39.946258544999999</v>
      </c>
      <c r="G1393">
        <v>1325.487793</v>
      </c>
      <c r="H1393">
        <v>1322.5391846</v>
      </c>
      <c r="I1393">
        <v>1345.4553223</v>
      </c>
      <c r="J1393">
        <v>1339.9171143000001</v>
      </c>
      <c r="K1393">
        <v>0</v>
      </c>
      <c r="L1393">
        <v>550</v>
      </c>
      <c r="M1393">
        <v>550</v>
      </c>
      <c r="N1393">
        <v>0</v>
      </c>
    </row>
    <row r="1394" spans="1:14" x14ac:dyDescent="0.25">
      <c r="A1394">
        <v>1726.4471160000001</v>
      </c>
      <c r="B1394" s="1">
        <f>DATE(2015,1,21) + TIME(10,43,50)</f>
        <v>42025.447106481479</v>
      </c>
      <c r="C1394">
        <v>80</v>
      </c>
      <c r="D1394">
        <v>74.950828552000004</v>
      </c>
      <c r="E1394">
        <v>40</v>
      </c>
      <c r="F1394">
        <v>39.946258544999999</v>
      </c>
      <c r="G1394">
        <v>1325.4030762</v>
      </c>
      <c r="H1394">
        <v>1322.4216309000001</v>
      </c>
      <c r="I1394">
        <v>1345.4602050999999</v>
      </c>
      <c r="J1394">
        <v>1339.9201660000001</v>
      </c>
      <c r="K1394">
        <v>0</v>
      </c>
      <c r="L1394">
        <v>550</v>
      </c>
      <c r="M1394">
        <v>550</v>
      </c>
      <c r="N1394">
        <v>0</v>
      </c>
    </row>
    <row r="1395" spans="1:14" x14ac:dyDescent="0.25">
      <c r="A1395">
        <v>1729.638559</v>
      </c>
      <c r="B1395" s="1">
        <f>DATE(2015,1,24) + TIME(15,19,31)</f>
        <v>42028.638553240744</v>
      </c>
      <c r="C1395">
        <v>80</v>
      </c>
      <c r="D1395">
        <v>74.786895752000007</v>
      </c>
      <c r="E1395">
        <v>40</v>
      </c>
      <c r="F1395">
        <v>39.946262359999999</v>
      </c>
      <c r="G1395">
        <v>1325.3171387</v>
      </c>
      <c r="H1395">
        <v>1322.3022461</v>
      </c>
      <c r="I1395">
        <v>1345.4649658000001</v>
      </c>
      <c r="J1395">
        <v>1339.9230957</v>
      </c>
      <c r="K1395">
        <v>0</v>
      </c>
      <c r="L1395">
        <v>550</v>
      </c>
      <c r="M1395">
        <v>550</v>
      </c>
      <c r="N1395">
        <v>0</v>
      </c>
    </row>
    <row r="1396" spans="1:14" x14ac:dyDescent="0.25">
      <c r="A1396">
        <v>1732.9068299999999</v>
      </c>
      <c r="B1396" s="1">
        <f>DATE(2015,1,27) + TIME(21,45,50)</f>
        <v>42031.906828703701</v>
      </c>
      <c r="C1396">
        <v>80</v>
      </c>
      <c r="D1396">
        <v>74.617446899000001</v>
      </c>
      <c r="E1396">
        <v>40</v>
      </c>
      <c r="F1396">
        <v>39.946269989000001</v>
      </c>
      <c r="G1396">
        <v>1325.2297363</v>
      </c>
      <c r="H1396">
        <v>1322.1806641000001</v>
      </c>
      <c r="I1396">
        <v>1345.4697266000001</v>
      </c>
      <c r="J1396">
        <v>1339.9260254000001</v>
      </c>
      <c r="K1396">
        <v>0</v>
      </c>
      <c r="L1396">
        <v>550</v>
      </c>
      <c r="M1396">
        <v>550</v>
      </c>
      <c r="N1396">
        <v>0</v>
      </c>
    </row>
    <row r="1397" spans="1:14" x14ac:dyDescent="0.25">
      <c r="A1397">
        <v>1736.2681030000001</v>
      </c>
      <c r="B1397" s="1">
        <f>DATE(2015,1,31) + TIME(6,26,4)</f>
        <v>42035.268101851849</v>
      </c>
      <c r="C1397">
        <v>80</v>
      </c>
      <c r="D1397">
        <v>74.441398621000005</v>
      </c>
      <c r="E1397">
        <v>40</v>
      </c>
      <c r="F1397">
        <v>39.946277618000003</v>
      </c>
      <c r="G1397">
        <v>1325.1407471</v>
      </c>
      <c r="H1397">
        <v>1322.0566406</v>
      </c>
      <c r="I1397">
        <v>1345.4744873</v>
      </c>
      <c r="J1397">
        <v>1339.9289550999999</v>
      </c>
      <c r="K1397">
        <v>0</v>
      </c>
      <c r="L1397">
        <v>550</v>
      </c>
      <c r="M1397">
        <v>550</v>
      </c>
      <c r="N1397">
        <v>0</v>
      </c>
    </row>
    <row r="1398" spans="1:14" x14ac:dyDescent="0.25">
      <c r="A1398">
        <v>1737</v>
      </c>
      <c r="B1398" s="1">
        <f>DATE(2015,2,1) + TIME(0,0,0)</f>
        <v>42036</v>
      </c>
      <c r="C1398">
        <v>80</v>
      </c>
      <c r="D1398">
        <v>74.377983092999997</v>
      </c>
      <c r="E1398">
        <v>40</v>
      </c>
      <c r="F1398">
        <v>39.946281433000003</v>
      </c>
      <c r="G1398">
        <v>1325.059082</v>
      </c>
      <c r="H1398">
        <v>1321.9499512</v>
      </c>
      <c r="I1398">
        <v>1345.4782714999999</v>
      </c>
      <c r="J1398">
        <v>1339.9313964999999</v>
      </c>
      <c r="K1398">
        <v>0</v>
      </c>
      <c r="L1398">
        <v>550</v>
      </c>
      <c r="M1398">
        <v>550</v>
      </c>
      <c r="N1398">
        <v>0</v>
      </c>
    </row>
    <row r="1399" spans="1:14" x14ac:dyDescent="0.25">
      <c r="A1399">
        <v>1740.4721939999999</v>
      </c>
      <c r="B1399" s="1">
        <f>DATE(2015,2,4) + TIME(11,19,57)</f>
        <v>42039.472187500003</v>
      </c>
      <c r="C1399">
        <v>80</v>
      </c>
      <c r="D1399">
        <v>74.204902649000005</v>
      </c>
      <c r="E1399">
        <v>40</v>
      </c>
      <c r="F1399">
        <v>39.946292876999998</v>
      </c>
      <c r="G1399">
        <v>1325.0247803</v>
      </c>
      <c r="H1399">
        <v>1321.8931885</v>
      </c>
      <c r="I1399">
        <v>1345.4802245999999</v>
      </c>
      <c r="J1399">
        <v>1339.9324951000001</v>
      </c>
      <c r="K1399">
        <v>0</v>
      </c>
      <c r="L1399">
        <v>550</v>
      </c>
      <c r="M1399">
        <v>550</v>
      </c>
      <c r="N1399">
        <v>0</v>
      </c>
    </row>
    <row r="1400" spans="1:14" x14ac:dyDescent="0.25">
      <c r="A1400">
        <v>1744.0580669999999</v>
      </c>
      <c r="B1400" s="1">
        <f>DATE(2015,2,8) + TIME(1,23,37)</f>
        <v>42043.058067129627</v>
      </c>
      <c r="C1400">
        <v>80</v>
      </c>
      <c r="D1400">
        <v>74.017005920000003</v>
      </c>
      <c r="E1400">
        <v>40</v>
      </c>
      <c r="F1400">
        <v>39.946304321</v>
      </c>
      <c r="G1400">
        <v>1324.934082</v>
      </c>
      <c r="H1400">
        <v>1321.7673339999999</v>
      </c>
      <c r="I1400">
        <v>1345.4846190999999</v>
      </c>
      <c r="J1400">
        <v>1339.9354248</v>
      </c>
      <c r="K1400">
        <v>0</v>
      </c>
      <c r="L1400">
        <v>550</v>
      </c>
      <c r="M1400">
        <v>550</v>
      </c>
      <c r="N1400">
        <v>0</v>
      </c>
    </row>
    <row r="1401" spans="1:14" x14ac:dyDescent="0.25">
      <c r="A1401">
        <v>1747.6701519999999</v>
      </c>
      <c r="B1401" s="1">
        <f>DATE(2015,2,11) + TIME(16,5,1)</f>
        <v>42046.67015046296</v>
      </c>
      <c r="C1401">
        <v>80</v>
      </c>
      <c r="D1401">
        <v>73.818367003999995</v>
      </c>
      <c r="E1401">
        <v>40</v>
      </c>
      <c r="F1401">
        <v>39.946315765000001</v>
      </c>
      <c r="G1401">
        <v>1324.8398437999999</v>
      </c>
      <c r="H1401">
        <v>1321.6362305</v>
      </c>
      <c r="I1401">
        <v>1345.4891356999999</v>
      </c>
      <c r="J1401">
        <v>1339.9383545000001</v>
      </c>
      <c r="K1401">
        <v>0</v>
      </c>
      <c r="L1401">
        <v>550</v>
      </c>
      <c r="M1401">
        <v>550</v>
      </c>
      <c r="N1401">
        <v>0</v>
      </c>
    </row>
    <row r="1402" spans="1:14" x14ac:dyDescent="0.25">
      <c r="A1402">
        <v>1751.322635</v>
      </c>
      <c r="B1402" s="1">
        <f>DATE(2015,2,15) + TIME(7,44,35)</f>
        <v>42050.322627314818</v>
      </c>
      <c r="C1402">
        <v>80</v>
      </c>
      <c r="D1402">
        <v>73.610664368000002</v>
      </c>
      <c r="E1402">
        <v>40</v>
      </c>
      <c r="F1402">
        <v>39.946327209000003</v>
      </c>
      <c r="G1402">
        <v>1324.7443848</v>
      </c>
      <c r="H1402">
        <v>1321.5026855000001</v>
      </c>
      <c r="I1402">
        <v>1345.4934082</v>
      </c>
      <c r="J1402">
        <v>1339.9412841999999</v>
      </c>
      <c r="K1402">
        <v>0</v>
      </c>
      <c r="L1402">
        <v>550</v>
      </c>
      <c r="M1402">
        <v>550</v>
      </c>
      <c r="N1402">
        <v>0</v>
      </c>
    </row>
    <row r="1403" spans="1:14" x14ac:dyDescent="0.25">
      <c r="A1403">
        <v>1755.0309030000001</v>
      </c>
      <c r="B1403" s="1">
        <f>DATE(2015,2,19) + TIME(0,44,30)</f>
        <v>42054.030902777777</v>
      </c>
      <c r="C1403">
        <v>80</v>
      </c>
      <c r="D1403">
        <v>73.394012450999995</v>
      </c>
      <c r="E1403">
        <v>40</v>
      </c>
      <c r="F1403">
        <v>39.946342467999997</v>
      </c>
      <c r="G1403">
        <v>1324.6480713000001</v>
      </c>
      <c r="H1403">
        <v>1321.3675536999999</v>
      </c>
      <c r="I1403">
        <v>1345.4974365</v>
      </c>
      <c r="J1403">
        <v>1339.9442139</v>
      </c>
      <c r="K1403">
        <v>0</v>
      </c>
      <c r="L1403">
        <v>550</v>
      </c>
      <c r="M1403">
        <v>550</v>
      </c>
      <c r="N1403">
        <v>0</v>
      </c>
    </row>
    <row r="1404" spans="1:14" x14ac:dyDescent="0.25">
      <c r="A1404">
        <v>1758.812189</v>
      </c>
      <c r="B1404" s="1">
        <f>DATE(2015,2,22) + TIME(19,29,33)</f>
        <v>42057.8121875</v>
      </c>
      <c r="C1404">
        <v>80</v>
      </c>
      <c r="D1404">
        <v>73.167671204000001</v>
      </c>
      <c r="E1404">
        <v>40</v>
      </c>
      <c r="F1404">
        <v>39.946353911999999</v>
      </c>
      <c r="G1404">
        <v>1324.5509033000001</v>
      </c>
      <c r="H1404">
        <v>1321.230957</v>
      </c>
      <c r="I1404">
        <v>1345.5014647999999</v>
      </c>
      <c r="J1404">
        <v>1339.9470214999999</v>
      </c>
      <c r="K1404">
        <v>0</v>
      </c>
      <c r="L1404">
        <v>550</v>
      </c>
      <c r="M1404">
        <v>550</v>
      </c>
      <c r="N1404">
        <v>0</v>
      </c>
    </row>
    <row r="1405" spans="1:14" x14ac:dyDescent="0.25">
      <c r="A1405">
        <v>1762.6837069999999</v>
      </c>
      <c r="B1405" s="1">
        <f>DATE(2015,2,26) + TIME(16,24,32)</f>
        <v>42061.683703703704</v>
      </c>
      <c r="C1405">
        <v>80</v>
      </c>
      <c r="D1405">
        <v>72.930397033999995</v>
      </c>
      <c r="E1405">
        <v>40</v>
      </c>
      <c r="F1405">
        <v>39.946365356000001</v>
      </c>
      <c r="G1405">
        <v>1324.4526367000001</v>
      </c>
      <c r="H1405">
        <v>1321.0924072</v>
      </c>
      <c r="I1405">
        <v>1345.505249</v>
      </c>
      <c r="J1405">
        <v>1339.9498291</v>
      </c>
      <c r="K1405">
        <v>0</v>
      </c>
      <c r="L1405">
        <v>550</v>
      </c>
      <c r="M1405">
        <v>550</v>
      </c>
      <c r="N1405">
        <v>0</v>
      </c>
    </row>
    <row r="1406" spans="1:14" x14ac:dyDescent="0.25">
      <c r="A1406">
        <v>1765</v>
      </c>
      <c r="B1406" s="1">
        <f>DATE(2015,3,1) + TIME(0,0,0)</f>
        <v>42064</v>
      </c>
      <c r="C1406">
        <v>80</v>
      </c>
      <c r="D1406">
        <v>72.742507935000006</v>
      </c>
      <c r="E1406">
        <v>40</v>
      </c>
      <c r="F1406">
        <v>39.946376801</v>
      </c>
      <c r="G1406">
        <v>1324.3565673999999</v>
      </c>
      <c r="H1406">
        <v>1320.9605713000001</v>
      </c>
      <c r="I1406">
        <v>1345.5086670000001</v>
      </c>
      <c r="J1406">
        <v>1339.9522704999999</v>
      </c>
      <c r="K1406">
        <v>0</v>
      </c>
      <c r="L1406">
        <v>550</v>
      </c>
      <c r="M1406">
        <v>550</v>
      </c>
      <c r="N1406">
        <v>0</v>
      </c>
    </row>
    <row r="1407" spans="1:14" x14ac:dyDescent="0.25">
      <c r="A1407">
        <v>1768.98073</v>
      </c>
      <c r="B1407" s="1">
        <f>DATE(2015,3,4) + TIME(23,32,15)</f>
        <v>42067.980729166666</v>
      </c>
      <c r="C1407">
        <v>80</v>
      </c>
      <c r="D1407">
        <v>72.509651184000006</v>
      </c>
      <c r="E1407">
        <v>40</v>
      </c>
      <c r="F1407">
        <v>39.946388245000001</v>
      </c>
      <c r="G1407">
        <v>1324.2873535000001</v>
      </c>
      <c r="H1407">
        <v>1320.8564452999999</v>
      </c>
      <c r="I1407">
        <v>1345.5111084</v>
      </c>
      <c r="J1407">
        <v>1339.9541016000001</v>
      </c>
      <c r="K1407">
        <v>0</v>
      </c>
      <c r="L1407">
        <v>550</v>
      </c>
      <c r="M1407">
        <v>550</v>
      </c>
      <c r="N1407">
        <v>0</v>
      </c>
    </row>
    <row r="1408" spans="1:14" x14ac:dyDescent="0.25">
      <c r="A1408">
        <v>1773.0825910000001</v>
      </c>
      <c r="B1408" s="1">
        <f>DATE(2015,3,9) + TIME(1,58,55)</f>
        <v>42072.08258101852</v>
      </c>
      <c r="C1408">
        <v>80</v>
      </c>
      <c r="D1408">
        <v>72.250968932999996</v>
      </c>
      <c r="E1408">
        <v>40</v>
      </c>
      <c r="F1408">
        <v>39.946403502999999</v>
      </c>
      <c r="G1408">
        <v>1324.1900635</v>
      </c>
      <c r="H1408">
        <v>1320.7199707</v>
      </c>
      <c r="I1408">
        <v>1345.5145264</v>
      </c>
      <c r="J1408">
        <v>1339.9567870999999</v>
      </c>
      <c r="K1408">
        <v>0</v>
      </c>
      <c r="L1408">
        <v>550</v>
      </c>
      <c r="M1408">
        <v>550</v>
      </c>
      <c r="N1408">
        <v>0</v>
      </c>
    </row>
    <row r="1409" spans="1:14" x14ac:dyDescent="0.25">
      <c r="A1409">
        <v>1777.226073</v>
      </c>
      <c r="B1409" s="1">
        <f>DATE(2015,3,13) + TIME(5,25,32)</f>
        <v>42076.226064814815</v>
      </c>
      <c r="C1409">
        <v>80</v>
      </c>
      <c r="D1409">
        <v>71.973663329999994</v>
      </c>
      <c r="E1409">
        <v>40</v>
      </c>
      <c r="F1409">
        <v>39.946414947999997</v>
      </c>
      <c r="G1409">
        <v>1324.0892334</v>
      </c>
      <c r="H1409">
        <v>1320.5777588000001</v>
      </c>
      <c r="I1409">
        <v>1345.5177002</v>
      </c>
      <c r="J1409">
        <v>1339.9594727000001</v>
      </c>
      <c r="K1409">
        <v>0</v>
      </c>
      <c r="L1409">
        <v>550</v>
      </c>
      <c r="M1409">
        <v>550</v>
      </c>
      <c r="N1409">
        <v>0</v>
      </c>
    </row>
    <row r="1410" spans="1:14" x14ac:dyDescent="0.25">
      <c r="A1410">
        <v>1781.4259070000001</v>
      </c>
      <c r="B1410" s="1">
        <f>DATE(2015,3,17) + TIME(10,13,18)</f>
        <v>42080.425902777781</v>
      </c>
      <c r="C1410">
        <v>80</v>
      </c>
      <c r="D1410">
        <v>71.681274414000001</v>
      </c>
      <c r="E1410">
        <v>40</v>
      </c>
      <c r="F1410">
        <v>39.946426391999999</v>
      </c>
      <c r="G1410">
        <v>1323.9873047000001</v>
      </c>
      <c r="H1410">
        <v>1320.4331055</v>
      </c>
      <c r="I1410">
        <v>1345.5207519999999</v>
      </c>
      <c r="J1410">
        <v>1339.9620361</v>
      </c>
      <c r="K1410">
        <v>0</v>
      </c>
      <c r="L1410">
        <v>550</v>
      </c>
      <c r="M1410">
        <v>550</v>
      </c>
      <c r="N1410">
        <v>0</v>
      </c>
    </row>
    <row r="1411" spans="1:14" x14ac:dyDescent="0.25">
      <c r="A1411">
        <v>1785.7015200000001</v>
      </c>
      <c r="B1411" s="1">
        <f>DATE(2015,3,21) + TIME(16,50,11)</f>
        <v>42084.701516203706</v>
      </c>
      <c r="C1411">
        <v>80</v>
      </c>
      <c r="D1411">
        <v>71.374504088999998</v>
      </c>
      <c r="E1411">
        <v>40</v>
      </c>
      <c r="F1411">
        <v>39.946441649999997</v>
      </c>
      <c r="G1411">
        <v>1323.8848877</v>
      </c>
      <c r="H1411">
        <v>1320.2871094</v>
      </c>
      <c r="I1411">
        <v>1345.5235596</v>
      </c>
      <c r="J1411">
        <v>1339.9645995999999</v>
      </c>
      <c r="K1411">
        <v>0</v>
      </c>
      <c r="L1411">
        <v>550</v>
      </c>
      <c r="M1411">
        <v>550</v>
      </c>
      <c r="N1411">
        <v>0</v>
      </c>
    </row>
    <row r="1412" spans="1:14" x14ac:dyDescent="0.25">
      <c r="A1412">
        <v>1790.071375</v>
      </c>
      <c r="B1412" s="1">
        <f>DATE(2015,3,26) + TIME(1,42,46)</f>
        <v>42089.07136574074</v>
      </c>
      <c r="C1412">
        <v>80</v>
      </c>
      <c r="D1412">
        <v>71.052795410000002</v>
      </c>
      <c r="E1412">
        <v>40</v>
      </c>
      <c r="F1412">
        <v>39.946453093999999</v>
      </c>
      <c r="G1412">
        <v>1323.7818603999999</v>
      </c>
      <c r="H1412">
        <v>1320.1398925999999</v>
      </c>
      <c r="I1412">
        <v>1345.5262451000001</v>
      </c>
      <c r="J1412">
        <v>1339.9670410000001</v>
      </c>
      <c r="K1412">
        <v>0</v>
      </c>
      <c r="L1412">
        <v>550</v>
      </c>
      <c r="M1412">
        <v>550</v>
      </c>
      <c r="N1412">
        <v>0</v>
      </c>
    </row>
    <row r="1413" spans="1:14" x14ac:dyDescent="0.25">
      <c r="A1413">
        <v>1794.5555099999999</v>
      </c>
      <c r="B1413" s="1">
        <f>DATE(2015,3,30) + TIME(13,19,56)</f>
        <v>42093.555509259262</v>
      </c>
      <c r="C1413">
        <v>80</v>
      </c>
      <c r="D1413">
        <v>70.714836121000005</v>
      </c>
      <c r="E1413">
        <v>40</v>
      </c>
      <c r="F1413">
        <v>39.946464538999997</v>
      </c>
      <c r="G1413">
        <v>1323.6781006000001</v>
      </c>
      <c r="H1413">
        <v>1319.9912108999999</v>
      </c>
      <c r="I1413">
        <v>1345.5286865</v>
      </c>
      <c r="J1413">
        <v>1339.9694824000001</v>
      </c>
      <c r="K1413">
        <v>0</v>
      </c>
      <c r="L1413">
        <v>550</v>
      </c>
      <c r="M1413">
        <v>550</v>
      </c>
      <c r="N1413">
        <v>0</v>
      </c>
    </row>
    <row r="1414" spans="1:14" x14ac:dyDescent="0.25">
      <c r="A1414">
        <v>1796</v>
      </c>
      <c r="B1414" s="1">
        <f>DATE(2015,4,1) + TIME(0,0,0)</f>
        <v>42095</v>
      </c>
      <c r="C1414">
        <v>80</v>
      </c>
      <c r="D1414">
        <v>70.526802063000005</v>
      </c>
      <c r="E1414">
        <v>40</v>
      </c>
      <c r="F1414">
        <v>39.946468353</v>
      </c>
      <c r="G1414">
        <v>1323.5792236</v>
      </c>
      <c r="H1414">
        <v>1319.8591309000001</v>
      </c>
      <c r="I1414">
        <v>1345.5303954999999</v>
      </c>
      <c r="J1414">
        <v>1339.9713135</v>
      </c>
      <c r="K1414">
        <v>0</v>
      </c>
      <c r="L1414">
        <v>550</v>
      </c>
      <c r="M1414">
        <v>550</v>
      </c>
      <c r="N141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2022-06-27T07:18:19Z</dcterms:created>
  <dcterms:modified xsi:type="dcterms:W3CDTF">2022-06-27T07:18:43Z</dcterms:modified>
</cp:coreProperties>
</file>