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bnbv-my.sharepoint.com/personal/toon_griendt-van-de_ebn_nl/Documents/Documents/CMG MODEL/SCENARIOS/2022/Parameterstudy_perm_storV_dT/"/>
    </mc:Choice>
  </mc:AlternateContent>
  <xr:revisionPtr revIDLastSave="0" documentId="8_{177F4263-1E0C-4118-BD8F-363D63C31C14}" xr6:coauthVersionLast="47" xr6:coauthVersionMax="47" xr10:uidLastSave="{00000000-0000-0000-0000-000000000000}"/>
  <bookViews>
    <workbookView xWindow="1950" yWindow="1950" windowWidth="21600" windowHeight="11385" xr2:uid="{755DFE20-B81F-4922-ABDD-F4CD940FF8FE}"/>
  </bookViews>
  <sheets>
    <sheet name="Plot 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911" i="1" l="1"/>
  <c r="B1910" i="1"/>
  <c r="B1909" i="1"/>
  <c r="B1908" i="1"/>
  <c r="B1907" i="1"/>
  <c r="B1906" i="1"/>
  <c r="B1905" i="1"/>
  <c r="B1904" i="1"/>
  <c r="B1903" i="1"/>
  <c r="B1902" i="1"/>
  <c r="B1901" i="1"/>
  <c r="B1900" i="1"/>
  <c r="B1899" i="1"/>
  <c r="B1898" i="1"/>
  <c r="B1897" i="1"/>
  <c r="B1896" i="1"/>
  <c r="B1895" i="1"/>
  <c r="B1894" i="1"/>
  <c r="B1893" i="1"/>
  <c r="B1892" i="1"/>
  <c r="B1891" i="1"/>
  <c r="B1890" i="1"/>
  <c r="B1889" i="1"/>
  <c r="B1888" i="1"/>
  <c r="B1887" i="1"/>
  <c r="B1886" i="1"/>
  <c r="B1885" i="1"/>
  <c r="B1884" i="1"/>
  <c r="B1883" i="1"/>
  <c r="B1882" i="1"/>
  <c r="B1881" i="1"/>
  <c r="B1880" i="1"/>
  <c r="B1879" i="1"/>
  <c r="B1878" i="1"/>
  <c r="B1877" i="1"/>
  <c r="B1876" i="1"/>
  <c r="B1875" i="1"/>
  <c r="B1874" i="1"/>
  <c r="B1873" i="1"/>
  <c r="B1872" i="1"/>
  <c r="B1871" i="1"/>
  <c r="B1870" i="1"/>
  <c r="B1869" i="1"/>
  <c r="B1868" i="1"/>
  <c r="B1867" i="1"/>
  <c r="B1866" i="1"/>
  <c r="B1865" i="1"/>
  <c r="B1864" i="1"/>
  <c r="B1863" i="1"/>
  <c r="B1862" i="1"/>
  <c r="B1861" i="1"/>
  <c r="B1860" i="1"/>
  <c r="B1859" i="1"/>
  <c r="B1858" i="1"/>
  <c r="B1857" i="1"/>
  <c r="B1856" i="1"/>
  <c r="B1855" i="1"/>
  <c r="B1854" i="1"/>
  <c r="B1853" i="1"/>
  <c r="B1852" i="1"/>
  <c r="B1851" i="1"/>
  <c r="B1850" i="1"/>
  <c r="B1849" i="1"/>
  <c r="B1848" i="1"/>
  <c r="B1847" i="1"/>
  <c r="B1846" i="1"/>
  <c r="B1845" i="1"/>
  <c r="B1844" i="1"/>
  <c r="B1843" i="1"/>
  <c r="B1842" i="1"/>
  <c r="B1841" i="1"/>
  <c r="B1840" i="1"/>
  <c r="B1839" i="1"/>
  <c r="B1838" i="1"/>
  <c r="B1837" i="1"/>
  <c r="B1836" i="1"/>
  <c r="B1835" i="1"/>
  <c r="B1834" i="1"/>
  <c r="B1833" i="1"/>
  <c r="B1832" i="1"/>
  <c r="B1831" i="1"/>
  <c r="B1830" i="1"/>
  <c r="B1829" i="1"/>
  <c r="B1828" i="1"/>
  <c r="B1827" i="1"/>
  <c r="B1826" i="1"/>
  <c r="B1825" i="1"/>
  <c r="B1824" i="1"/>
  <c r="B1823" i="1"/>
  <c r="B1822" i="1"/>
  <c r="B1821" i="1"/>
  <c r="B1820" i="1"/>
  <c r="B1819" i="1"/>
  <c r="B1818" i="1"/>
  <c r="B1817" i="1"/>
  <c r="B1816" i="1"/>
  <c r="B1815" i="1"/>
  <c r="B1814" i="1"/>
  <c r="B1813" i="1"/>
  <c r="B1812" i="1"/>
  <c r="B1811" i="1"/>
  <c r="B1810" i="1"/>
  <c r="B1809" i="1"/>
  <c r="B1808" i="1"/>
  <c r="B1807" i="1"/>
  <c r="B1806" i="1"/>
  <c r="B1805" i="1"/>
  <c r="B1804" i="1"/>
  <c r="B1803" i="1"/>
  <c r="B1802" i="1"/>
  <c r="B1801" i="1"/>
  <c r="B1800" i="1"/>
  <c r="B1799" i="1"/>
  <c r="B1798" i="1"/>
  <c r="B1797" i="1"/>
  <c r="B1796" i="1"/>
  <c r="B1795" i="1"/>
  <c r="B1794" i="1"/>
  <c r="B1793" i="1"/>
  <c r="B1792" i="1"/>
  <c r="B1791" i="1"/>
  <c r="B1790" i="1"/>
  <c r="B1789" i="1"/>
  <c r="B1788" i="1"/>
  <c r="B1787" i="1"/>
  <c r="B1786" i="1"/>
  <c r="B1785" i="1"/>
  <c r="B1784" i="1"/>
  <c r="B1783" i="1"/>
  <c r="B1782" i="1"/>
  <c r="B1781" i="1"/>
  <c r="B1780" i="1"/>
  <c r="B1779" i="1"/>
  <c r="B1778" i="1"/>
  <c r="B1777" i="1"/>
  <c r="B1776" i="1"/>
  <c r="B1775" i="1"/>
  <c r="B1774" i="1"/>
  <c r="B1773" i="1"/>
  <c r="B1772" i="1"/>
  <c r="B1771" i="1"/>
  <c r="B1770" i="1"/>
  <c r="B1769" i="1"/>
  <c r="B1768" i="1"/>
  <c r="B1767" i="1"/>
  <c r="B1766" i="1"/>
  <c r="B1765" i="1"/>
  <c r="B1764" i="1"/>
  <c r="B1763" i="1"/>
  <c r="B1762" i="1"/>
  <c r="B1761" i="1"/>
  <c r="B1760" i="1"/>
  <c r="B1759" i="1"/>
  <c r="B1758" i="1"/>
  <c r="B1757" i="1"/>
  <c r="B1756" i="1"/>
  <c r="B1755" i="1"/>
  <c r="B1754" i="1"/>
  <c r="B1753" i="1"/>
  <c r="B1752" i="1"/>
  <c r="B1751" i="1"/>
  <c r="B1750" i="1"/>
  <c r="B1749" i="1"/>
  <c r="B1748" i="1"/>
  <c r="B1747" i="1"/>
  <c r="B1746" i="1"/>
  <c r="B1745" i="1"/>
  <c r="B1744" i="1"/>
  <c r="B1743" i="1"/>
  <c r="B1742" i="1"/>
  <c r="B1741" i="1"/>
  <c r="B1740" i="1"/>
  <c r="B1739" i="1"/>
  <c r="B1738" i="1"/>
  <c r="B1737" i="1"/>
  <c r="B1736" i="1"/>
  <c r="B1735" i="1"/>
  <c r="B1734" i="1"/>
  <c r="B1733" i="1"/>
  <c r="B1732" i="1"/>
  <c r="B1731" i="1"/>
  <c r="B1730" i="1"/>
  <c r="B1729" i="1"/>
  <c r="B1728" i="1"/>
  <c r="B1727" i="1"/>
  <c r="B1726" i="1"/>
  <c r="B1725" i="1"/>
  <c r="B1724" i="1"/>
  <c r="B1723" i="1"/>
  <c r="B1722" i="1"/>
  <c r="B1721" i="1"/>
  <c r="B1720" i="1"/>
  <c r="B1719" i="1"/>
  <c r="B1718" i="1"/>
  <c r="B1717" i="1"/>
  <c r="B1716" i="1"/>
  <c r="B1715" i="1"/>
  <c r="B1714" i="1"/>
  <c r="B1713" i="1"/>
  <c r="B1712" i="1"/>
  <c r="B1711" i="1"/>
  <c r="B1710" i="1"/>
  <c r="B1709" i="1"/>
  <c r="B1708" i="1"/>
  <c r="B1707" i="1"/>
  <c r="B1706" i="1"/>
  <c r="B1705" i="1"/>
  <c r="B1704" i="1"/>
  <c r="B1703" i="1"/>
  <c r="B1702" i="1"/>
  <c r="B1701" i="1"/>
  <c r="B1700" i="1"/>
  <c r="B1699" i="1"/>
  <c r="B1698" i="1"/>
  <c r="B1697" i="1"/>
  <c r="B1696" i="1"/>
  <c r="B1695" i="1"/>
  <c r="B1694" i="1"/>
  <c r="B1693" i="1"/>
  <c r="B1692" i="1"/>
  <c r="B1691" i="1"/>
  <c r="B1690" i="1"/>
  <c r="B1689" i="1"/>
  <c r="B1688" i="1"/>
  <c r="B1687" i="1"/>
  <c r="B1686" i="1"/>
  <c r="B1685" i="1"/>
  <c r="B1684" i="1"/>
  <c r="B1683" i="1"/>
  <c r="B1682" i="1"/>
  <c r="B1681" i="1"/>
  <c r="B1680" i="1"/>
  <c r="B1679" i="1"/>
  <c r="B1678" i="1"/>
  <c r="B1677" i="1"/>
  <c r="B1676" i="1"/>
  <c r="B1675" i="1"/>
  <c r="B1674" i="1"/>
  <c r="B1673" i="1"/>
  <c r="B1672" i="1"/>
  <c r="B1671" i="1"/>
  <c r="B1670" i="1"/>
  <c r="B1669" i="1"/>
  <c r="B1668" i="1"/>
  <c r="B1667" i="1"/>
  <c r="B1666" i="1"/>
  <c r="B1665" i="1"/>
  <c r="B1664" i="1"/>
  <c r="B1663" i="1"/>
  <c r="B1662" i="1"/>
  <c r="B1661" i="1"/>
  <c r="B1660" i="1"/>
  <c r="B1659" i="1"/>
  <c r="B1658" i="1"/>
  <c r="B1657" i="1"/>
  <c r="B1656" i="1"/>
  <c r="B1655" i="1"/>
  <c r="B1654" i="1"/>
  <c r="B1653" i="1"/>
  <c r="B1652" i="1"/>
  <c r="B1651" i="1"/>
  <c r="B1650" i="1"/>
  <c r="B1649" i="1"/>
  <c r="B1648" i="1"/>
  <c r="B1647" i="1"/>
  <c r="B1646" i="1"/>
  <c r="B1645" i="1"/>
  <c r="B1644" i="1"/>
  <c r="B1643" i="1"/>
  <c r="B1642" i="1"/>
  <c r="B1641" i="1"/>
  <c r="B1640" i="1"/>
  <c r="B1639" i="1"/>
  <c r="B1638" i="1"/>
  <c r="B1637" i="1"/>
  <c r="B1636" i="1"/>
  <c r="B1635" i="1"/>
  <c r="B1634" i="1"/>
  <c r="B1633" i="1"/>
  <c r="B1632" i="1"/>
  <c r="B1631" i="1"/>
  <c r="B1630" i="1"/>
  <c r="B1629" i="1"/>
  <c r="B1628" i="1"/>
  <c r="B1627" i="1"/>
  <c r="B1626" i="1"/>
  <c r="B1625" i="1"/>
  <c r="B1624" i="1"/>
  <c r="B1623" i="1"/>
  <c r="B1622" i="1"/>
  <c r="B1621" i="1"/>
  <c r="B1620" i="1"/>
  <c r="B1619" i="1"/>
  <c r="B1618" i="1"/>
  <c r="B1617" i="1"/>
  <c r="B1616" i="1"/>
  <c r="B1615" i="1"/>
  <c r="B1614" i="1"/>
  <c r="B1613" i="1"/>
  <c r="B1612" i="1"/>
  <c r="B1611" i="1"/>
  <c r="B1610" i="1"/>
  <c r="B1609" i="1"/>
  <c r="B1608" i="1"/>
  <c r="B1607" i="1"/>
  <c r="B1606" i="1"/>
  <c r="B1605" i="1"/>
  <c r="B1604" i="1"/>
  <c r="B1603" i="1"/>
  <c r="B1602" i="1"/>
  <c r="B1601" i="1"/>
  <c r="B1600" i="1"/>
  <c r="B1599" i="1"/>
  <c r="B1598" i="1"/>
  <c r="B1597" i="1"/>
  <c r="B1596" i="1"/>
  <c r="B1595" i="1"/>
  <c r="B1594" i="1"/>
  <c r="B1593" i="1"/>
  <c r="B1592" i="1"/>
  <c r="B1591" i="1"/>
  <c r="B1590" i="1"/>
  <c r="B1589" i="1"/>
  <c r="B1588" i="1"/>
  <c r="B1587" i="1"/>
  <c r="B1586" i="1"/>
  <c r="B1585" i="1"/>
  <c r="B1584" i="1"/>
  <c r="B1583" i="1"/>
  <c r="B1582" i="1"/>
  <c r="B1581" i="1"/>
  <c r="B1580" i="1"/>
  <c r="B1579" i="1"/>
  <c r="B1578" i="1"/>
  <c r="B1577" i="1"/>
  <c r="B1576" i="1"/>
  <c r="B1575" i="1"/>
  <c r="B1574" i="1"/>
  <c r="B1573" i="1"/>
  <c r="B1572" i="1"/>
  <c r="B1571" i="1"/>
  <c r="B1570" i="1"/>
  <c r="B1569" i="1"/>
  <c r="B1568" i="1"/>
  <c r="B1567" i="1"/>
  <c r="B1566" i="1"/>
  <c r="B1565" i="1"/>
  <c r="B1564" i="1"/>
  <c r="B1563" i="1"/>
  <c r="B1562" i="1"/>
  <c r="B1561" i="1"/>
  <c r="B1560" i="1"/>
  <c r="B1559" i="1"/>
  <c r="B1558" i="1"/>
  <c r="B1557" i="1"/>
  <c r="B1556" i="1"/>
  <c r="B1555" i="1"/>
  <c r="B1554" i="1"/>
  <c r="B1553" i="1"/>
  <c r="B1552" i="1"/>
  <c r="B1551" i="1"/>
  <c r="B1550" i="1"/>
  <c r="B1549" i="1"/>
  <c r="B1548" i="1"/>
  <c r="B1547" i="1"/>
  <c r="B1546" i="1"/>
  <c r="B1545" i="1"/>
  <c r="B1544" i="1"/>
  <c r="B1543" i="1"/>
  <c r="B1542" i="1"/>
  <c r="B1541" i="1"/>
  <c r="B1540" i="1"/>
  <c r="B1539" i="1"/>
  <c r="B1538" i="1"/>
  <c r="B1537" i="1"/>
  <c r="B1536" i="1"/>
  <c r="B1535" i="1"/>
  <c r="B1534" i="1"/>
  <c r="B1533" i="1"/>
  <c r="B1532" i="1"/>
  <c r="B1531" i="1"/>
  <c r="B1530" i="1"/>
  <c r="B1529" i="1"/>
  <c r="B1528" i="1"/>
  <c r="B1527" i="1"/>
  <c r="B1526" i="1"/>
  <c r="B1525" i="1"/>
  <c r="B1524" i="1"/>
  <c r="B1523" i="1"/>
  <c r="B1522" i="1"/>
  <c r="B1521" i="1"/>
  <c r="B1520" i="1"/>
  <c r="B1519" i="1"/>
  <c r="B1518" i="1"/>
  <c r="B1517" i="1"/>
  <c r="B1516" i="1"/>
  <c r="B1515" i="1"/>
  <c r="B1514" i="1"/>
  <c r="B1513" i="1"/>
  <c r="B1512" i="1"/>
  <c r="B1511" i="1"/>
  <c r="B1510" i="1"/>
  <c r="B1509" i="1"/>
  <c r="B1508" i="1"/>
  <c r="B1507" i="1"/>
  <c r="B1506" i="1"/>
  <c r="B1505" i="1"/>
  <c r="B1504" i="1"/>
  <c r="B1503" i="1"/>
  <c r="B1502" i="1"/>
  <c r="B1501" i="1"/>
  <c r="B1500" i="1"/>
  <c r="B1499" i="1"/>
  <c r="B1498" i="1"/>
  <c r="B1497" i="1"/>
  <c r="B1496" i="1"/>
  <c r="B1495" i="1"/>
  <c r="B1494" i="1"/>
  <c r="B1493" i="1"/>
  <c r="B1492" i="1"/>
  <c r="B1491" i="1"/>
  <c r="B1490" i="1"/>
  <c r="B1489" i="1"/>
  <c r="B1488" i="1"/>
  <c r="B1487" i="1"/>
  <c r="B1486" i="1"/>
  <c r="B1485" i="1"/>
  <c r="B1484" i="1"/>
  <c r="B1483" i="1"/>
  <c r="B1482" i="1"/>
  <c r="B1481" i="1"/>
  <c r="B1480" i="1"/>
  <c r="B1479" i="1"/>
  <c r="B1478" i="1"/>
  <c r="B1477" i="1"/>
  <c r="B1476" i="1"/>
  <c r="B1475" i="1"/>
  <c r="B1474" i="1"/>
  <c r="B1473" i="1"/>
  <c r="B1472" i="1"/>
  <c r="B1471" i="1"/>
  <c r="B1470" i="1"/>
  <c r="B1469" i="1"/>
  <c r="B1468" i="1"/>
  <c r="B1467" i="1"/>
  <c r="B1466" i="1"/>
  <c r="B1465" i="1"/>
  <c r="B1464" i="1"/>
  <c r="B1463" i="1"/>
  <c r="B1462" i="1"/>
  <c r="B1461" i="1"/>
  <c r="B1460" i="1"/>
  <c r="B1459" i="1"/>
  <c r="B1458" i="1"/>
  <c r="B1457" i="1"/>
  <c r="B1456" i="1"/>
  <c r="B1455" i="1"/>
  <c r="B1454" i="1"/>
  <c r="B1453" i="1"/>
  <c r="B1452" i="1"/>
  <c r="B1451" i="1"/>
  <c r="B1450" i="1"/>
  <c r="B1449" i="1"/>
  <c r="B1448" i="1"/>
  <c r="B1447" i="1"/>
  <c r="B1446" i="1"/>
  <c r="B1445" i="1"/>
  <c r="B1444" i="1"/>
  <c r="B1443" i="1"/>
  <c r="B1442" i="1"/>
  <c r="B1441" i="1"/>
  <c r="B1440" i="1"/>
  <c r="B1439" i="1"/>
  <c r="B1438" i="1"/>
  <c r="B1437" i="1"/>
  <c r="B1436" i="1"/>
  <c r="B1435" i="1"/>
  <c r="B1434" i="1"/>
  <c r="B1433" i="1"/>
  <c r="B1432" i="1"/>
  <c r="B1431" i="1"/>
  <c r="B1430" i="1"/>
  <c r="B1429" i="1"/>
  <c r="B1428" i="1"/>
  <c r="B1427" i="1"/>
  <c r="B1426" i="1"/>
  <c r="B1425" i="1"/>
  <c r="B1424" i="1"/>
  <c r="B1423" i="1"/>
  <c r="B1422" i="1"/>
  <c r="B1421" i="1"/>
  <c r="B1420" i="1"/>
  <c r="B1419" i="1"/>
  <c r="B1418" i="1"/>
  <c r="B1417" i="1"/>
  <c r="B1416" i="1"/>
  <c r="B1415" i="1"/>
  <c r="B1414" i="1"/>
  <c r="B1413" i="1"/>
  <c r="B1412" i="1"/>
  <c r="B1411" i="1"/>
  <c r="B1410" i="1"/>
  <c r="B1409" i="1"/>
  <c r="B1408" i="1"/>
  <c r="B1407" i="1"/>
  <c r="B1406" i="1"/>
  <c r="B1405" i="1"/>
  <c r="B1404" i="1"/>
  <c r="B1403" i="1"/>
  <c r="B1402" i="1"/>
  <c r="B1401" i="1"/>
  <c r="B1400" i="1"/>
  <c r="B1399" i="1"/>
  <c r="B1398" i="1"/>
  <c r="B1397" i="1"/>
  <c r="B1396" i="1"/>
  <c r="B1395" i="1"/>
  <c r="B1394" i="1"/>
  <c r="B1393" i="1"/>
  <c r="B1392" i="1"/>
  <c r="B1391" i="1"/>
  <c r="B1390" i="1"/>
  <c r="B1389" i="1"/>
  <c r="B1388" i="1"/>
  <c r="B1387" i="1"/>
  <c r="B1386" i="1"/>
  <c r="B1385" i="1"/>
  <c r="B1384" i="1"/>
  <c r="B1383" i="1"/>
  <c r="B1382" i="1"/>
  <c r="B1381" i="1"/>
  <c r="B1380" i="1"/>
  <c r="B1379" i="1"/>
  <c r="B1378" i="1"/>
  <c r="B1377" i="1"/>
  <c r="B1376" i="1"/>
  <c r="B1375" i="1"/>
  <c r="B1374" i="1"/>
  <c r="B1373" i="1"/>
  <c r="B1372" i="1"/>
  <c r="B1371" i="1"/>
  <c r="B1370" i="1"/>
  <c r="B1369" i="1"/>
  <c r="B1368" i="1"/>
  <c r="B1367" i="1"/>
  <c r="B1366" i="1"/>
  <c r="B1365" i="1"/>
  <c r="B1364" i="1"/>
  <c r="B1363" i="1"/>
  <c r="B1362" i="1"/>
  <c r="B1361" i="1"/>
  <c r="B1360" i="1"/>
  <c r="B1359" i="1"/>
  <c r="B1358" i="1"/>
  <c r="B1357" i="1"/>
  <c r="B1356" i="1"/>
  <c r="B1355" i="1"/>
  <c r="B1354" i="1"/>
  <c r="B1353" i="1"/>
  <c r="B1352" i="1"/>
  <c r="B1351" i="1"/>
  <c r="B1350" i="1"/>
  <c r="B1349" i="1"/>
  <c r="B1348" i="1"/>
  <c r="B1347" i="1"/>
  <c r="B1346" i="1"/>
  <c r="B1345" i="1"/>
  <c r="B1344" i="1"/>
  <c r="B1343" i="1"/>
  <c r="B1342" i="1"/>
  <c r="B1341" i="1"/>
  <c r="B1340" i="1"/>
  <c r="B1339" i="1"/>
  <c r="B1338" i="1"/>
  <c r="B1337" i="1"/>
  <c r="B1336" i="1"/>
  <c r="B1335" i="1"/>
  <c r="B1334" i="1"/>
  <c r="B1333" i="1"/>
  <c r="B1332" i="1"/>
  <c r="B1331" i="1"/>
  <c r="B1330" i="1"/>
  <c r="B1329" i="1"/>
  <c r="B1328" i="1"/>
  <c r="B1327" i="1"/>
  <c r="B1326" i="1"/>
  <c r="B1325" i="1"/>
  <c r="B1324" i="1"/>
  <c r="B1323" i="1"/>
  <c r="B1322" i="1"/>
  <c r="B1321" i="1"/>
  <c r="B1320" i="1"/>
  <c r="B1319" i="1"/>
  <c r="B1318" i="1"/>
  <c r="B1317" i="1"/>
  <c r="B1316" i="1"/>
  <c r="B1315" i="1"/>
  <c r="B1314" i="1"/>
  <c r="B1313" i="1"/>
  <c r="B1312" i="1"/>
  <c r="B1311" i="1"/>
  <c r="B1310" i="1"/>
  <c r="B1309" i="1"/>
  <c r="B1308" i="1"/>
  <c r="B1307" i="1"/>
  <c r="B1306" i="1"/>
  <c r="B1305" i="1"/>
  <c r="B1304" i="1"/>
  <c r="B1303" i="1"/>
  <c r="B1302" i="1"/>
  <c r="B1301" i="1"/>
  <c r="B1300" i="1"/>
  <c r="B1299" i="1"/>
  <c r="B1298" i="1"/>
  <c r="B1297" i="1"/>
  <c r="B1296" i="1"/>
  <c r="B1295" i="1"/>
  <c r="B1294" i="1"/>
  <c r="B1293" i="1"/>
  <c r="B1292" i="1"/>
  <c r="B1291" i="1"/>
  <c r="B1290" i="1"/>
  <c r="B1289" i="1"/>
  <c r="B1288" i="1"/>
  <c r="B1287" i="1"/>
  <c r="B1286" i="1"/>
  <c r="B1285" i="1"/>
  <c r="B1284" i="1"/>
  <c r="B1283" i="1"/>
  <c r="B1282" i="1"/>
  <c r="B1281" i="1"/>
  <c r="B1280" i="1"/>
  <c r="B1279" i="1"/>
  <c r="B1278" i="1"/>
  <c r="B1277" i="1"/>
  <c r="B1276" i="1"/>
  <c r="B1275" i="1"/>
  <c r="B1274" i="1"/>
  <c r="B1273" i="1"/>
  <c r="B1272" i="1"/>
  <c r="B1271" i="1"/>
  <c r="B1270" i="1"/>
  <c r="B1269" i="1"/>
  <c r="B1268" i="1"/>
  <c r="B1267" i="1"/>
  <c r="B1266" i="1"/>
  <c r="B1265" i="1"/>
  <c r="B1264" i="1"/>
  <c r="B1263" i="1"/>
  <c r="B1262" i="1"/>
  <c r="B1261" i="1"/>
  <c r="B1260" i="1"/>
  <c r="B1259" i="1"/>
  <c r="B1258" i="1"/>
  <c r="B1257" i="1"/>
  <c r="B1256" i="1"/>
  <c r="B1255" i="1"/>
  <c r="B1254" i="1"/>
  <c r="B1253" i="1"/>
  <c r="B1252" i="1"/>
  <c r="B1251" i="1"/>
  <c r="B1250" i="1"/>
  <c r="B1249" i="1"/>
  <c r="B1248" i="1"/>
  <c r="B1247" i="1"/>
  <c r="B1246" i="1"/>
  <c r="B1245" i="1"/>
  <c r="B1244" i="1"/>
  <c r="B1243" i="1"/>
  <c r="B1242" i="1"/>
  <c r="B1241" i="1"/>
  <c r="B1240" i="1"/>
  <c r="B1239" i="1"/>
  <c r="B1238" i="1"/>
  <c r="B1237" i="1"/>
  <c r="B1236" i="1"/>
  <c r="B1235" i="1"/>
  <c r="B1234" i="1"/>
  <c r="B1233" i="1"/>
  <c r="B1232" i="1"/>
  <c r="B1231" i="1"/>
  <c r="B1230" i="1"/>
  <c r="B1229" i="1"/>
  <c r="B1228" i="1"/>
  <c r="B1227" i="1"/>
  <c r="B1226" i="1"/>
  <c r="B1225" i="1"/>
  <c r="B1224" i="1"/>
  <c r="B1223" i="1"/>
  <c r="B1222" i="1"/>
  <c r="B1221" i="1"/>
  <c r="B1220" i="1"/>
  <c r="B1219" i="1"/>
  <c r="B1218" i="1"/>
  <c r="B1217" i="1"/>
  <c r="B1216" i="1"/>
  <c r="B1215" i="1"/>
  <c r="B1214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7" i="1"/>
  <c r="B1176" i="1"/>
  <c r="B1175" i="1"/>
  <c r="B1174" i="1"/>
  <c r="B1173" i="1"/>
  <c r="B1172" i="1"/>
  <c r="B1171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5" i="1"/>
  <c r="B1114" i="1"/>
  <c r="B1113" i="1"/>
  <c r="B1112" i="1"/>
  <c r="B1111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<sst xmlns="http://schemas.openxmlformats.org/spreadsheetml/2006/main" count="15" uniqueCount="15">
  <si>
    <t>C:\Users\924224\OneDrive - EBN BV\Documents\CMG MODEL\SCENARIOS\2022\Parameterstudy_perm_storV_dT\perm10_V600_dt30.sr3</t>
  </si>
  <si>
    <t>Time (day)</t>
  </si>
  <si>
    <t>Date</t>
  </si>
  <si>
    <t>Hot well INJ-Well bottom hole temperature (C)</t>
  </si>
  <si>
    <t>Hot well PROD-Well bottom hole temperature (C)</t>
  </si>
  <si>
    <t>Warm well INJ-Well bottom hole temperature (C)</t>
  </si>
  <si>
    <t>Warm well PROD-Well bottom hole temperature (C)</t>
  </si>
  <si>
    <t>Hot well INJ-Well Bottom-hole Pressure (kPa)</t>
  </si>
  <si>
    <t>Hot well PROD-Well Bottom-hole Pressure (kPa)</t>
  </si>
  <si>
    <t>Warm well INJ-Well Bottom-hole Pressure (kPa)</t>
  </si>
  <si>
    <t>Warm well PROD-Well Bottom-hole Pressure (kPa)</t>
  </si>
  <si>
    <t>Hot well INJ-Fluid Rate SC (m³/day)</t>
  </si>
  <si>
    <t>Hot well PROD-Fluid Rate SC (m³/day)</t>
  </si>
  <si>
    <t>Warm well INJ-Fluid Rate SC (m³/day)</t>
  </si>
  <si>
    <t>Warm well PROD-Fluid Rate SC (m³/day)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</si>
</sst>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y\y\y\y\-mmm/dd\ \h\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">
    <dxf>
      <numFmt numFmtId="164" formatCode="\y\y\y\y\-mmm/dd\ \h\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724D6FD-D1CB-4428-80AF-98A4BC817F74}" name="Table1" displayName="Table1" ref="A3:N1911" totalsRowShown="0">
  <autoFilter ref="A3:N1911" xr:uid="{8724D6FD-D1CB-4428-80AF-98A4BC817F74}"/>
  <tableColumns count="14">
    <tableColumn id="1" xr3:uid="{50ECE7B2-D46B-4B7D-84A4-D4631AFA8238}" name="Time (day)"/>
    <tableColumn id="2" xr3:uid="{A7F62D73-50A8-4DA4-A8B7-D49797AB2265}" name="Date" dataDxfId="0"/>
    <tableColumn id="3" xr3:uid="{D45EDF77-B4C0-4DD6-9676-478F1E0D84C5}" name="Hot well INJ-Well bottom hole temperature (C)"/>
    <tableColumn id="4" xr3:uid="{87049CB6-6203-4105-95B0-31432E078A71}" name="Hot well PROD-Well bottom hole temperature (C)"/>
    <tableColumn id="5" xr3:uid="{FC67163B-5885-4596-9630-BC252D02AE3D}" name="Warm well INJ-Well bottom hole temperature (C)"/>
    <tableColumn id="6" xr3:uid="{177B4B05-82DD-48D1-9CF5-983C7E0B93C5}" name="Warm well PROD-Well bottom hole temperature (C)"/>
    <tableColumn id="7" xr3:uid="{D36A676E-239B-43D6-B50B-E24AA87E8864}" name="Hot well INJ-Well Bottom-hole Pressure (kPa)"/>
    <tableColumn id="8" xr3:uid="{A6051350-867D-4424-933A-2B7168A06630}" name="Hot well PROD-Well Bottom-hole Pressure (kPa)"/>
    <tableColumn id="9" xr3:uid="{BD682F25-F617-4256-AB9D-CCB0D578B74B}" name="Warm well INJ-Well Bottom-hole Pressure (kPa)"/>
    <tableColumn id="10" xr3:uid="{25370A25-66E0-46E9-AFFB-6117173D37C3}" name="Warm well PROD-Well Bottom-hole Pressure (kPa)"/>
    <tableColumn id="11" xr3:uid="{309BE06B-8859-4745-9F75-76471B8B3CE5}" name="Hot well INJ-Fluid Rate SC (m³/day)"/>
    <tableColumn id="12" xr3:uid="{8CD32D15-CD6B-4514-9F9B-30C4E33A7CAB}" name="Hot well PROD-Fluid Rate SC (m³/day)"/>
    <tableColumn id="13" xr3:uid="{6A4BB84E-0177-40DF-A345-0FF6CAB0E368}" name="Warm well INJ-Fluid Rate SC (m³/day)"/>
    <tableColumn id="14" xr3:uid="{B840063E-5472-4614-A265-C47AAB82C838}" name="Warm well PROD-Fluid Rate SC (m³/day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B908A-B8FE-4E94-90B5-7D044164234E}">
  <dimension ref="A1:N1911"/>
  <sheetViews>
    <sheetView tabSelected="1" workbookViewId="0"/>
  </sheetViews>
  <sheetFormatPr defaultRowHeight="15" x14ac:dyDescent="0.25"/>
  <cols>
    <col min="1" max="1" width="12.5703125" customWidth="1"/>
    <col min="2" max="2" width="20" bestFit="1" customWidth="1"/>
    <col min="3" max="3" width="44.85546875" customWidth="1"/>
    <col min="4" max="5" width="47.140625" customWidth="1"/>
    <col min="6" max="6" width="49.42578125" customWidth="1"/>
    <col min="7" max="7" width="43.5703125" customWidth="1"/>
    <col min="8" max="9" width="45.85546875" customWidth="1"/>
    <col min="10" max="10" width="48.140625" customWidth="1"/>
    <col min="11" max="11" width="34.140625" customWidth="1"/>
    <col min="12" max="13" width="36.42578125" customWidth="1"/>
    <col min="14" max="14" width="38.7109375" customWidth="1"/>
  </cols>
  <sheetData>
    <row r="1" spans="1:14" x14ac:dyDescent="0.25">
      <c r="A1" t="s">
        <v>0</v>
      </c>
    </row>
    <row r="3" spans="1:14" x14ac:dyDescent="0.25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11</v>
      </c>
      <c r="L3" t="s">
        <v>12</v>
      </c>
      <c r="M3" t="s">
        <v>13</v>
      </c>
      <c r="N3" t="s">
        <v>14</v>
      </c>
    </row>
    <row r="4" spans="1:14" x14ac:dyDescent="0.25">
      <c r="A4">
        <v>9.9999999999999995E-7</v>
      </c>
      <c r="B4" s="1">
        <f>DATE(2010,5,1) + TIME(0,0,0)</f>
        <v>40299</v>
      </c>
      <c r="C4">
        <v>80</v>
      </c>
      <c r="D4">
        <v>15.000081062</v>
      </c>
      <c r="E4">
        <v>50</v>
      </c>
      <c r="F4">
        <v>14.999969481999999</v>
      </c>
      <c r="G4">
        <v>1356.815918</v>
      </c>
      <c r="H4">
        <v>1329.7116699000001</v>
      </c>
      <c r="I4">
        <v>1329.1090088000001</v>
      </c>
      <c r="J4">
        <v>1302.0039062000001</v>
      </c>
      <c r="K4">
        <v>1650</v>
      </c>
      <c r="L4">
        <v>0</v>
      </c>
      <c r="M4">
        <v>0</v>
      </c>
      <c r="N4">
        <v>1650</v>
      </c>
    </row>
    <row r="5" spans="1:14" x14ac:dyDescent="0.25">
      <c r="A5">
        <v>3.9999999999999998E-6</v>
      </c>
      <c r="B5" s="1">
        <f>DATE(2010,5,1) + TIME(0,0,0)</f>
        <v>40299</v>
      </c>
      <c r="C5">
        <v>80</v>
      </c>
      <c r="D5">
        <v>15.000320435000001</v>
      </c>
      <c r="E5">
        <v>50</v>
      </c>
      <c r="F5">
        <v>14.999881744</v>
      </c>
      <c r="G5">
        <v>1357.6696777</v>
      </c>
      <c r="H5">
        <v>1330.5654297000001</v>
      </c>
      <c r="I5">
        <v>1328.2589111</v>
      </c>
      <c r="J5">
        <v>1301.1536865</v>
      </c>
      <c r="K5">
        <v>1650</v>
      </c>
      <c r="L5">
        <v>0</v>
      </c>
      <c r="M5">
        <v>0</v>
      </c>
      <c r="N5">
        <v>1650</v>
      </c>
    </row>
    <row r="6" spans="1:14" x14ac:dyDescent="0.25">
      <c r="A6">
        <v>1.2999999999999999E-5</v>
      </c>
      <c r="B6" s="1">
        <f>DATE(2010,5,1) + TIME(0,0,1)</f>
        <v>40299.000011574077</v>
      </c>
      <c r="C6">
        <v>80</v>
      </c>
      <c r="D6">
        <v>15.000998496999999</v>
      </c>
      <c r="E6">
        <v>50</v>
      </c>
      <c r="F6">
        <v>14.999657631</v>
      </c>
      <c r="G6">
        <v>1359.8526611</v>
      </c>
      <c r="H6">
        <v>1332.7489014</v>
      </c>
      <c r="I6">
        <v>1326.0849608999999</v>
      </c>
      <c r="J6">
        <v>1298.9794922000001</v>
      </c>
      <c r="K6">
        <v>1650</v>
      </c>
      <c r="L6">
        <v>0</v>
      </c>
      <c r="M6">
        <v>0</v>
      </c>
      <c r="N6">
        <v>1650</v>
      </c>
    </row>
    <row r="7" spans="1:14" x14ac:dyDescent="0.25">
      <c r="A7">
        <v>4.0000000000000003E-5</v>
      </c>
      <c r="B7" s="1">
        <f>DATE(2010,5,1) + TIME(0,0,3)</f>
        <v>40299.000034722223</v>
      </c>
      <c r="C7">
        <v>80</v>
      </c>
      <c r="D7">
        <v>15.002823830000001</v>
      </c>
      <c r="E7">
        <v>50</v>
      </c>
      <c r="F7">
        <v>14.999196053</v>
      </c>
      <c r="G7">
        <v>1364.3612060999999</v>
      </c>
      <c r="H7">
        <v>1337.2585449000001</v>
      </c>
      <c r="I7">
        <v>1321.5948486</v>
      </c>
      <c r="J7">
        <v>1294.4890137</v>
      </c>
      <c r="K7">
        <v>1650</v>
      </c>
      <c r="L7">
        <v>0</v>
      </c>
      <c r="M7">
        <v>0</v>
      </c>
      <c r="N7">
        <v>1650</v>
      </c>
    </row>
    <row r="8" spans="1:14" x14ac:dyDescent="0.25">
      <c r="A8">
        <v>1.21E-4</v>
      </c>
      <c r="B8" s="1">
        <f>DATE(2010,5,1) + TIME(0,0,10)</f>
        <v>40299.000115740739</v>
      </c>
      <c r="C8">
        <v>80</v>
      </c>
      <c r="D8">
        <v>15.007604599</v>
      </c>
      <c r="E8">
        <v>50</v>
      </c>
      <c r="F8">
        <v>14.998502731</v>
      </c>
      <c r="G8">
        <v>1371.1329346</v>
      </c>
      <c r="H8">
        <v>1344.0336914</v>
      </c>
      <c r="I8">
        <v>1314.8483887</v>
      </c>
      <c r="J8">
        <v>1287.7419434000001</v>
      </c>
      <c r="K8">
        <v>1650</v>
      </c>
      <c r="L8">
        <v>0</v>
      </c>
      <c r="M8">
        <v>0</v>
      </c>
      <c r="N8">
        <v>1650</v>
      </c>
    </row>
    <row r="9" spans="1:14" x14ac:dyDescent="0.25">
      <c r="A9">
        <v>3.6400000000000001E-4</v>
      </c>
      <c r="B9" s="1">
        <f>DATE(2010,5,1) + TIME(0,0,31)</f>
        <v>40299.000358796293</v>
      </c>
      <c r="C9">
        <v>80</v>
      </c>
      <c r="D9">
        <v>15.020643234</v>
      </c>
      <c r="E9">
        <v>50</v>
      </c>
      <c r="F9">
        <v>14.99771595</v>
      </c>
      <c r="G9">
        <v>1378.8083495999999</v>
      </c>
      <c r="H9">
        <v>1351.7183838000001</v>
      </c>
      <c r="I9">
        <v>1307.1932373</v>
      </c>
      <c r="J9">
        <v>1280.0861815999999</v>
      </c>
      <c r="K9">
        <v>1650</v>
      </c>
      <c r="L9">
        <v>0</v>
      </c>
      <c r="M9">
        <v>0</v>
      </c>
      <c r="N9">
        <v>1650</v>
      </c>
    </row>
    <row r="10" spans="1:14" x14ac:dyDescent="0.25">
      <c r="A10">
        <v>1.093E-3</v>
      </c>
      <c r="B10" s="1">
        <f>DATE(2010,5,1) + TIME(0,1,34)</f>
        <v>40299.001087962963</v>
      </c>
      <c r="C10">
        <v>80</v>
      </c>
      <c r="D10">
        <v>15.058164596999999</v>
      </c>
      <c r="E10">
        <v>50</v>
      </c>
      <c r="F10">
        <v>14.996921539000001</v>
      </c>
      <c r="G10">
        <v>1386.5377197</v>
      </c>
      <c r="H10">
        <v>1359.4743652</v>
      </c>
      <c r="I10">
        <v>1299.4570312000001</v>
      </c>
      <c r="J10">
        <v>1272.3494873</v>
      </c>
      <c r="K10">
        <v>1650</v>
      </c>
      <c r="L10">
        <v>0</v>
      </c>
      <c r="M10">
        <v>0</v>
      </c>
      <c r="N10">
        <v>1650</v>
      </c>
    </row>
    <row r="11" spans="1:14" x14ac:dyDescent="0.25">
      <c r="A11">
        <v>3.2799999999999999E-3</v>
      </c>
      <c r="B11" s="1">
        <f>DATE(2010,5,1) + TIME(0,4,43)</f>
        <v>40299.003275462965</v>
      </c>
      <c r="C11">
        <v>80</v>
      </c>
      <c r="D11">
        <v>15.168944358999999</v>
      </c>
      <c r="E11">
        <v>50</v>
      </c>
      <c r="F11">
        <v>14.996138573</v>
      </c>
      <c r="G11">
        <v>1394.1097411999999</v>
      </c>
      <c r="H11">
        <v>1367.125</v>
      </c>
      <c r="I11">
        <v>1291.7982178</v>
      </c>
      <c r="J11">
        <v>1264.6900635</v>
      </c>
      <c r="K11">
        <v>1650</v>
      </c>
      <c r="L11">
        <v>0</v>
      </c>
      <c r="M11">
        <v>0</v>
      </c>
      <c r="N11">
        <v>1650</v>
      </c>
    </row>
    <row r="12" spans="1:14" x14ac:dyDescent="0.25">
      <c r="A12">
        <v>9.8410000000000008E-3</v>
      </c>
      <c r="B12" s="1">
        <f>DATE(2010,5,1) + TIME(0,14,10)</f>
        <v>40299.009837962964</v>
      </c>
      <c r="C12">
        <v>80</v>
      </c>
      <c r="D12">
        <v>15.498051643</v>
      </c>
      <c r="E12">
        <v>50</v>
      </c>
      <c r="F12">
        <v>14.995427132</v>
      </c>
      <c r="G12">
        <v>1400.8245850000001</v>
      </c>
      <c r="H12">
        <v>1374.0705565999999</v>
      </c>
      <c r="I12">
        <v>1284.7661132999999</v>
      </c>
      <c r="J12">
        <v>1257.6574707</v>
      </c>
      <c r="K12">
        <v>1650</v>
      </c>
      <c r="L12">
        <v>0</v>
      </c>
      <c r="M12">
        <v>0</v>
      </c>
      <c r="N12">
        <v>1650</v>
      </c>
    </row>
    <row r="13" spans="1:14" x14ac:dyDescent="0.25">
      <c r="A13">
        <v>2.9524000000000002E-2</v>
      </c>
      <c r="B13" s="1">
        <f>DATE(2010,5,1) + TIME(0,42,30)</f>
        <v>40299.029513888891</v>
      </c>
      <c r="C13">
        <v>80</v>
      </c>
      <c r="D13">
        <v>16.470771790000001</v>
      </c>
      <c r="E13">
        <v>50</v>
      </c>
      <c r="F13">
        <v>14.99493885</v>
      </c>
      <c r="G13">
        <v>1404.9663086</v>
      </c>
      <c r="H13">
        <v>1378.8754882999999</v>
      </c>
      <c r="I13">
        <v>1279.7218018000001</v>
      </c>
      <c r="J13">
        <v>1252.612793</v>
      </c>
      <c r="K13">
        <v>1650</v>
      </c>
      <c r="L13">
        <v>0</v>
      </c>
      <c r="M13">
        <v>0</v>
      </c>
      <c r="N13">
        <v>1650</v>
      </c>
    </row>
    <row r="14" spans="1:14" x14ac:dyDescent="0.25">
      <c r="A14">
        <v>4.9758999999999998E-2</v>
      </c>
      <c r="B14" s="1">
        <f>DATE(2010,5,1) + TIME(1,11,39)</f>
        <v>40299.049756944441</v>
      </c>
      <c r="C14">
        <v>80</v>
      </c>
      <c r="D14">
        <v>17.457391738999998</v>
      </c>
      <c r="E14">
        <v>50</v>
      </c>
      <c r="F14">
        <v>14.994791985000001</v>
      </c>
      <c r="G14">
        <v>1405.8221435999999</v>
      </c>
      <c r="H14">
        <v>1380.3666992000001</v>
      </c>
      <c r="I14">
        <v>1278.0454102000001</v>
      </c>
      <c r="J14">
        <v>1250.9364014</v>
      </c>
      <c r="K14">
        <v>1650</v>
      </c>
      <c r="L14">
        <v>0</v>
      </c>
      <c r="M14">
        <v>0</v>
      </c>
      <c r="N14">
        <v>1650</v>
      </c>
    </row>
    <row r="15" spans="1:14" x14ac:dyDescent="0.25">
      <c r="A15">
        <v>7.0267999999999997E-2</v>
      </c>
      <c r="B15" s="1">
        <f>DATE(2010,5,1) + TIME(1,41,11)</f>
        <v>40299.0702662037</v>
      </c>
      <c r="C15">
        <v>80</v>
      </c>
      <c r="D15">
        <v>18.444177627999998</v>
      </c>
      <c r="E15">
        <v>50</v>
      </c>
      <c r="F15">
        <v>14.99475193</v>
      </c>
      <c r="G15">
        <v>1405.6827393000001</v>
      </c>
      <c r="H15">
        <v>1380.8358154</v>
      </c>
      <c r="I15">
        <v>1277.4147949000001</v>
      </c>
      <c r="J15">
        <v>1250.3056641000001</v>
      </c>
      <c r="K15">
        <v>1650</v>
      </c>
      <c r="L15">
        <v>0</v>
      </c>
      <c r="M15">
        <v>0</v>
      </c>
      <c r="N15">
        <v>1650</v>
      </c>
    </row>
    <row r="16" spans="1:14" x14ac:dyDescent="0.25">
      <c r="A16">
        <v>9.1051999999999994E-2</v>
      </c>
      <c r="B16" s="1">
        <f>DATE(2010,5,1) + TIME(2,11,6)</f>
        <v>40299.091041666667</v>
      </c>
      <c r="C16">
        <v>80</v>
      </c>
      <c r="D16">
        <v>19.430789948000001</v>
      </c>
      <c r="E16">
        <v>50</v>
      </c>
      <c r="F16">
        <v>14.994750023</v>
      </c>
      <c r="G16">
        <v>1405.182251</v>
      </c>
      <c r="H16">
        <v>1380.9180908000001</v>
      </c>
      <c r="I16">
        <v>1277.1711425999999</v>
      </c>
      <c r="J16">
        <v>1250.0618896000001</v>
      </c>
      <c r="K16">
        <v>1650</v>
      </c>
      <c r="L16">
        <v>0</v>
      </c>
      <c r="M16">
        <v>0</v>
      </c>
      <c r="N16">
        <v>1650</v>
      </c>
    </row>
    <row r="17" spans="1:14" x14ac:dyDescent="0.25">
      <c r="A17">
        <v>0.112119</v>
      </c>
      <c r="B17" s="1">
        <f>DATE(2010,5,1) + TIME(2,41,27)</f>
        <v>40299.112118055556</v>
      </c>
      <c r="C17">
        <v>80</v>
      </c>
      <c r="D17">
        <v>20.417549133000001</v>
      </c>
      <c r="E17">
        <v>50</v>
      </c>
      <c r="F17">
        <v>14.994764328</v>
      </c>
      <c r="G17">
        <v>1404.5396728999999</v>
      </c>
      <c r="H17">
        <v>1380.8343506000001</v>
      </c>
      <c r="I17">
        <v>1277.0831298999999</v>
      </c>
      <c r="J17">
        <v>1249.9738769999999</v>
      </c>
      <c r="K17">
        <v>1650</v>
      </c>
      <c r="L17">
        <v>0</v>
      </c>
      <c r="M17">
        <v>0</v>
      </c>
      <c r="N17">
        <v>1650</v>
      </c>
    </row>
    <row r="18" spans="1:14" x14ac:dyDescent="0.25">
      <c r="A18">
        <v>0.133467</v>
      </c>
      <c r="B18" s="1">
        <f>DATE(2010,5,1) + TIME(3,12,11)</f>
        <v>40299.133460648147</v>
      </c>
      <c r="C18">
        <v>80</v>
      </c>
      <c r="D18">
        <v>21.404214859</v>
      </c>
      <c r="E18">
        <v>50</v>
      </c>
      <c r="F18">
        <v>14.994784355</v>
      </c>
      <c r="G18">
        <v>1403.8447266000001</v>
      </c>
      <c r="H18">
        <v>1380.6751709</v>
      </c>
      <c r="I18">
        <v>1277.0585937999999</v>
      </c>
      <c r="J18">
        <v>1249.9490966999999</v>
      </c>
      <c r="K18">
        <v>1650</v>
      </c>
      <c r="L18">
        <v>0</v>
      </c>
      <c r="M18">
        <v>0</v>
      </c>
      <c r="N18">
        <v>1650</v>
      </c>
    </row>
    <row r="19" spans="1:14" x14ac:dyDescent="0.25">
      <c r="A19">
        <v>0.15510499999999999</v>
      </c>
      <c r="B19" s="1">
        <f>DATE(2010,5,1) + TIME(3,43,21)</f>
        <v>40299.155104166668</v>
      </c>
      <c r="C19">
        <v>80</v>
      </c>
      <c r="D19">
        <v>22.390136719000001</v>
      </c>
      <c r="E19">
        <v>50</v>
      </c>
      <c r="F19">
        <v>14.994808196999999</v>
      </c>
      <c r="G19">
        <v>1403.1380615</v>
      </c>
      <c r="H19">
        <v>1380.4821777</v>
      </c>
      <c r="I19">
        <v>1277.0582274999999</v>
      </c>
      <c r="J19">
        <v>1249.9487305</v>
      </c>
      <c r="K19">
        <v>1650</v>
      </c>
      <c r="L19">
        <v>0</v>
      </c>
      <c r="M19">
        <v>0</v>
      </c>
      <c r="N19">
        <v>1650</v>
      </c>
    </row>
    <row r="20" spans="1:14" x14ac:dyDescent="0.25">
      <c r="A20">
        <v>0.17705099999999999</v>
      </c>
      <c r="B20" s="1">
        <f>DATE(2010,5,1) + TIME(4,14,57)</f>
        <v>40299.177048611113</v>
      </c>
      <c r="C20">
        <v>80</v>
      </c>
      <c r="D20">
        <v>23.375789642000001</v>
      </c>
      <c r="E20">
        <v>50</v>
      </c>
      <c r="F20">
        <v>14.994832039</v>
      </c>
      <c r="G20">
        <v>1402.4384766000001</v>
      </c>
      <c r="H20">
        <v>1380.2756348</v>
      </c>
      <c r="I20">
        <v>1277.0657959</v>
      </c>
      <c r="J20">
        <v>1249.9561768000001</v>
      </c>
      <c r="K20">
        <v>1650</v>
      </c>
      <c r="L20">
        <v>0</v>
      </c>
      <c r="M20">
        <v>0</v>
      </c>
      <c r="N20">
        <v>1650</v>
      </c>
    </row>
    <row r="21" spans="1:14" x14ac:dyDescent="0.25">
      <c r="A21">
        <v>0.19931699999999999</v>
      </c>
      <c r="B21" s="1">
        <f>DATE(2010,5,1) + TIME(4,47,0)</f>
        <v>40299.199305555558</v>
      </c>
      <c r="C21">
        <v>80</v>
      </c>
      <c r="D21">
        <v>24.361167907999999</v>
      </c>
      <c r="E21">
        <v>50</v>
      </c>
      <c r="F21">
        <v>14.994855880999999</v>
      </c>
      <c r="G21">
        <v>1401.7551269999999</v>
      </c>
      <c r="H21">
        <v>1380.0657959</v>
      </c>
      <c r="I21">
        <v>1277.0749512</v>
      </c>
      <c r="J21">
        <v>1249.9652100000001</v>
      </c>
      <c r="K21">
        <v>1650</v>
      </c>
      <c r="L21">
        <v>0</v>
      </c>
      <c r="M21">
        <v>0</v>
      </c>
      <c r="N21">
        <v>1650</v>
      </c>
    </row>
    <row r="22" spans="1:14" x14ac:dyDescent="0.25">
      <c r="A22">
        <v>0.221913</v>
      </c>
      <c r="B22" s="1">
        <f>DATE(2010,5,1) + TIME(5,19,33)</f>
        <v>40299.221909722219</v>
      </c>
      <c r="C22">
        <v>80</v>
      </c>
      <c r="D22">
        <v>25.346492767000001</v>
      </c>
      <c r="E22">
        <v>50</v>
      </c>
      <c r="F22">
        <v>14.994879723</v>
      </c>
      <c r="G22">
        <v>1401.0924072</v>
      </c>
      <c r="H22">
        <v>1379.8579102000001</v>
      </c>
      <c r="I22">
        <v>1277.083374</v>
      </c>
      <c r="J22">
        <v>1249.9735106999999</v>
      </c>
      <c r="K22">
        <v>1650</v>
      </c>
      <c r="L22">
        <v>0</v>
      </c>
      <c r="M22">
        <v>0</v>
      </c>
      <c r="N22">
        <v>1650</v>
      </c>
    </row>
    <row r="23" spans="1:14" x14ac:dyDescent="0.25">
      <c r="A23">
        <v>0.24484500000000001</v>
      </c>
      <c r="B23" s="1">
        <f>DATE(2010,5,1) + TIME(5,52,34)</f>
        <v>40299.244837962964</v>
      </c>
      <c r="C23">
        <v>80</v>
      </c>
      <c r="D23">
        <v>26.331731796</v>
      </c>
      <c r="E23">
        <v>50</v>
      </c>
      <c r="F23">
        <v>14.994903563999999</v>
      </c>
      <c r="G23">
        <v>1400.4520264</v>
      </c>
      <c r="H23">
        <v>1379.6546631000001</v>
      </c>
      <c r="I23">
        <v>1277.090332</v>
      </c>
      <c r="J23">
        <v>1249.9803466999999</v>
      </c>
      <c r="K23">
        <v>1650</v>
      </c>
      <c r="L23">
        <v>0</v>
      </c>
      <c r="M23">
        <v>0</v>
      </c>
      <c r="N23">
        <v>1650</v>
      </c>
    </row>
    <row r="24" spans="1:14" x14ac:dyDescent="0.25">
      <c r="A24">
        <v>0.268121</v>
      </c>
      <c r="B24" s="1">
        <f>DATE(2010,5,1) + TIME(6,26,5)</f>
        <v>40299.268113425926</v>
      </c>
      <c r="C24">
        <v>80</v>
      </c>
      <c r="D24">
        <v>27.316249847000002</v>
      </c>
      <c r="E24">
        <v>50</v>
      </c>
      <c r="F24">
        <v>14.994927406</v>
      </c>
      <c r="G24">
        <v>1399.8348389</v>
      </c>
      <c r="H24">
        <v>1379.4575195</v>
      </c>
      <c r="I24">
        <v>1277.0959473</v>
      </c>
      <c r="J24">
        <v>1249.9858397999999</v>
      </c>
      <c r="K24">
        <v>1650</v>
      </c>
      <c r="L24">
        <v>0</v>
      </c>
      <c r="M24">
        <v>0</v>
      </c>
      <c r="N24">
        <v>1650</v>
      </c>
    </row>
    <row r="25" spans="1:14" x14ac:dyDescent="0.25">
      <c r="A25">
        <v>0.29176400000000002</v>
      </c>
      <c r="B25" s="1">
        <f>DATE(2010,5,1) + TIME(7,0,8)</f>
        <v>40299.291759259257</v>
      </c>
      <c r="C25">
        <v>80</v>
      </c>
      <c r="D25">
        <v>28.300449370999999</v>
      </c>
      <c r="E25">
        <v>50</v>
      </c>
      <c r="F25">
        <v>14.994950294000001</v>
      </c>
      <c r="G25">
        <v>1399.2403564000001</v>
      </c>
      <c r="H25">
        <v>1379.2670897999999</v>
      </c>
      <c r="I25">
        <v>1277.1005858999999</v>
      </c>
      <c r="J25">
        <v>1249.9903564000001</v>
      </c>
      <c r="K25">
        <v>1650</v>
      </c>
      <c r="L25">
        <v>0</v>
      </c>
      <c r="M25">
        <v>0</v>
      </c>
      <c r="N25">
        <v>1650</v>
      </c>
    </row>
    <row r="26" spans="1:14" x14ac:dyDescent="0.25">
      <c r="A26">
        <v>0.31578499999999998</v>
      </c>
      <c r="B26" s="1">
        <f>DATE(2010,5,1) + TIME(7,34,43)</f>
        <v>40299.315775462965</v>
      </c>
      <c r="C26">
        <v>80</v>
      </c>
      <c r="D26">
        <v>29.284322739</v>
      </c>
      <c r="E26">
        <v>50</v>
      </c>
      <c r="F26">
        <v>14.994974136</v>
      </c>
      <c r="G26">
        <v>1398.6680908000001</v>
      </c>
      <c r="H26">
        <v>1379.0836182</v>
      </c>
      <c r="I26">
        <v>1277.1043701000001</v>
      </c>
      <c r="J26">
        <v>1249.9940185999999</v>
      </c>
      <c r="K26">
        <v>1650</v>
      </c>
      <c r="L26">
        <v>0</v>
      </c>
      <c r="M26">
        <v>0</v>
      </c>
      <c r="N26">
        <v>1650</v>
      </c>
    </row>
    <row r="27" spans="1:14" x14ac:dyDescent="0.25">
      <c r="A27">
        <v>0.34020099999999998</v>
      </c>
      <c r="B27" s="1">
        <f>DATE(2010,5,1) + TIME(8,9,53)</f>
        <v>40299.340196759258</v>
      </c>
      <c r="C27">
        <v>80</v>
      </c>
      <c r="D27">
        <v>30.267913818</v>
      </c>
      <c r="E27">
        <v>50</v>
      </c>
      <c r="F27">
        <v>14.994997978000001</v>
      </c>
      <c r="G27">
        <v>1398.1174315999999</v>
      </c>
      <c r="H27">
        <v>1378.9071045000001</v>
      </c>
      <c r="I27">
        <v>1277.1076660000001</v>
      </c>
      <c r="J27">
        <v>1249.9970702999999</v>
      </c>
      <c r="K27">
        <v>1650</v>
      </c>
      <c r="L27">
        <v>0</v>
      </c>
      <c r="M27">
        <v>0</v>
      </c>
      <c r="N27">
        <v>1650</v>
      </c>
    </row>
    <row r="28" spans="1:14" x14ac:dyDescent="0.25">
      <c r="A28">
        <v>0.36502400000000002</v>
      </c>
      <c r="B28" s="1">
        <f>DATE(2010,5,1) + TIME(8,45,38)</f>
        <v>40299.365023148152</v>
      </c>
      <c r="C28">
        <v>80</v>
      </c>
      <c r="D28">
        <v>31.251255035</v>
      </c>
      <c r="E28">
        <v>50</v>
      </c>
      <c r="F28">
        <v>14.995020866000001</v>
      </c>
      <c r="G28">
        <v>1397.5874022999999</v>
      </c>
      <c r="H28">
        <v>1378.7374268000001</v>
      </c>
      <c r="I28">
        <v>1277.1104736</v>
      </c>
      <c r="J28">
        <v>1249.9997559000001</v>
      </c>
      <c r="K28">
        <v>1650</v>
      </c>
      <c r="L28">
        <v>0</v>
      </c>
      <c r="M28">
        <v>0</v>
      </c>
      <c r="N28">
        <v>1650</v>
      </c>
    </row>
    <row r="29" spans="1:14" x14ac:dyDescent="0.25">
      <c r="A29">
        <v>0.39026699999999998</v>
      </c>
      <c r="B29" s="1">
        <f>DATE(2010,5,1) + TIME(9,21,59)</f>
        <v>40299.390266203707</v>
      </c>
      <c r="C29">
        <v>80</v>
      </c>
      <c r="D29">
        <v>32.234073639000002</v>
      </c>
      <c r="E29">
        <v>50</v>
      </c>
      <c r="F29">
        <v>14.995044708</v>
      </c>
      <c r="G29">
        <v>1397.0772704999999</v>
      </c>
      <c r="H29">
        <v>1378.5743408000001</v>
      </c>
      <c r="I29">
        <v>1277.1129149999999</v>
      </c>
      <c r="J29">
        <v>1250.0020752</v>
      </c>
      <c r="K29">
        <v>1650</v>
      </c>
      <c r="L29">
        <v>0</v>
      </c>
      <c r="M29">
        <v>0</v>
      </c>
      <c r="N29">
        <v>1650</v>
      </c>
    </row>
    <row r="30" spans="1:14" x14ac:dyDescent="0.25">
      <c r="A30">
        <v>0.41595199999999999</v>
      </c>
      <c r="B30" s="1">
        <f>DATE(2010,5,1) + TIME(9,58,58)</f>
        <v>40299.415949074071</v>
      </c>
      <c r="C30">
        <v>80</v>
      </c>
      <c r="D30">
        <v>33.216506957999997</v>
      </c>
      <c r="E30">
        <v>50</v>
      </c>
      <c r="F30">
        <v>14.995067596</v>
      </c>
      <c r="G30">
        <v>1396.5860596</v>
      </c>
      <c r="H30">
        <v>1378.4176024999999</v>
      </c>
      <c r="I30">
        <v>1277.1152344</v>
      </c>
      <c r="J30">
        <v>1250.0041504000001</v>
      </c>
      <c r="K30">
        <v>1650</v>
      </c>
      <c r="L30">
        <v>0</v>
      </c>
      <c r="M30">
        <v>0</v>
      </c>
      <c r="N30">
        <v>1650</v>
      </c>
    </row>
    <row r="31" spans="1:14" x14ac:dyDescent="0.25">
      <c r="A31">
        <v>0.44209599999999999</v>
      </c>
      <c r="B31" s="1">
        <f>DATE(2010,5,1) + TIME(10,36,37)</f>
        <v>40299.442094907405</v>
      </c>
      <c r="C31">
        <v>80</v>
      </c>
      <c r="D31">
        <v>34.198539734000001</v>
      </c>
      <c r="E31">
        <v>50</v>
      </c>
      <c r="F31">
        <v>14.995091437999999</v>
      </c>
      <c r="G31">
        <v>1396.1129149999999</v>
      </c>
      <c r="H31">
        <v>1378.2669678</v>
      </c>
      <c r="I31">
        <v>1277.1173096</v>
      </c>
      <c r="J31">
        <v>1250.0059814000001</v>
      </c>
      <c r="K31">
        <v>1650</v>
      </c>
      <c r="L31">
        <v>0</v>
      </c>
      <c r="M31">
        <v>0</v>
      </c>
      <c r="N31">
        <v>1650</v>
      </c>
    </row>
    <row r="32" spans="1:14" x14ac:dyDescent="0.25">
      <c r="A32">
        <v>0.46871800000000002</v>
      </c>
      <c r="B32" s="1">
        <f>DATE(2010,5,1) + TIME(11,14,57)</f>
        <v>40299.468715277777</v>
      </c>
      <c r="C32">
        <v>80</v>
      </c>
      <c r="D32">
        <v>35.180152892999999</v>
      </c>
      <c r="E32">
        <v>50</v>
      </c>
      <c r="F32">
        <v>14.995114325999999</v>
      </c>
      <c r="G32">
        <v>1395.6572266000001</v>
      </c>
      <c r="H32">
        <v>1378.1220702999999</v>
      </c>
      <c r="I32">
        <v>1277.1192627</v>
      </c>
      <c r="J32">
        <v>1250.0078125</v>
      </c>
      <c r="K32">
        <v>1650</v>
      </c>
      <c r="L32">
        <v>0</v>
      </c>
      <c r="M32">
        <v>0</v>
      </c>
      <c r="N32">
        <v>1650</v>
      </c>
    </row>
    <row r="33" spans="1:14" x14ac:dyDescent="0.25">
      <c r="A33">
        <v>0.49583899999999997</v>
      </c>
      <c r="B33" s="1">
        <f>DATE(2010,5,1) + TIME(11,54,0)</f>
        <v>40299.495833333334</v>
      </c>
      <c r="C33">
        <v>80</v>
      </c>
      <c r="D33">
        <v>36.161331177000001</v>
      </c>
      <c r="E33">
        <v>50</v>
      </c>
      <c r="F33">
        <v>14.995138168</v>
      </c>
      <c r="G33">
        <v>1395.2180175999999</v>
      </c>
      <c r="H33">
        <v>1377.9827881000001</v>
      </c>
      <c r="I33">
        <v>1277.1210937999999</v>
      </c>
      <c r="J33">
        <v>1250.0093993999999</v>
      </c>
      <c r="K33">
        <v>1650</v>
      </c>
      <c r="L33">
        <v>0</v>
      </c>
      <c r="M33">
        <v>0</v>
      </c>
      <c r="N33">
        <v>1650</v>
      </c>
    </row>
    <row r="34" spans="1:14" x14ac:dyDescent="0.25">
      <c r="A34">
        <v>0.52347999999999995</v>
      </c>
      <c r="B34" s="1">
        <f>DATE(2010,5,1) + TIME(12,33,48)</f>
        <v>40299.523472222223</v>
      </c>
      <c r="C34">
        <v>80</v>
      </c>
      <c r="D34">
        <v>37.142055511000002</v>
      </c>
      <c r="E34">
        <v>50</v>
      </c>
      <c r="F34">
        <v>14.99516201</v>
      </c>
      <c r="G34">
        <v>1394.7944336</v>
      </c>
      <c r="H34">
        <v>1377.8486327999999</v>
      </c>
      <c r="I34">
        <v>1277.1228027</v>
      </c>
      <c r="J34">
        <v>1250.0109863</v>
      </c>
      <c r="K34">
        <v>1650</v>
      </c>
      <c r="L34">
        <v>0</v>
      </c>
      <c r="M34">
        <v>0</v>
      </c>
      <c r="N34">
        <v>1650</v>
      </c>
    </row>
    <row r="35" spans="1:14" x14ac:dyDescent="0.25">
      <c r="A35">
        <v>0.55166499999999996</v>
      </c>
      <c r="B35" s="1">
        <f>DATE(2010,5,1) + TIME(13,14,23)</f>
        <v>40299.551655092589</v>
      </c>
      <c r="C35">
        <v>80</v>
      </c>
      <c r="D35">
        <v>38.122299194</v>
      </c>
      <c r="E35">
        <v>50</v>
      </c>
      <c r="F35">
        <v>14.995184898</v>
      </c>
      <c r="G35">
        <v>1394.3859863</v>
      </c>
      <c r="H35">
        <v>1377.7194824000001</v>
      </c>
      <c r="I35">
        <v>1277.1245117000001</v>
      </c>
      <c r="J35">
        <v>1250.0124512</v>
      </c>
      <c r="K35">
        <v>1650</v>
      </c>
      <c r="L35">
        <v>0</v>
      </c>
      <c r="M35">
        <v>0</v>
      </c>
      <c r="N35">
        <v>1650</v>
      </c>
    </row>
    <row r="36" spans="1:14" x14ac:dyDescent="0.25">
      <c r="A36">
        <v>0.58041699999999996</v>
      </c>
      <c r="B36" s="1">
        <f>DATE(2010,5,1) + TIME(13,55,48)</f>
        <v>40299.580416666664</v>
      </c>
      <c r="C36">
        <v>80</v>
      </c>
      <c r="D36">
        <v>39.102043152</v>
      </c>
      <c r="E36">
        <v>50</v>
      </c>
      <c r="F36">
        <v>14.995208740000001</v>
      </c>
      <c r="G36">
        <v>1393.9919434000001</v>
      </c>
      <c r="H36">
        <v>1377.5950928</v>
      </c>
      <c r="I36">
        <v>1277.1260986</v>
      </c>
      <c r="J36">
        <v>1250.0137939000001</v>
      </c>
      <c r="K36">
        <v>1650</v>
      </c>
      <c r="L36">
        <v>0</v>
      </c>
      <c r="M36">
        <v>0</v>
      </c>
      <c r="N36">
        <v>1650</v>
      </c>
    </row>
    <row r="37" spans="1:14" x14ac:dyDescent="0.25">
      <c r="A37">
        <v>0.60976399999999997</v>
      </c>
      <c r="B37" s="1">
        <f>DATE(2010,5,1) + TIME(14,38,3)</f>
        <v>40299.609756944446</v>
      </c>
      <c r="C37">
        <v>80</v>
      </c>
      <c r="D37">
        <v>40.081283569</v>
      </c>
      <c r="E37">
        <v>50</v>
      </c>
      <c r="F37">
        <v>14.995232582</v>
      </c>
      <c r="G37">
        <v>1393.6114502</v>
      </c>
      <c r="H37">
        <v>1377.4752197</v>
      </c>
      <c r="I37">
        <v>1277.1275635</v>
      </c>
      <c r="J37">
        <v>1250.0150146000001</v>
      </c>
      <c r="K37">
        <v>1650</v>
      </c>
      <c r="L37">
        <v>0</v>
      </c>
      <c r="M37">
        <v>0</v>
      </c>
      <c r="N37">
        <v>1650</v>
      </c>
    </row>
    <row r="38" spans="1:14" x14ac:dyDescent="0.25">
      <c r="A38">
        <v>0.639733</v>
      </c>
      <c r="B38" s="1">
        <f>DATE(2010,5,1) + TIME(15,21,12)</f>
        <v>40299.639722222222</v>
      </c>
      <c r="C38">
        <v>80</v>
      </c>
      <c r="D38">
        <v>41.060161591000004</v>
      </c>
      <c r="E38">
        <v>50</v>
      </c>
      <c r="F38">
        <v>14.995256424000001</v>
      </c>
      <c r="G38">
        <v>1393.2440185999999</v>
      </c>
      <c r="H38">
        <v>1377.3594971</v>
      </c>
      <c r="I38">
        <v>1277.1290283000001</v>
      </c>
      <c r="J38">
        <v>1250.0162353999999</v>
      </c>
      <c r="K38">
        <v>1650</v>
      </c>
      <c r="L38">
        <v>0</v>
      </c>
      <c r="M38">
        <v>0</v>
      </c>
      <c r="N38">
        <v>1650</v>
      </c>
    </row>
    <row r="39" spans="1:14" x14ac:dyDescent="0.25">
      <c r="A39">
        <v>0.67034899999999997</v>
      </c>
      <c r="B39" s="1">
        <f>DATE(2010,5,1) + TIME(16,5,18)</f>
        <v>40299.670347222222</v>
      </c>
      <c r="C39">
        <v>80</v>
      </c>
      <c r="D39">
        <v>42.038265228</v>
      </c>
      <c r="E39">
        <v>50</v>
      </c>
      <c r="F39">
        <v>14.995280266</v>
      </c>
      <c r="G39">
        <v>1392.8889160000001</v>
      </c>
      <c r="H39">
        <v>1377.2476807</v>
      </c>
      <c r="I39">
        <v>1277.1304932</v>
      </c>
      <c r="J39">
        <v>1250.0173339999999</v>
      </c>
      <c r="K39">
        <v>1650</v>
      </c>
      <c r="L39">
        <v>0</v>
      </c>
      <c r="M39">
        <v>0</v>
      </c>
      <c r="N39">
        <v>1650</v>
      </c>
    </row>
    <row r="40" spans="1:14" x14ac:dyDescent="0.25">
      <c r="A40">
        <v>0.70165</v>
      </c>
      <c r="B40" s="1">
        <f>DATE(2010,5,1) + TIME(16,50,22)</f>
        <v>40299.701643518521</v>
      </c>
      <c r="C40">
        <v>80</v>
      </c>
      <c r="D40">
        <v>43.015762328999998</v>
      </c>
      <c r="E40">
        <v>50</v>
      </c>
      <c r="F40">
        <v>14.995304107999999</v>
      </c>
      <c r="G40">
        <v>1392.5457764</v>
      </c>
      <c r="H40">
        <v>1377.1396483999999</v>
      </c>
      <c r="I40">
        <v>1277.1318358999999</v>
      </c>
      <c r="J40">
        <v>1250.0184326000001</v>
      </c>
      <c r="K40">
        <v>1650</v>
      </c>
      <c r="L40">
        <v>0</v>
      </c>
      <c r="M40">
        <v>0</v>
      </c>
      <c r="N40">
        <v>1650</v>
      </c>
    </row>
    <row r="41" spans="1:14" x14ac:dyDescent="0.25">
      <c r="A41">
        <v>0.73367199999999999</v>
      </c>
      <c r="B41" s="1">
        <f>DATE(2010,5,1) + TIME(17,36,29)</f>
        <v>40299.733668981484</v>
      </c>
      <c r="C41">
        <v>80</v>
      </c>
      <c r="D41">
        <v>43.992614746000001</v>
      </c>
      <c r="E41">
        <v>50</v>
      </c>
      <c r="F41">
        <v>14.99532795</v>
      </c>
      <c r="G41">
        <v>1392.2138672000001</v>
      </c>
      <c r="H41">
        <v>1377.0351562000001</v>
      </c>
      <c r="I41">
        <v>1277.1330565999999</v>
      </c>
      <c r="J41">
        <v>1250.0194091999999</v>
      </c>
      <c r="K41">
        <v>1650</v>
      </c>
      <c r="L41">
        <v>0</v>
      </c>
      <c r="M41">
        <v>0</v>
      </c>
      <c r="N41">
        <v>1650</v>
      </c>
    </row>
    <row r="42" spans="1:14" x14ac:dyDescent="0.25">
      <c r="A42">
        <v>0.76645200000000002</v>
      </c>
      <c r="B42" s="1">
        <f>DATE(2010,5,1) + TIME(18,23,41)</f>
        <v>40299.766446759262</v>
      </c>
      <c r="C42">
        <v>80</v>
      </c>
      <c r="D42">
        <v>44.968791961999997</v>
      </c>
      <c r="E42">
        <v>50</v>
      </c>
      <c r="F42">
        <v>14.995351790999999</v>
      </c>
      <c r="G42">
        <v>1391.8927002</v>
      </c>
      <c r="H42">
        <v>1376.9338379000001</v>
      </c>
      <c r="I42">
        <v>1277.1342772999999</v>
      </c>
      <c r="J42">
        <v>1250.0203856999999</v>
      </c>
      <c r="K42">
        <v>1650</v>
      </c>
      <c r="L42">
        <v>0</v>
      </c>
      <c r="M42">
        <v>0</v>
      </c>
      <c r="N42">
        <v>1650</v>
      </c>
    </row>
    <row r="43" spans="1:14" x14ac:dyDescent="0.25">
      <c r="A43">
        <v>0.80003199999999997</v>
      </c>
      <c r="B43" s="1">
        <f>DATE(2010,5,1) + TIME(19,12,2)</f>
        <v>40299.800023148149</v>
      </c>
      <c r="C43">
        <v>80</v>
      </c>
      <c r="D43">
        <v>45.944259643999999</v>
      </c>
      <c r="E43">
        <v>50</v>
      </c>
      <c r="F43">
        <v>14.995376587000001</v>
      </c>
      <c r="G43">
        <v>1391.5817870999999</v>
      </c>
      <c r="H43">
        <v>1376.8355713000001</v>
      </c>
      <c r="I43">
        <v>1277.1354980000001</v>
      </c>
      <c r="J43">
        <v>1250.0213623</v>
      </c>
      <c r="K43">
        <v>1650</v>
      </c>
      <c r="L43">
        <v>0</v>
      </c>
      <c r="M43">
        <v>0</v>
      </c>
      <c r="N43">
        <v>1650</v>
      </c>
    </row>
    <row r="44" spans="1:14" x14ac:dyDescent="0.25">
      <c r="A44">
        <v>0.83445800000000003</v>
      </c>
      <c r="B44" s="1">
        <f>DATE(2010,5,1) + TIME(20,1,37)</f>
        <v>40299.834456018521</v>
      </c>
      <c r="C44">
        <v>80</v>
      </c>
      <c r="D44">
        <v>46.918968200999998</v>
      </c>
      <c r="E44">
        <v>50</v>
      </c>
      <c r="F44">
        <v>14.995400429</v>
      </c>
      <c r="G44">
        <v>1391.2806396000001</v>
      </c>
      <c r="H44">
        <v>1376.7402344</v>
      </c>
      <c r="I44">
        <v>1277.1367187999999</v>
      </c>
      <c r="J44">
        <v>1250.0222168</v>
      </c>
      <c r="K44">
        <v>1650</v>
      </c>
      <c r="L44">
        <v>0</v>
      </c>
      <c r="M44">
        <v>0</v>
      </c>
      <c r="N44">
        <v>1650</v>
      </c>
    </row>
    <row r="45" spans="1:14" x14ac:dyDescent="0.25">
      <c r="A45">
        <v>0.86977599999999999</v>
      </c>
      <c r="B45" s="1">
        <f>DATE(2010,5,1) + TIME(20,52,28)</f>
        <v>40299.869768518518</v>
      </c>
      <c r="C45">
        <v>80</v>
      </c>
      <c r="D45">
        <v>47.892879485999998</v>
      </c>
      <c r="E45">
        <v>50</v>
      </c>
      <c r="F45">
        <v>14.995424270999999</v>
      </c>
      <c r="G45">
        <v>1390.9887695</v>
      </c>
      <c r="H45">
        <v>1376.6474608999999</v>
      </c>
      <c r="I45">
        <v>1277.1378173999999</v>
      </c>
      <c r="J45">
        <v>1250.0230713000001</v>
      </c>
      <c r="K45">
        <v>1650</v>
      </c>
      <c r="L45">
        <v>0</v>
      </c>
      <c r="M45">
        <v>0</v>
      </c>
      <c r="N45">
        <v>1650</v>
      </c>
    </row>
    <row r="46" spans="1:14" x14ac:dyDescent="0.25">
      <c r="A46">
        <v>0.90603999999999996</v>
      </c>
      <c r="B46" s="1">
        <f>DATE(2010,5,1) + TIME(21,44,41)</f>
        <v>40299.906030092592</v>
      </c>
      <c r="C46">
        <v>80</v>
      </c>
      <c r="D46">
        <v>48.865940094000003</v>
      </c>
      <c r="E46">
        <v>50</v>
      </c>
      <c r="F46">
        <v>14.995449066000001</v>
      </c>
      <c r="G46">
        <v>1390.7056885</v>
      </c>
      <c r="H46">
        <v>1376.5571289</v>
      </c>
      <c r="I46">
        <v>1277.1389160000001</v>
      </c>
      <c r="J46">
        <v>1250.0239257999999</v>
      </c>
      <c r="K46">
        <v>1650</v>
      </c>
      <c r="L46">
        <v>0</v>
      </c>
      <c r="M46">
        <v>0</v>
      </c>
      <c r="N46">
        <v>1650</v>
      </c>
    </row>
    <row r="47" spans="1:14" x14ac:dyDescent="0.25">
      <c r="A47">
        <v>0.94330800000000004</v>
      </c>
      <c r="B47" s="1">
        <f>DATE(2010,5,1) + TIME(22,38,21)</f>
        <v>40299.943298611113</v>
      </c>
      <c r="C47">
        <v>80</v>
      </c>
      <c r="D47">
        <v>49.838104248</v>
      </c>
      <c r="E47">
        <v>50</v>
      </c>
      <c r="F47">
        <v>14.995473862000001</v>
      </c>
      <c r="G47">
        <v>1390.4309082</v>
      </c>
      <c r="H47">
        <v>1376.4691161999999</v>
      </c>
      <c r="I47">
        <v>1277.1400146000001</v>
      </c>
      <c r="J47">
        <v>1250.0246582</v>
      </c>
      <c r="K47">
        <v>1650</v>
      </c>
      <c r="L47">
        <v>0</v>
      </c>
      <c r="M47">
        <v>0</v>
      </c>
      <c r="N47">
        <v>1650</v>
      </c>
    </row>
    <row r="48" spans="1:14" x14ac:dyDescent="0.25">
      <c r="A48">
        <v>0.98164399999999996</v>
      </c>
      <c r="B48" s="1">
        <f>DATE(2010,5,1) + TIME(23,33,34)</f>
        <v>40299.98164351852</v>
      </c>
      <c r="C48">
        <v>80</v>
      </c>
      <c r="D48">
        <v>50.808925629000001</v>
      </c>
      <c r="E48">
        <v>50</v>
      </c>
      <c r="F48">
        <v>14.995498657000001</v>
      </c>
      <c r="G48">
        <v>1390.1641846</v>
      </c>
      <c r="H48">
        <v>1376.3829346</v>
      </c>
      <c r="I48">
        <v>1277.1411132999999</v>
      </c>
      <c r="J48">
        <v>1250.0253906</v>
      </c>
      <c r="K48">
        <v>1650</v>
      </c>
      <c r="L48">
        <v>0</v>
      </c>
      <c r="M48">
        <v>0</v>
      </c>
      <c r="N48">
        <v>1650</v>
      </c>
    </row>
    <row r="49" spans="1:14" x14ac:dyDescent="0.25">
      <c r="A49">
        <v>1.0211319999999999</v>
      </c>
      <c r="B49" s="1">
        <f>DATE(2010,5,2) + TIME(0,30,25)</f>
        <v>40300.021122685182</v>
      </c>
      <c r="C49">
        <v>80</v>
      </c>
      <c r="D49">
        <v>51.779006957999997</v>
      </c>
      <c r="E49">
        <v>50</v>
      </c>
      <c r="F49">
        <v>14.995523453000001</v>
      </c>
      <c r="G49">
        <v>1389.9049072</v>
      </c>
      <c r="H49">
        <v>1376.2985839999999</v>
      </c>
      <c r="I49">
        <v>1277.1422118999999</v>
      </c>
      <c r="J49">
        <v>1250.0261230000001</v>
      </c>
      <c r="K49">
        <v>1650</v>
      </c>
      <c r="L49">
        <v>0</v>
      </c>
      <c r="M49">
        <v>0</v>
      </c>
      <c r="N49">
        <v>1650</v>
      </c>
    </row>
    <row r="50" spans="1:14" x14ac:dyDescent="0.25">
      <c r="A50">
        <v>1.0618369999999999</v>
      </c>
      <c r="B50" s="1">
        <f>DATE(2010,5,2) + TIME(1,29,2)</f>
        <v>40300.061828703707</v>
      </c>
      <c r="C50">
        <v>80</v>
      </c>
      <c r="D50">
        <v>52.748065947999997</v>
      </c>
      <c r="E50">
        <v>50</v>
      </c>
      <c r="F50">
        <v>14.995548248</v>
      </c>
      <c r="G50">
        <v>1389.6527100000001</v>
      </c>
      <c r="H50">
        <v>1376.2159423999999</v>
      </c>
      <c r="I50">
        <v>1277.1431885</v>
      </c>
      <c r="J50">
        <v>1250.0268555</v>
      </c>
      <c r="K50">
        <v>1650</v>
      </c>
      <c r="L50">
        <v>0</v>
      </c>
      <c r="M50">
        <v>0</v>
      </c>
      <c r="N50">
        <v>1650</v>
      </c>
    </row>
    <row r="51" spans="1:14" x14ac:dyDescent="0.25">
      <c r="A51">
        <v>1.103842</v>
      </c>
      <c r="B51" s="1">
        <f>DATE(2010,5,2) + TIME(2,29,31)</f>
        <v>40300.103831018518</v>
      </c>
      <c r="C51">
        <v>80</v>
      </c>
      <c r="D51">
        <v>53.715961456000002</v>
      </c>
      <c r="E51">
        <v>50</v>
      </c>
      <c r="F51">
        <v>14.995573996999999</v>
      </c>
      <c r="G51">
        <v>1389.4073486</v>
      </c>
      <c r="H51">
        <v>1376.1347656</v>
      </c>
      <c r="I51">
        <v>1277.1442870999999</v>
      </c>
      <c r="J51">
        <v>1250.0275879000001</v>
      </c>
      <c r="K51">
        <v>1650</v>
      </c>
      <c r="L51">
        <v>0</v>
      </c>
      <c r="M51">
        <v>0</v>
      </c>
      <c r="N51">
        <v>1650</v>
      </c>
    </row>
    <row r="52" spans="1:14" x14ac:dyDescent="0.25">
      <c r="A52">
        <v>1.147241</v>
      </c>
      <c r="B52" s="1">
        <f>DATE(2010,5,2) + TIME(3,32,1)</f>
        <v>40300.147233796299</v>
      </c>
      <c r="C52">
        <v>80</v>
      </c>
      <c r="D52">
        <v>54.682605743000003</v>
      </c>
      <c r="E52">
        <v>50</v>
      </c>
      <c r="F52">
        <v>14.995598792999999</v>
      </c>
      <c r="G52">
        <v>1389.1682129000001</v>
      </c>
      <c r="H52">
        <v>1376.0546875</v>
      </c>
      <c r="I52">
        <v>1277.1452637</v>
      </c>
      <c r="J52">
        <v>1250.0281981999999</v>
      </c>
      <c r="K52">
        <v>1650</v>
      </c>
      <c r="L52">
        <v>0</v>
      </c>
      <c r="M52">
        <v>0</v>
      </c>
      <c r="N52">
        <v>1650</v>
      </c>
    </row>
    <row r="53" spans="1:14" x14ac:dyDescent="0.25">
      <c r="A53">
        <v>1.192137</v>
      </c>
      <c r="B53" s="1">
        <f>DATE(2010,5,2) + TIME(4,36,40)</f>
        <v>40300.192129629628</v>
      </c>
      <c r="C53">
        <v>80</v>
      </c>
      <c r="D53">
        <v>55.647903442</v>
      </c>
      <c r="E53">
        <v>50</v>
      </c>
      <c r="F53">
        <v>14.995624542</v>
      </c>
      <c r="G53">
        <v>1388.9350586</v>
      </c>
      <c r="H53">
        <v>1375.9755858999999</v>
      </c>
      <c r="I53">
        <v>1277.1463623</v>
      </c>
      <c r="J53">
        <v>1250.0289307</v>
      </c>
      <c r="K53">
        <v>1650</v>
      </c>
      <c r="L53">
        <v>0</v>
      </c>
      <c r="M53">
        <v>0</v>
      </c>
      <c r="N53">
        <v>1650</v>
      </c>
    </row>
    <row r="54" spans="1:14" x14ac:dyDescent="0.25">
      <c r="A54">
        <v>1.2386470000000001</v>
      </c>
      <c r="B54" s="1">
        <f>DATE(2010,5,2) + TIME(5,43,39)</f>
        <v>40300.238645833335</v>
      </c>
      <c r="C54">
        <v>80</v>
      </c>
      <c r="D54">
        <v>56.611751556000002</v>
      </c>
      <c r="E54">
        <v>50</v>
      </c>
      <c r="F54">
        <v>14.995651244999999</v>
      </c>
      <c r="G54">
        <v>1388.7073975000001</v>
      </c>
      <c r="H54">
        <v>1375.8973389</v>
      </c>
      <c r="I54">
        <v>1277.1473389</v>
      </c>
      <c r="J54">
        <v>1250.0295410000001</v>
      </c>
      <c r="K54">
        <v>1650</v>
      </c>
      <c r="L54">
        <v>0</v>
      </c>
      <c r="M54">
        <v>0</v>
      </c>
      <c r="N54">
        <v>1650</v>
      </c>
    </row>
    <row r="55" spans="1:14" x14ac:dyDescent="0.25">
      <c r="A55">
        <v>1.2869010000000001</v>
      </c>
      <c r="B55" s="1">
        <f>DATE(2010,5,2) + TIME(6,53,8)</f>
        <v>40300.286898148152</v>
      </c>
      <c r="C55">
        <v>80</v>
      </c>
      <c r="D55">
        <v>57.574035645000002</v>
      </c>
      <c r="E55">
        <v>50</v>
      </c>
      <c r="F55">
        <v>14.995676994</v>
      </c>
      <c r="G55">
        <v>1388.4849853999999</v>
      </c>
      <c r="H55">
        <v>1375.8195800999999</v>
      </c>
      <c r="I55">
        <v>1277.1484375</v>
      </c>
      <c r="J55">
        <v>1250.0302733999999</v>
      </c>
      <c r="K55">
        <v>1650</v>
      </c>
      <c r="L55">
        <v>0</v>
      </c>
      <c r="M55">
        <v>0</v>
      </c>
      <c r="N55">
        <v>1650</v>
      </c>
    </row>
    <row r="56" spans="1:14" x14ac:dyDescent="0.25">
      <c r="A56">
        <v>1.3370470000000001</v>
      </c>
      <c r="B56" s="1">
        <f>DATE(2010,5,2) + TIME(8,5,20)</f>
        <v>40300.337037037039</v>
      </c>
      <c r="C56">
        <v>80</v>
      </c>
      <c r="D56">
        <v>58.534629821999999</v>
      </c>
      <c r="E56">
        <v>50</v>
      </c>
      <c r="F56">
        <v>14.995703697</v>
      </c>
      <c r="G56">
        <v>1388.2674560999999</v>
      </c>
      <c r="H56">
        <v>1375.7420654</v>
      </c>
      <c r="I56">
        <v>1277.1495361</v>
      </c>
      <c r="J56">
        <v>1250.0310059000001</v>
      </c>
      <c r="K56">
        <v>1650</v>
      </c>
      <c r="L56">
        <v>0</v>
      </c>
      <c r="M56">
        <v>0</v>
      </c>
      <c r="N56">
        <v>1650</v>
      </c>
    </row>
    <row r="57" spans="1:14" x14ac:dyDescent="0.25">
      <c r="A57">
        <v>1.3892500000000001</v>
      </c>
      <c r="B57" s="1">
        <f>DATE(2010,5,2) + TIME(9,20,31)</f>
        <v>40300.389247685183</v>
      </c>
      <c r="C57">
        <v>80</v>
      </c>
      <c r="D57">
        <v>59.493381499999998</v>
      </c>
      <c r="E57">
        <v>50</v>
      </c>
      <c r="F57">
        <v>14.995730399999999</v>
      </c>
      <c r="G57">
        <v>1388.0543213000001</v>
      </c>
      <c r="H57">
        <v>1375.6646728999999</v>
      </c>
      <c r="I57">
        <v>1277.1506348</v>
      </c>
      <c r="J57">
        <v>1250.0316161999999</v>
      </c>
      <c r="K57">
        <v>1650</v>
      </c>
      <c r="L57">
        <v>0</v>
      </c>
      <c r="M57">
        <v>0</v>
      </c>
      <c r="N57">
        <v>1650</v>
      </c>
    </row>
    <row r="58" spans="1:14" x14ac:dyDescent="0.25">
      <c r="A58">
        <v>1.4436990000000001</v>
      </c>
      <c r="B58" s="1">
        <f>DATE(2010,5,2) + TIME(10,38,55)</f>
        <v>40300.443692129629</v>
      </c>
      <c r="C58">
        <v>80</v>
      </c>
      <c r="D58">
        <v>60.449798584</v>
      </c>
      <c r="E58">
        <v>50</v>
      </c>
      <c r="F58">
        <v>14.995757103000001</v>
      </c>
      <c r="G58">
        <v>1387.8452147999999</v>
      </c>
      <c r="H58">
        <v>1375.5871582</v>
      </c>
      <c r="I58">
        <v>1277.1517334</v>
      </c>
      <c r="J58">
        <v>1250.0323486</v>
      </c>
      <c r="K58">
        <v>1650</v>
      </c>
      <c r="L58">
        <v>0</v>
      </c>
      <c r="M58">
        <v>0</v>
      </c>
      <c r="N58">
        <v>1650</v>
      </c>
    </row>
    <row r="59" spans="1:14" x14ac:dyDescent="0.25">
      <c r="A59">
        <v>1.500629</v>
      </c>
      <c r="B59" s="1">
        <f>DATE(2010,5,2) + TIME(12,0,54)</f>
        <v>40300.500625000001</v>
      </c>
      <c r="C59">
        <v>80</v>
      </c>
      <c r="D59">
        <v>61.403957366999997</v>
      </c>
      <c r="E59">
        <v>50</v>
      </c>
      <c r="F59">
        <v>14.995784759999999</v>
      </c>
      <c r="G59">
        <v>1387.6397704999999</v>
      </c>
      <c r="H59">
        <v>1375.5090332</v>
      </c>
      <c r="I59">
        <v>1277.1529541</v>
      </c>
      <c r="J59">
        <v>1250.0330810999999</v>
      </c>
      <c r="K59">
        <v>1650</v>
      </c>
      <c r="L59">
        <v>0</v>
      </c>
      <c r="M59">
        <v>0</v>
      </c>
      <c r="N59">
        <v>1650</v>
      </c>
    </row>
    <row r="60" spans="1:14" x14ac:dyDescent="0.25">
      <c r="A60">
        <v>1.5602940000000001</v>
      </c>
      <c r="B60" s="1">
        <f>DATE(2010,5,2) + TIME(13,26,49)</f>
        <v>40300.560289351852</v>
      </c>
      <c r="C60">
        <v>80</v>
      </c>
      <c r="D60">
        <v>62.356033324999999</v>
      </c>
      <c r="E60">
        <v>50</v>
      </c>
      <c r="F60">
        <v>14.99581337</v>
      </c>
      <c r="G60">
        <v>1387.4373779</v>
      </c>
      <c r="H60">
        <v>1375.4301757999999</v>
      </c>
      <c r="I60">
        <v>1277.1540527</v>
      </c>
      <c r="J60">
        <v>1250.0339355000001</v>
      </c>
      <c r="K60">
        <v>1650</v>
      </c>
      <c r="L60">
        <v>0</v>
      </c>
      <c r="M60">
        <v>0</v>
      </c>
      <c r="N60">
        <v>1650</v>
      </c>
    </row>
    <row r="61" spans="1:14" x14ac:dyDescent="0.25">
      <c r="A61">
        <v>1.622962</v>
      </c>
      <c r="B61" s="1">
        <f>DATE(2010,5,2) + TIME(14,57,3)</f>
        <v>40300.62295138889</v>
      </c>
      <c r="C61">
        <v>80</v>
      </c>
      <c r="D61">
        <v>63.305461884000003</v>
      </c>
      <c r="E61">
        <v>50</v>
      </c>
      <c r="F61">
        <v>14.99584198</v>
      </c>
      <c r="G61">
        <v>1387.2379149999999</v>
      </c>
      <c r="H61">
        <v>1375.3500977000001</v>
      </c>
      <c r="I61">
        <v>1277.1553954999999</v>
      </c>
      <c r="J61">
        <v>1250.034668</v>
      </c>
      <c r="K61">
        <v>1650</v>
      </c>
      <c r="L61">
        <v>0</v>
      </c>
      <c r="M61">
        <v>0</v>
      </c>
      <c r="N61">
        <v>1650</v>
      </c>
    </row>
    <row r="62" spans="1:14" x14ac:dyDescent="0.25">
      <c r="A62">
        <v>1.6889689999999999</v>
      </c>
      <c r="B62" s="1">
        <f>DATE(2010,5,2) + TIME(16,32,6)</f>
        <v>40300.688958333332</v>
      </c>
      <c r="C62">
        <v>80</v>
      </c>
      <c r="D62">
        <v>64.251945496000005</v>
      </c>
      <c r="E62">
        <v>50</v>
      </c>
      <c r="F62">
        <v>14.995870589999999</v>
      </c>
      <c r="G62">
        <v>1387.0408935999999</v>
      </c>
      <c r="H62">
        <v>1375.2686768000001</v>
      </c>
      <c r="I62">
        <v>1277.1566161999999</v>
      </c>
      <c r="J62">
        <v>1250.0356445</v>
      </c>
      <c r="K62">
        <v>1650</v>
      </c>
      <c r="L62">
        <v>0</v>
      </c>
      <c r="M62">
        <v>0</v>
      </c>
      <c r="N62">
        <v>1650</v>
      </c>
    </row>
    <row r="63" spans="1:14" x14ac:dyDescent="0.25">
      <c r="A63">
        <v>1.758707</v>
      </c>
      <c r="B63" s="1">
        <f>DATE(2010,5,2) + TIME(18,12,32)</f>
        <v>40300.758703703701</v>
      </c>
      <c r="C63">
        <v>80</v>
      </c>
      <c r="D63">
        <v>65.195213318</v>
      </c>
      <c r="E63">
        <v>50</v>
      </c>
      <c r="F63">
        <v>14.995900153999999</v>
      </c>
      <c r="G63">
        <v>1386.8457031</v>
      </c>
      <c r="H63">
        <v>1375.1853027</v>
      </c>
      <c r="I63">
        <v>1277.1580810999999</v>
      </c>
      <c r="J63">
        <v>1250.036499</v>
      </c>
      <c r="K63">
        <v>1650</v>
      </c>
      <c r="L63">
        <v>0</v>
      </c>
      <c r="M63">
        <v>0</v>
      </c>
      <c r="N63">
        <v>1650</v>
      </c>
    </row>
    <row r="64" spans="1:14" x14ac:dyDescent="0.25">
      <c r="A64">
        <v>1.83264</v>
      </c>
      <c r="B64" s="1">
        <f>DATE(2010,5,2) + TIME(19,59,0)</f>
        <v>40300.832638888889</v>
      </c>
      <c r="C64">
        <v>80</v>
      </c>
      <c r="D64">
        <v>66.134971618999998</v>
      </c>
      <c r="E64">
        <v>50</v>
      </c>
      <c r="F64">
        <v>14.995929717999999</v>
      </c>
      <c r="G64">
        <v>1386.6517334</v>
      </c>
      <c r="H64">
        <v>1375.0997314000001</v>
      </c>
      <c r="I64">
        <v>1277.1594238</v>
      </c>
      <c r="J64">
        <v>1250.0374756000001</v>
      </c>
      <c r="K64">
        <v>1650</v>
      </c>
      <c r="L64">
        <v>0</v>
      </c>
      <c r="M64">
        <v>0</v>
      </c>
      <c r="N64">
        <v>1650</v>
      </c>
    </row>
    <row r="65" spans="1:14" x14ac:dyDescent="0.25">
      <c r="A65">
        <v>1.911313</v>
      </c>
      <c r="B65" s="1">
        <f>DATE(2010,5,2) + TIME(21,52,17)</f>
        <v>40300.911307870374</v>
      </c>
      <c r="C65">
        <v>80</v>
      </c>
      <c r="D65">
        <v>67.070449828999998</v>
      </c>
      <c r="E65">
        <v>50</v>
      </c>
      <c r="F65">
        <v>14.995961189000001</v>
      </c>
      <c r="G65">
        <v>1386.4586182</v>
      </c>
      <c r="H65">
        <v>1375.0112305</v>
      </c>
      <c r="I65">
        <v>1277.1610106999999</v>
      </c>
      <c r="J65">
        <v>1250.0385742000001</v>
      </c>
      <c r="K65">
        <v>1650</v>
      </c>
      <c r="L65">
        <v>0</v>
      </c>
      <c r="M65">
        <v>0</v>
      </c>
      <c r="N65">
        <v>1650</v>
      </c>
    </row>
    <row r="66" spans="1:14" x14ac:dyDescent="0.25">
      <c r="A66">
        <v>1.950987</v>
      </c>
      <c r="B66" s="1">
        <f>DATE(2010,5,2) + TIME(22,49,25)</f>
        <v>40300.950983796298</v>
      </c>
      <c r="C66">
        <v>80</v>
      </c>
      <c r="D66">
        <v>67.527328491000006</v>
      </c>
      <c r="E66">
        <v>50</v>
      </c>
      <c r="F66">
        <v>14.995976448</v>
      </c>
      <c r="G66">
        <v>1386.3664550999999</v>
      </c>
      <c r="H66">
        <v>1374.9450684000001</v>
      </c>
      <c r="I66">
        <v>1277.1623535000001</v>
      </c>
      <c r="J66">
        <v>1250.0394286999999</v>
      </c>
      <c r="K66">
        <v>1650</v>
      </c>
      <c r="L66">
        <v>0</v>
      </c>
      <c r="M66">
        <v>0</v>
      </c>
      <c r="N66">
        <v>1650</v>
      </c>
    </row>
    <row r="67" spans="1:14" x14ac:dyDescent="0.25">
      <c r="A67">
        <v>1.9906619999999999</v>
      </c>
      <c r="B67" s="1">
        <f>DATE(2010,5,2) + TIME(23,46,33)</f>
        <v>40300.990659722222</v>
      </c>
      <c r="C67">
        <v>80</v>
      </c>
      <c r="D67">
        <v>67.968681334999999</v>
      </c>
      <c r="E67">
        <v>50</v>
      </c>
      <c r="F67">
        <v>14.995991707</v>
      </c>
      <c r="G67">
        <v>1386.2746582</v>
      </c>
      <c r="H67">
        <v>1374.9005127</v>
      </c>
      <c r="I67">
        <v>1277.1633300999999</v>
      </c>
      <c r="J67">
        <v>1250.0401611</v>
      </c>
      <c r="K67">
        <v>1650</v>
      </c>
      <c r="L67">
        <v>0</v>
      </c>
      <c r="M67">
        <v>0</v>
      </c>
      <c r="N67">
        <v>1650</v>
      </c>
    </row>
    <row r="68" spans="1:14" x14ac:dyDescent="0.25">
      <c r="A68">
        <v>2.0303369999999998</v>
      </c>
      <c r="B68" s="1">
        <f>DATE(2010,5,3) + TIME(0,43,41)</f>
        <v>40301.030335648145</v>
      </c>
      <c r="C68">
        <v>80</v>
      </c>
      <c r="D68">
        <v>68.394996642999999</v>
      </c>
      <c r="E68">
        <v>50</v>
      </c>
      <c r="F68">
        <v>14.996006965999999</v>
      </c>
      <c r="G68">
        <v>1386.1860352000001</v>
      </c>
      <c r="H68">
        <v>1374.8565673999999</v>
      </c>
      <c r="I68">
        <v>1277.1641846</v>
      </c>
      <c r="J68">
        <v>1250.0407714999999</v>
      </c>
      <c r="K68">
        <v>1650</v>
      </c>
      <c r="L68">
        <v>0</v>
      </c>
      <c r="M68">
        <v>0</v>
      </c>
      <c r="N68">
        <v>1650</v>
      </c>
    </row>
    <row r="69" spans="1:14" x14ac:dyDescent="0.25">
      <c r="A69">
        <v>2.0700120000000002</v>
      </c>
      <c r="B69" s="1">
        <f>DATE(2010,5,3) + TIME(1,40,49)</f>
        <v>40301.070011574076</v>
      </c>
      <c r="C69">
        <v>80</v>
      </c>
      <c r="D69">
        <v>68.806732178000004</v>
      </c>
      <c r="E69">
        <v>50</v>
      </c>
      <c r="F69">
        <v>14.996021271</v>
      </c>
      <c r="G69">
        <v>1386.0998535000001</v>
      </c>
      <c r="H69">
        <v>1374.8131103999999</v>
      </c>
      <c r="I69">
        <v>1277.1649170000001</v>
      </c>
      <c r="J69">
        <v>1250.0413818</v>
      </c>
      <c r="K69">
        <v>1650</v>
      </c>
      <c r="L69">
        <v>0</v>
      </c>
      <c r="M69">
        <v>0</v>
      </c>
      <c r="N69">
        <v>1650</v>
      </c>
    </row>
    <row r="70" spans="1:14" x14ac:dyDescent="0.25">
      <c r="A70">
        <v>2.109686</v>
      </c>
      <c r="B70" s="1">
        <f>DATE(2010,5,3) + TIME(2,37,56)</f>
        <v>40301.109675925924</v>
      </c>
      <c r="C70">
        <v>80</v>
      </c>
      <c r="D70">
        <v>69.204345703000001</v>
      </c>
      <c r="E70">
        <v>50</v>
      </c>
      <c r="F70">
        <v>14.996035576000001</v>
      </c>
      <c r="G70">
        <v>1386.0162353999999</v>
      </c>
      <c r="H70">
        <v>1374.7700195</v>
      </c>
      <c r="I70">
        <v>1277.1656493999999</v>
      </c>
      <c r="J70">
        <v>1250.0418701000001</v>
      </c>
      <c r="K70">
        <v>1650</v>
      </c>
      <c r="L70">
        <v>0</v>
      </c>
      <c r="M70">
        <v>0</v>
      </c>
      <c r="N70">
        <v>1650</v>
      </c>
    </row>
    <row r="71" spans="1:14" x14ac:dyDescent="0.25">
      <c r="A71">
        <v>2.1493609999999999</v>
      </c>
      <c r="B71" s="1">
        <f>DATE(2010,5,3) + TIME(3,35,4)</f>
        <v>40301.149351851855</v>
      </c>
      <c r="C71">
        <v>80</v>
      </c>
      <c r="D71">
        <v>69.588264464999995</v>
      </c>
      <c r="E71">
        <v>50</v>
      </c>
      <c r="F71">
        <v>14.996049880999999</v>
      </c>
      <c r="G71">
        <v>1385.9348144999999</v>
      </c>
      <c r="H71">
        <v>1374.7272949000001</v>
      </c>
      <c r="I71">
        <v>1277.1665039</v>
      </c>
      <c r="J71">
        <v>1250.0424805</v>
      </c>
      <c r="K71">
        <v>1650</v>
      </c>
      <c r="L71">
        <v>0</v>
      </c>
      <c r="M71">
        <v>0</v>
      </c>
      <c r="N71">
        <v>1650</v>
      </c>
    </row>
    <row r="72" spans="1:14" x14ac:dyDescent="0.25">
      <c r="A72">
        <v>2.2287110000000001</v>
      </c>
      <c r="B72" s="1">
        <f>DATE(2010,5,3) + TIME(5,29,20)</f>
        <v>40301.228703703702</v>
      </c>
      <c r="C72">
        <v>80</v>
      </c>
      <c r="D72">
        <v>70.303222656000003</v>
      </c>
      <c r="E72">
        <v>50</v>
      </c>
      <c r="F72">
        <v>14.996076584000001</v>
      </c>
      <c r="G72">
        <v>1385.7858887</v>
      </c>
      <c r="H72">
        <v>1374.668457</v>
      </c>
      <c r="I72">
        <v>1277.1673584</v>
      </c>
      <c r="J72">
        <v>1250.0430908000001</v>
      </c>
      <c r="K72">
        <v>1650</v>
      </c>
      <c r="L72">
        <v>0</v>
      </c>
      <c r="M72">
        <v>0</v>
      </c>
      <c r="N72">
        <v>1650</v>
      </c>
    </row>
    <row r="73" spans="1:14" x14ac:dyDescent="0.25">
      <c r="A73">
        <v>2.308103</v>
      </c>
      <c r="B73" s="1">
        <f>DATE(2010,5,3) + TIME(7,23,40)</f>
        <v>40301.30810185185</v>
      </c>
      <c r="C73">
        <v>80</v>
      </c>
      <c r="D73">
        <v>70.970260620000005</v>
      </c>
      <c r="E73">
        <v>50</v>
      </c>
      <c r="F73">
        <v>14.996102333</v>
      </c>
      <c r="G73">
        <v>1385.6392822</v>
      </c>
      <c r="H73">
        <v>1374.5852050999999</v>
      </c>
      <c r="I73">
        <v>1277.1688231999999</v>
      </c>
      <c r="J73">
        <v>1250.0441894999999</v>
      </c>
      <c r="K73">
        <v>1650</v>
      </c>
      <c r="L73">
        <v>0</v>
      </c>
      <c r="M73">
        <v>0</v>
      </c>
      <c r="N73">
        <v>1650</v>
      </c>
    </row>
    <row r="74" spans="1:14" x14ac:dyDescent="0.25">
      <c r="A74">
        <v>2.387915</v>
      </c>
      <c r="B74" s="1">
        <f>DATE(2010,5,3) + TIME(9,18,35)</f>
        <v>40301.38790509259</v>
      </c>
      <c r="C74">
        <v>80</v>
      </c>
      <c r="D74">
        <v>71.595314025999997</v>
      </c>
      <c r="E74">
        <v>50</v>
      </c>
      <c r="F74">
        <v>14.996127129</v>
      </c>
      <c r="G74">
        <v>1385.4985352000001</v>
      </c>
      <c r="H74">
        <v>1374.5026855000001</v>
      </c>
      <c r="I74">
        <v>1277.1704102000001</v>
      </c>
      <c r="J74">
        <v>1250.0454102000001</v>
      </c>
      <c r="K74">
        <v>1650</v>
      </c>
      <c r="L74">
        <v>0</v>
      </c>
      <c r="M74">
        <v>0</v>
      </c>
      <c r="N74">
        <v>1650</v>
      </c>
    </row>
    <row r="75" spans="1:14" x14ac:dyDescent="0.25">
      <c r="A75">
        <v>2.4682620000000002</v>
      </c>
      <c r="B75" s="1">
        <f>DATE(2010,5,3) + TIME(11,14,17)</f>
        <v>40301.468252314815</v>
      </c>
      <c r="C75">
        <v>80</v>
      </c>
      <c r="D75">
        <v>72.181350707999997</v>
      </c>
      <c r="E75">
        <v>50</v>
      </c>
      <c r="F75">
        <v>14.996151923999999</v>
      </c>
      <c r="G75">
        <v>1385.3631591999999</v>
      </c>
      <c r="H75">
        <v>1374.4205322</v>
      </c>
      <c r="I75">
        <v>1277.171875</v>
      </c>
      <c r="J75">
        <v>1250.0465088000001</v>
      </c>
      <c r="K75">
        <v>1650</v>
      </c>
      <c r="L75">
        <v>0</v>
      </c>
      <c r="M75">
        <v>0</v>
      </c>
      <c r="N75">
        <v>1650</v>
      </c>
    </row>
    <row r="76" spans="1:14" x14ac:dyDescent="0.25">
      <c r="A76">
        <v>2.5492629999999998</v>
      </c>
      <c r="B76" s="1">
        <f>DATE(2010,5,3) + TIME(13,10,56)</f>
        <v>40301.549259259256</v>
      </c>
      <c r="C76">
        <v>80</v>
      </c>
      <c r="D76">
        <v>72.731079101999995</v>
      </c>
      <c r="E76">
        <v>50</v>
      </c>
      <c r="F76">
        <v>14.996175766</v>
      </c>
      <c r="G76">
        <v>1385.2322998</v>
      </c>
      <c r="H76">
        <v>1374.3388672000001</v>
      </c>
      <c r="I76">
        <v>1277.1734618999999</v>
      </c>
      <c r="J76">
        <v>1250.0477295000001</v>
      </c>
      <c r="K76">
        <v>1650</v>
      </c>
      <c r="L76">
        <v>0</v>
      </c>
      <c r="M76">
        <v>0</v>
      </c>
      <c r="N76">
        <v>1650</v>
      </c>
    </row>
    <row r="77" spans="1:14" x14ac:dyDescent="0.25">
      <c r="A77">
        <v>2.6310349999999998</v>
      </c>
      <c r="B77" s="1">
        <f>DATE(2010,5,3) + TIME(15,8,41)</f>
        <v>40301.631030092591</v>
      </c>
      <c r="C77">
        <v>80</v>
      </c>
      <c r="D77">
        <v>73.246917725000003</v>
      </c>
      <c r="E77">
        <v>50</v>
      </c>
      <c r="F77">
        <v>14.996199608</v>
      </c>
      <c r="G77">
        <v>1385.1055908000001</v>
      </c>
      <c r="H77">
        <v>1374.2572021000001</v>
      </c>
      <c r="I77">
        <v>1277.1749268000001</v>
      </c>
      <c r="J77">
        <v>1250.0488281</v>
      </c>
      <c r="K77">
        <v>1650</v>
      </c>
      <c r="L77">
        <v>0</v>
      </c>
      <c r="M77">
        <v>0</v>
      </c>
      <c r="N77">
        <v>1650</v>
      </c>
    </row>
    <row r="78" spans="1:14" x14ac:dyDescent="0.25">
      <c r="A78">
        <v>2.7136909999999999</v>
      </c>
      <c r="B78" s="1">
        <f>DATE(2010,5,3) + TIME(17,7,42)</f>
        <v>40301.713680555556</v>
      </c>
      <c r="C78">
        <v>80</v>
      </c>
      <c r="D78">
        <v>73.731048584000007</v>
      </c>
      <c r="E78">
        <v>50</v>
      </c>
      <c r="F78">
        <v>14.996222496</v>
      </c>
      <c r="G78">
        <v>1384.9825439000001</v>
      </c>
      <c r="H78">
        <v>1374.1756591999999</v>
      </c>
      <c r="I78">
        <v>1277.1765137</v>
      </c>
      <c r="J78">
        <v>1250.0500488</v>
      </c>
      <c r="K78">
        <v>1650</v>
      </c>
      <c r="L78">
        <v>0</v>
      </c>
      <c r="M78">
        <v>0</v>
      </c>
      <c r="N78">
        <v>1650</v>
      </c>
    </row>
    <row r="79" spans="1:14" x14ac:dyDescent="0.25">
      <c r="A79">
        <v>2.7973400000000002</v>
      </c>
      <c r="B79" s="1">
        <f>DATE(2010,5,3) + TIME(19,8,10)</f>
        <v>40301.797337962962</v>
      </c>
      <c r="C79">
        <v>80</v>
      </c>
      <c r="D79">
        <v>74.185424804999997</v>
      </c>
      <c r="E79">
        <v>50</v>
      </c>
      <c r="F79">
        <v>14.996244430999999</v>
      </c>
      <c r="G79">
        <v>1384.8626709</v>
      </c>
      <c r="H79">
        <v>1374.0938721</v>
      </c>
      <c r="I79">
        <v>1277.1779785000001</v>
      </c>
      <c r="J79">
        <v>1250.0512695</v>
      </c>
      <c r="K79">
        <v>1650</v>
      </c>
      <c r="L79">
        <v>0</v>
      </c>
      <c r="M79">
        <v>0</v>
      </c>
      <c r="N79">
        <v>1650</v>
      </c>
    </row>
    <row r="80" spans="1:14" x14ac:dyDescent="0.25">
      <c r="A80">
        <v>2.8821180000000002</v>
      </c>
      <c r="B80" s="1">
        <f>DATE(2010,5,3) + TIME(21,10,15)</f>
        <v>40301.882118055553</v>
      </c>
      <c r="C80">
        <v>80</v>
      </c>
      <c r="D80">
        <v>74.611938476999995</v>
      </c>
      <c r="E80">
        <v>50</v>
      </c>
      <c r="F80">
        <v>14.996266365</v>
      </c>
      <c r="G80">
        <v>1384.7454834</v>
      </c>
      <c r="H80">
        <v>1374.0119629000001</v>
      </c>
      <c r="I80">
        <v>1277.1795654</v>
      </c>
      <c r="J80">
        <v>1250.0524902</v>
      </c>
      <c r="K80">
        <v>1650</v>
      </c>
      <c r="L80">
        <v>0</v>
      </c>
      <c r="M80">
        <v>0</v>
      </c>
      <c r="N80">
        <v>1650</v>
      </c>
    </row>
    <row r="81" spans="1:14" x14ac:dyDescent="0.25">
      <c r="A81">
        <v>2.9681489999999999</v>
      </c>
      <c r="B81" s="1">
        <f>DATE(2010,5,3) + TIME(23,14,8)</f>
        <v>40301.968148148146</v>
      </c>
      <c r="C81">
        <v>80</v>
      </c>
      <c r="D81">
        <v>75.012237549000005</v>
      </c>
      <c r="E81">
        <v>50</v>
      </c>
      <c r="F81">
        <v>14.9962883</v>
      </c>
      <c r="G81">
        <v>1384.6307373</v>
      </c>
      <c r="H81">
        <v>1373.9296875</v>
      </c>
      <c r="I81">
        <v>1277.1810303</v>
      </c>
      <c r="J81">
        <v>1250.0537108999999</v>
      </c>
      <c r="K81">
        <v>1650</v>
      </c>
      <c r="L81">
        <v>0</v>
      </c>
      <c r="M81">
        <v>0</v>
      </c>
      <c r="N81">
        <v>1650</v>
      </c>
    </row>
    <row r="82" spans="1:14" x14ac:dyDescent="0.25">
      <c r="A82">
        <v>3.055561</v>
      </c>
      <c r="B82" s="1">
        <f>DATE(2010,5,4) + TIME(1,20,0)</f>
        <v>40302.055555555555</v>
      </c>
      <c r="C82">
        <v>80</v>
      </c>
      <c r="D82">
        <v>75.387596130000006</v>
      </c>
      <c r="E82">
        <v>50</v>
      </c>
      <c r="F82">
        <v>14.99630928</v>
      </c>
      <c r="G82">
        <v>1384.5180664</v>
      </c>
      <c r="H82">
        <v>1373.8468018000001</v>
      </c>
      <c r="I82">
        <v>1277.1826172000001</v>
      </c>
      <c r="J82">
        <v>1250.0549315999999</v>
      </c>
      <c r="K82">
        <v>1650</v>
      </c>
      <c r="L82">
        <v>0</v>
      </c>
      <c r="M82">
        <v>0</v>
      </c>
      <c r="N82">
        <v>1650</v>
      </c>
    </row>
    <row r="83" spans="1:14" x14ac:dyDescent="0.25">
      <c r="A83">
        <v>3.1444899999999998</v>
      </c>
      <c r="B83" s="1">
        <f>DATE(2010,5,4) + TIME(3,28,3)</f>
        <v>40302.144479166665</v>
      </c>
      <c r="C83">
        <v>80</v>
      </c>
      <c r="D83">
        <v>75.739685058999996</v>
      </c>
      <c r="E83">
        <v>50</v>
      </c>
      <c r="F83">
        <v>14.996330261000001</v>
      </c>
      <c r="G83">
        <v>1384.4071045000001</v>
      </c>
      <c r="H83">
        <v>1373.7634277</v>
      </c>
      <c r="I83">
        <v>1277.184082</v>
      </c>
      <c r="J83">
        <v>1250.0562743999999</v>
      </c>
      <c r="K83">
        <v>1650</v>
      </c>
      <c r="L83">
        <v>0</v>
      </c>
      <c r="M83">
        <v>0</v>
      </c>
      <c r="N83">
        <v>1650</v>
      </c>
    </row>
    <row r="84" spans="1:14" x14ac:dyDescent="0.25">
      <c r="A84">
        <v>3.2350759999999998</v>
      </c>
      <c r="B84" s="1">
        <f>DATE(2010,5,4) + TIME(5,38,30)</f>
        <v>40302.235069444447</v>
      </c>
      <c r="C84">
        <v>80</v>
      </c>
      <c r="D84">
        <v>76.069793700999995</v>
      </c>
      <c r="E84">
        <v>50</v>
      </c>
      <c r="F84">
        <v>14.996350288</v>
      </c>
      <c r="G84">
        <v>1384.2977295000001</v>
      </c>
      <c r="H84">
        <v>1373.6793213000001</v>
      </c>
      <c r="I84">
        <v>1277.1856689000001</v>
      </c>
      <c r="J84">
        <v>1250.0574951000001</v>
      </c>
      <c r="K84">
        <v>1650</v>
      </c>
      <c r="L84">
        <v>0</v>
      </c>
      <c r="M84">
        <v>0</v>
      </c>
      <c r="N84">
        <v>1650</v>
      </c>
    </row>
    <row r="85" spans="1:14" x14ac:dyDescent="0.25">
      <c r="A85">
        <v>3.3274710000000001</v>
      </c>
      <c r="B85" s="1">
        <f>DATE(2010,5,4) + TIME(7,51,33)</f>
        <v>40302.327465277776</v>
      </c>
      <c r="C85">
        <v>80</v>
      </c>
      <c r="D85">
        <v>76.379142760999997</v>
      </c>
      <c r="E85">
        <v>50</v>
      </c>
      <c r="F85">
        <v>14.996371269000001</v>
      </c>
      <c r="G85">
        <v>1384.1894531</v>
      </c>
      <c r="H85">
        <v>1373.5944824000001</v>
      </c>
      <c r="I85">
        <v>1277.1872559000001</v>
      </c>
      <c r="J85">
        <v>1250.0588379000001</v>
      </c>
      <c r="K85">
        <v>1650</v>
      </c>
      <c r="L85">
        <v>0</v>
      </c>
      <c r="M85">
        <v>0</v>
      </c>
      <c r="N85">
        <v>1650</v>
      </c>
    </row>
    <row r="86" spans="1:14" x14ac:dyDescent="0.25">
      <c r="A86">
        <v>3.421834</v>
      </c>
      <c r="B86" s="1">
        <f>DATE(2010,5,4) + TIME(10,7,26)</f>
        <v>40302.4218287037</v>
      </c>
      <c r="C86">
        <v>80</v>
      </c>
      <c r="D86">
        <v>76.668838500999996</v>
      </c>
      <c r="E86">
        <v>50</v>
      </c>
      <c r="F86">
        <v>14.996391296000001</v>
      </c>
      <c r="G86">
        <v>1384.0822754000001</v>
      </c>
      <c r="H86">
        <v>1373.5087891000001</v>
      </c>
      <c r="I86">
        <v>1277.1888428</v>
      </c>
      <c r="J86">
        <v>1250.0600586</v>
      </c>
      <c r="K86">
        <v>1650</v>
      </c>
      <c r="L86">
        <v>0</v>
      </c>
      <c r="M86">
        <v>0</v>
      </c>
      <c r="N86">
        <v>1650</v>
      </c>
    </row>
    <row r="87" spans="1:14" x14ac:dyDescent="0.25">
      <c r="A87">
        <v>3.518335</v>
      </c>
      <c r="B87" s="1">
        <f>DATE(2010,5,4) + TIME(12,26,24)</f>
        <v>40302.518333333333</v>
      </c>
      <c r="C87">
        <v>80</v>
      </c>
      <c r="D87">
        <v>76.939926146999994</v>
      </c>
      <c r="E87">
        <v>50</v>
      </c>
      <c r="F87">
        <v>14.996411324</v>
      </c>
      <c r="G87">
        <v>1383.9758300999999</v>
      </c>
      <c r="H87">
        <v>1373.4221190999999</v>
      </c>
      <c r="I87">
        <v>1277.1904297000001</v>
      </c>
      <c r="J87">
        <v>1250.0614014</v>
      </c>
      <c r="K87">
        <v>1650</v>
      </c>
      <c r="L87">
        <v>0</v>
      </c>
      <c r="M87">
        <v>0</v>
      </c>
      <c r="N87">
        <v>1650</v>
      </c>
    </row>
    <row r="88" spans="1:14" x14ac:dyDescent="0.25">
      <c r="A88">
        <v>3.617162</v>
      </c>
      <c r="B88" s="1">
        <f>DATE(2010,5,4) + TIME(14,48,42)</f>
        <v>40302.617152777777</v>
      </c>
      <c r="C88">
        <v>80</v>
      </c>
      <c r="D88">
        <v>77.193389893000003</v>
      </c>
      <c r="E88">
        <v>50</v>
      </c>
      <c r="F88">
        <v>14.996431351</v>
      </c>
      <c r="G88">
        <v>1383.8699951000001</v>
      </c>
      <c r="H88">
        <v>1373.3344727000001</v>
      </c>
      <c r="I88">
        <v>1277.1920166</v>
      </c>
      <c r="J88">
        <v>1250.0627440999999</v>
      </c>
      <c r="K88">
        <v>1650</v>
      </c>
      <c r="L88">
        <v>0</v>
      </c>
      <c r="M88">
        <v>0</v>
      </c>
      <c r="N88">
        <v>1650</v>
      </c>
    </row>
    <row r="89" spans="1:14" x14ac:dyDescent="0.25">
      <c r="A89">
        <v>3.7185510000000002</v>
      </c>
      <c r="B89" s="1">
        <f>DATE(2010,5,4) + TIME(17,14,42)</f>
        <v>40302.718541666669</v>
      </c>
      <c r="C89">
        <v>80</v>
      </c>
      <c r="D89">
        <v>77.430221558</v>
      </c>
      <c r="E89">
        <v>50</v>
      </c>
      <c r="F89">
        <v>14.996450424000001</v>
      </c>
      <c r="G89">
        <v>1383.7644043</v>
      </c>
      <c r="H89">
        <v>1373.2456055</v>
      </c>
      <c r="I89">
        <v>1277.1936035000001</v>
      </c>
      <c r="J89">
        <v>1250.0642089999999</v>
      </c>
      <c r="K89">
        <v>1650</v>
      </c>
      <c r="L89">
        <v>0</v>
      </c>
      <c r="M89">
        <v>0</v>
      </c>
      <c r="N89">
        <v>1650</v>
      </c>
    </row>
    <row r="90" spans="1:14" x14ac:dyDescent="0.25">
      <c r="A90">
        <v>3.8226779999999998</v>
      </c>
      <c r="B90" s="1">
        <f>DATE(2010,5,4) + TIME(19,44,39)</f>
        <v>40302.82267361111</v>
      </c>
      <c r="C90">
        <v>80</v>
      </c>
      <c r="D90">
        <v>77.651176453000005</v>
      </c>
      <c r="E90">
        <v>50</v>
      </c>
      <c r="F90">
        <v>14.996470451</v>
      </c>
      <c r="G90">
        <v>1383.6589355000001</v>
      </c>
      <c r="H90">
        <v>1373.1553954999999</v>
      </c>
      <c r="I90">
        <v>1277.1951904</v>
      </c>
      <c r="J90">
        <v>1250.0655518000001</v>
      </c>
      <c r="K90">
        <v>1650</v>
      </c>
      <c r="L90">
        <v>0</v>
      </c>
      <c r="M90">
        <v>0</v>
      </c>
      <c r="N90">
        <v>1650</v>
      </c>
    </row>
    <row r="91" spans="1:14" x14ac:dyDescent="0.25">
      <c r="A91">
        <v>3.9297810000000002</v>
      </c>
      <c r="B91" s="1">
        <f>DATE(2010,5,4) + TIME(22,18,53)</f>
        <v>40302.929780092592</v>
      </c>
      <c r="C91">
        <v>80</v>
      </c>
      <c r="D91">
        <v>77.857055664000001</v>
      </c>
      <c r="E91">
        <v>50</v>
      </c>
      <c r="F91">
        <v>14.996489524999999</v>
      </c>
      <c r="G91">
        <v>1383.5534668</v>
      </c>
      <c r="H91">
        <v>1373.0639647999999</v>
      </c>
      <c r="I91">
        <v>1277.1968993999999</v>
      </c>
      <c r="J91">
        <v>1250.0670166</v>
      </c>
      <c r="K91">
        <v>1650</v>
      </c>
      <c r="L91">
        <v>0</v>
      </c>
      <c r="M91">
        <v>0</v>
      </c>
      <c r="N91">
        <v>1650</v>
      </c>
    </row>
    <row r="92" spans="1:14" x14ac:dyDescent="0.25">
      <c r="A92">
        <v>4.0401170000000004</v>
      </c>
      <c r="B92" s="1">
        <f>DATE(2010,5,5) + TIME(0,57,46)</f>
        <v>40303.04011574074</v>
      </c>
      <c r="C92">
        <v>80</v>
      </c>
      <c r="D92">
        <v>78.048622131000002</v>
      </c>
      <c r="E92">
        <v>50</v>
      </c>
      <c r="F92">
        <v>14.996509551999999</v>
      </c>
      <c r="G92">
        <v>1383.447876</v>
      </c>
      <c r="H92">
        <v>1372.9710693</v>
      </c>
      <c r="I92">
        <v>1277.1986084</v>
      </c>
      <c r="J92">
        <v>1250.0684814000001</v>
      </c>
      <c r="K92">
        <v>1650</v>
      </c>
      <c r="L92">
        <v>0</v>
      </c>
      <c r="M92">
        <v>0</v>
      </c>
      <c r="N92">
        <v>1650</v>
      </c>
    </row>
    <row r="93" spans="1:14" x14ac:dyDescent="0.25">
      <c r="A93">
        <v>4.1539739999999998</v>
      </c>
      <c r="B93" s="1">
        <f>DATE(2010,5,5) + TIME(3,41,43)</f>
        <v>40303.153969907406</v>
      </c>
      <c r="C93">
        <v>80</v>
      </c>
      <c r="D93">
        <v>78.226608275999993</v>
      </c>
      <c r="E93">
        <v>50</v>
      </c>
      <c r="F93">
        <v>14.996528625</v>
      </c>
      <c r="G93">
        <v>1383.3416748</v>
      </c>
      <c r="H93">
        <v>1372.8765868999999</v>
      </c>
      <c r="I93">
        <v>1277.2003173999999</v>
      </c>
      <c r="J93">
        <v>1250.0699463000001</v>
      </c>
      <c r="K93">
        <v>1650</v>
      </c>
      <c r="L93">
        <v>0</v>
      </c>
      <c r="M93">
        <v>0</v>
      </c>
      <c r="N93">
        <v>1650</v>
      </c>
    </row>
    <row r="94" spans="1:14" x14ac:dyDescent="0.25">
      <c r="A94">
        <v>4.2716649999999996</v>
      </c>
      <c r="B94" s="1">
        <f>DATE(2010,5,5) + TIME(6,31,11)</f>
        <v>40303.271655092591</v>
      </c>
      <c r="C94">
        <v>80</v>
      </c>
      <c r="D94">
        <v>78.391677856000001</v>
      </c>
      <c r="E94">
        <v>50</v>
      </c>
      <c r="F94">
        <v>14.996548653</v>
      </c>
      <c r="G94">
        <v>1383.2349853999999</v>
      </c>
      <c r="H94">
        <v>1372.7803954999999</v>
      </c>
      <c r="I94">
        <v>1277.2020264</v>
      </c>
      <c r="J94">
        <v>1250.0715332</v>
      </c>
      <c r="K94">
        <v>1650</v>
      </c>
      <c r="L94">
        <v>0</v>
      </c>
      <c r="M94">
        <v>0</v>
      </c>
      <c r="N94">
        <v>1650</v>
      </c>
    </row>
    <row r="95" spans="1:14" x14ac:dyDescent="0.25">
      <c r="A95">
        <v>4.3932669999999998</v>
      </c>
      <c r="B95" s="1">
        <f>DATE(2010,5,5) + TIME(9,26,18)</f>
        <v>40303.393263888887</v>
      </c>
      <c r="C95">
        <v>80</v>
      </c>
      <c r="D95">
        <v>78.544174193999993</v>
      </c>
      <c r="E95">
        <v>50</v>
      </c>
      <c r="F95">
        <v>14.996567726</v>
      </c>
      <c r="G95">
        <v>1383.1274414</v>
      </c>
      <c r="H95">
        <v>1372.6823730000001</v>
      </c>
      <c r="I95">
        <v>1277.2038574000001</v>
      </c>
      <c r="J95">
        <v>1250.0731201000001</v>
      </c>
      <c r="K95">
        <v>1650</v>
      </c>
      <c r="L95">
        <v>0</v>
      </c>
      <c r="M95">
        <v>0</v>
      </c>
      <c r="N95">
        <v>1650</v>
      </c>
    </row>
    <row r="96" spans="1:14" x14ac:dyDescent="0.25">
      <c r="A96">
        <v>4.5186149999999996</v>
      </c>
      <c r="B96" s="1">
        <f>DATE(2010,5,5) + TIME(12,26,48)</f>
        <v>40303.518611111111</v>
      </c>
      <c r="C96">
        <v>80</v>
      </c>
      <c r="D96">
        <v>78.684265136999997</v>
      </c>
      <c r="E96">
        <v>50</v>
      </c>
      <c r="F96">
        <v>14.996587753</v>
      </c>
      <c r="G96">
        <v>1383.0192870999999</v>
      </c>
      <c r="H96">
        <v>1372.5826416</v>
      </c>
      <c r="I96">
        <v>1277.2056885</v>
      </c>
      <c r="J96">
        <v>1250.074707</v>
      </c>
      <c r="K96">
        <v>1650</v>
      </c>
      <c r="L96">
        <v>0</v>
      </c>
      <c r="M96">
        <v>0</v>
      </c>
      <c r="N96">
        <v>1650</v>
      </c>
    </row>
    <row r="97" spans="1:14" x14ac:dyDescent="0.25">
      <c r="A97">
        <v>4.6480569999999997</v>
      </c>
      <c r="B97" s="1">
        <f>DATE(2010,5,5) + TIME(15,33,12)</f>
        <v>40303.648055555554</v>
      </c>
      <c r="C97">
        <v>80</v>
      </c>
      <c r="D97">
        <v>78.812736510999997</v>
      </c>
      <c r="E97">
        <v>50</v>
      </c>
      <c r="F97">
        <v>14.996606827000001</v>
      </c>
      <c r="G97">
        <v>1382.9105225000001</v>
      </c>
      <c r="H97">
        <v>1372.4815673999999</v>
      </c>
      <c r="I97">
        <v>1277.2075195</v>
      </c>
      <c r="J97">
        <v>1250.0764160000001</v>
      </c>
      <c r="K97">
        <v>1650</v>
      </c>
      <c r="L97">
        <v>0</v>
      </c>
      <c r="M97">
        <v>0</v>
      </c>
      <c r="N97">
        <v>1650</v>
      </c>
    </row>
    <row r="98" spans="1:14" x14ac:dyDescent="0.25">
      <c r="A98">
        <v>4.7817460000000001</v>
      </c>
      <c r="B98" s="1">
        <f>DATE(2010,5,5) + TIME(18,45,42)</f>
        <v>40303.781736111108</v>
      </c>
      <c r="C98">
        <v>80</v>
      </c>
      <c r="D98">
        <v>78.930130004999995</v>
      </c>
      <c r="E98">
        <v>50</v>
      </c>
      <c r="F98">
        <v>14.996626854000001</v>
      </c>
      <c r="G98">
        <v>1382.8010254000001</v>
      </c>
      <c r="H98">
        <v>1372.3787841999999</v>
      </c>
      <c r="I98">
        <v>1277.2094727000001</v>
      </c>
      <c r="J98">
        <v>1250.078125</v>
      </c>
      <c r="K98">
        <v>1650</v>
      </c>
      <c r="L98">
        <v>0</v>
      </c>
      <c r="M98">
        <v>0</v>
      </c>
      <c r="N98">
        <v>1650</v>
      </c>
    </row>
    <row r="99" spans="1:14" x14ac:dyDescent="0.25">
      <c r="A99">
        <v>4.9199539999999997</v>
      </c>
      <c r="B99" s="1">
        <f>DATE(2010,5,5) + TIME(22,4,44)</f>
        <v>40303.919953703706</v>
      </c>
      <c r="C99">
        <v>80</v>
      </c>
      <c r="D99">
        <v>79.037101746000005</v>
      </c>
      <c r="E99">
        <v>50</v>
      </c>
      <c r="F99">
        <v>14.996645926999999</v>
      </c>
      <c r="G99">
        <v>1382.6906738</v>
      </c>
      <c r="H99">
        <v>1372.2744141000001</v>
      </c>
      <c r="I99">
        <v>1277.2114257999999</v>
      </c>
      <c r="J99">
        <v>1250.0798339999999</v>
      </c>
      <c r="K99">
        <v>1650</v>
      </c>
      <c r="L99">
        <v>0</v>
      </c>
      <c r="M99">
        <v>0</v>
      </c>
      <c r="N99">
        <v>1650</v>
      </c>
    </row>
    <row r="100" spans="1:14" x14ac:dyDescent="0.25">
      <c r="A100">
        <v>5.0630899999999999</v>
      </c>
      <c r="B100" s="1">
        <f>DATE(2010,5,6) + TIME(1,30,50)</f>
        <v>40304.063078703701</v>
      </c>
      <c r="C100">
        <v>80</v>
      </c>
      <c r="D100">
        <v>79.134353637999993</v>
      </c>
      <c r="E100">
        <v>50</v>
      </c>
      <c r="F100">
        <v>14.996665954999999</v>
      </c>
      <c r="G100">
        <v>1382.5795897999999</v>
      </c>
      <c r="H100">
        <v>1372.1685791</v>
      </c>
      <c r="I100">
        <v>1277.2133789</v>
      </c>
      <c r="J100">
        <v>1250.0816649999999</v>
      </c>
      <c r="K100">
        <v>1650</v>
      </c>
      <c r="L100">
        <v>0</v>
      </c>
      <c r="M100">
        <v>0</v>
      </c>
      <c r="N100">
        <v>1650</v>
      </c>
    </row>
    <row r="101" spans="1:14" x14ac:dyDescent="0.25">
      <c r="A101">
        <v>5.211608</v>
      </c>
      <c r="B101" s="1">
        <f>DATE(2010,5,6) + TIME(5,4,42)</f>
        <v>40304.211597222224</v>
      </c>
      <c r="C101">
        <v>80</v>
      </c>
      <c r="D101">
        <v>79.222534179999997</v>
      </c>
      <c r="E101">
        <v>50</v>
      </c>
      <c r="F101">
        <v>14.996685982000001</v>
      </c>
      <c r="G101">
        <v>1382.4672852000001</v>
      </c>
      <c r="H101">
        <v>1372.0609131000001</v>
      </c>
      <c r="I101">
        <v>1277.2154541</v>
      </c>
      <c r="J101">
        <v>1250.0836182</v>
      </c>
      <c r="K101">
        <v>1650</v>
      </c>
      <c r="L101">
        <v>0</v>
      </c>
      <c r="M101">
        <v>0</v>
      </c>
      <c r="N101">
        <v>1650</v>
      </c>
    </row>
    <row r="102" spans="1:14" x14ac:dyDescent="0.25">
      <c r="A102">
        <v>5.3660180000000004</v>
      </c>
      <c r="B102" s="1">
        <f>DATE(2010,5,6) + TIME(8,47,3)</f>
        <v>40304.366006944445</v>
      </c>
      <c r="C102">
        <v>80</v>
      </c>
      <c r="D102">
        <v>79.302268982000001</v>
      </c>
      <c r="E102">
        <v>50</v>
      </c>
      <c r="F102">
        <v>14.996706009</v>
      </c>
      <c r="G102">
        <v>1382.3537598</v>
      </c>
      <c r="H102">
        <v>1371.9512939000001</v>
      </c>
      <c r="I102">
        <v>1277.2175293</v>
      </c>
      <c r="J102">
        <v>1250.0854492000001</v>
      </c>
      <c r="K102">
        <v>1650</v>
      </c>
      <c r="L102">
        <v>0</v>
      </c>
      <c r="M102">
        <v>0</v>
      </c>
      <c r="N102">
        <v>1650</v>
      </c>
    </row>
    <row r="103" spans="1:14" x14ac:dyDescent="0.25">
      <c r="A103">
        <v>5.5264819999999997</v>
      </c>
      <c r="B103" s="1">
        <f>DATE(2010,5,6) + TIME(12,38,8)</f>
        <v>40304.52648148148</v>
      </c>
      <c r="C103">
        <v>80</v>
      </c>
      <c r="D103">
        <v>79.374000549000002</v>
      </c>
      <c r="E103">
        <v>50</v>
      </c>
      <c r="F103">
        <v>14.996726036</v>
      </c>
      <c r="G103">
        <v>1382.2386475000001</v>
      </c>
      <c r="H103">
        <v>1371.8397216999999</v>
      </c>
      <c r="I103">
        <v>1277.2197266000001</v>
      </c>
      <c r="J103">
        <v>1250.0875243999999</v>
      </c>
      <c r="K103">
        <v>1650</v>
      </c>
      <c r="L103">
        <v>0</v>
      </c>
      <c r="M103">
        <v>0</v>
      </c>
      <c r="N103">
        <v>1650</v>
      </c>
    </row>
    <row r="104" spans="1:14" x14ac:dyDescent="0.25">
      <c r="A104">
        <v>5.6884119999999996</v>
      </c>
      <c r="B104" s="1">
        <f>DATE(2010,5,6) + TIME(16,31,18)</f>
        <v>40304.688402777778</v>
      </c>
      <c r="C104">
        <v>80</v>
      </c>
      <c r="D104">
        <v>79.436599731000001</v>
      </c>
      <c r="E104">
        <v>50</v>
      </c>
      <c r="F104">
        <v>14.996746063</v>
      </c>
      <c r="G104">
        <v>1382.1224365</v>
      </c>
      <c r="H104">
        <v>1371.7263184000001</v>
      </c>
      <c r="I104">
        <v>1277.2219238</v>
      </c>
      <c r="J104">
        <v>1250.0894774999999</v>
      </c>
      <c r="K104">
        <v>1650</v>
      </c>
      <c r="L104">
        <v>0</v>
      </c>
      <c r="M104">
        <v>0</v>
      </c>
      <c r="N104">
        <v>1650</v>
      </c>
    </row>
    <row r="105" spans="1:14" x14ac:dyDescent="0.25">
      <c r="A105">
        <v>5.8503480000000003</v>
      </c>
      <c r="B105" s="1">
        <f>DATE(2010,5,6) + TIME(20,24,30)</f>
        <v>40304.850347222222</v>
      </c>
      <c r="C105">
        <v>80</v>
      </c>
      <c r="D105">
        <v>79.490760803000001</v>
      </c>
      <c r="E105">
        <v>50</v>
      </c>
      <c r="F105">
        <v>14.996765137000001</v>
      </c>
      <c r="G105">
        <v>1382.0083007999999</v>
      </c>
      <c r="H105">
        <v>1371.6142577999999</v>
      </c>
      <c r="I105">
        <v>1277.2241211</v>
      </c>
      <c r="J105">
        <v>1250.0915527</v>
      </c>
      <c r="K105">
        <v>1650</v>
      </c>
      <c r="L105">
        <v>0</v>
      </c>
      <c r="M105">
        <v>0</v>
      </c>
      <c r="N105">
        <v>1650</v>
      </c>
    </row>
    <row r="106" spans="1:14" x14ac:dyDescent="0.25">
      <c r="A106">
        <v>6.0125690000000001</v>
      </c>
      <c r="B106" s="1">
        <f>DATE(2010,5,7) + TIME(0,18,5)</f>
        <v>40305.012557870374</v>
      </c>
      <c r="C106">
        <v>80</v>
      </c>
      <c r="D106">
        <v>79.537712096999996</v>
      </c>
      <c r="E106">
        <v>50</v>
      </c>
      <c r="F106">
        <v>14.99678421</v>
      </c>
      <c r="G106">
        <v>1381.8967285000001</v>
      </c>
      <c r="H106">
        <v>1371.5046387</v>
      </c>
      <c r="I106">
        <v>1277.2263184000001</v>
      </c>
      <c r="J106">
        <v>1250.0935059000001</v>
      </c>
      <c r="K106">
        <v>1650</v>
      </c>
      <c r="L106">
        <v>0</v>
      </c>
      <c r="M106">
        <v>0</v>
      </c>
      <c r="N106">
        <v>1650</v>
      </c>
    </row>
    <row r="107" spans="1:14" x14ac:dyDescent="0.25">
      <c r="A107">
        <v>6.1753390000000001</v>
      </c>
      <c r="B107" s="1">
        <f>DATE(2010,5,7) + TIME(4,12,29)</f>
        <v>40305.175335648149</v>
      </c>
      <c r="C107">
        <v>80</v>
      </c>
      <c r="D107">
        <v>79.578483582000004</v>
      </c>
      <c r="E107">
        <v>50</v>
      </c>
      <c r="F107">
        <v>14.99680233</v>
      </c>
      <c r="G107">
        <v>1381.7877197</v>
      </c>
      <c r="H107">
        <v>1371.3970947</v>
      </c>
      <c r="I107">
        <v>1277.2285156</v>
      </c>
      <c r="J107">
        <v>1250.0955810999999</v>
      </c>
      <c r="K107">
        <v>1650</v>
      </c>
      <c r="L107">
        <v>0</v>
      </c>
      <c r="M107">
        <v>0</v>
      </c>
      <c r="N107">
        <v>1650</v>
      </c>
    </row>
    <row r="108" spans="1:14" x14ac:dyDescent="0.25">
      <c r="A108">
        <v>6.3389110000000004</v>
      </c>
      <c r="B108" s="1">
        <f>DATE(2010,5,7) + TIME(8,8,1)</f>
        <v>40305.338900462964</v>
      </c>
      <c r="C108">
        <v>80</v>
      </c>
      <c r="D108">
        <v>79.613937378000003</v>
      </c>
      <c r="E108">
        <v>50</v>
      </c>
      <c r="F108">
        <v>14.99682045</v>
      </c>
      <c r="G108">
        <v>1381.6807861</v>
      </c>
      <c r="H108">
        <v>1371.2913818</v>
      </c>
      <c r="I108">
        <v>1277.2307129000001</v>
      </c>
      <c r="J108">
        <v>1250.0976562000001</v>
      </c>
      <c r="K108">
        <v>1650</v>
      </c>
      <c r="L108">
        <v>0</v>
      </c>
      <c r="M108">
        <v>0</v>
      </c>
      <c r="N108">
        <v>1650</v>
      </c>
    </row>
    <row r="109" spans="1:14" x14ac:dyDescent="0.25">
      <c r="A109">
        <v>6.5035230000000004</v>
      </c>
      <c r="B109" s="1">
        <f>DATE(2010,5,7) + TIME(12,5,4)</f>
        <v>40305.503518518519</v>
      </c>
      <c r="C109">
        <v>80</v>
      </c>
      <c r="D109">
        <v>79.644805907999995</v>
      </c>
      <c r="E109">
        <v>50</v>
      </c>
      <c r="F109">
        <v>14.99683857</v>
      </c>
      <c r="G109">
        <v>1381.5758057</v>
      </c>
      <c r="H109">
        <v>1371.1875</v>
      </c>
      <c r="I109">
        <v>1277.2329102000001</v>
      </c>
      <c r="J109">
        <v>1250.0996094</v>
      </c>
      <c r="K109">
        <v>1650</v>
      </c>
      <c r="L109">
        <v>0</v>
      </c>
      <c r="M109">
        <v>0</v>
      </c>
      <c r="N109">
        <v>1650</v>
      </c>
    </row>
    <row r="110" spans="1:14" x14ac:dyDescent="0.25">
      <c r="A110">
        <v>6.6693949999999997</v>
      </c>
      <c r="B110" s="1">
        <f>DATE(2010,5,7) + TIME(16,3,55)</f>
        <v>40305.669386574074</v>
      </c>
      <c r="C110">
        <v>80</v>
      </c>
      <c r="D110">
        <v>79.671714782999999</v>
      </c>
      <c r="E110">
        <v>50</v>
      </c>
      <c r="F110">
        <v>14.996856688999999</v>
      </c>
      <c r="G110">
        <v>1381.4726562000001</v>
      </c>
      <c r="H110">
        <v>1371.0850829999999</v>
      </c>
      <c r="I110">
        <v>1277.2351074000001</v>
      </c>
      <c r="J110">
        <v>1250.1016846</v>
      </c>
      <c r="K110">
        <v>1650</v>
      </c>
      <c r="L110">
        <v>0</v>
      </c>
      <c r="M110">
        <v>0</v>
      </c>
      <c r="N110">
        <v>1650</v>
      </c>
    </row>
    <row r="111" spans="1:14" x14ac:dyDescent="0.25">
      <c r="A111">
        <v>6.8367940000000003</v>
      </c>
      <c r="B111" s="1">
        <f>DATE(2010,5,7) + TIME(20,4,58)</f>
        <v>40305.836782407408</v>
      </c>
      <c r="C111">
        <v>80</v>
      </c>
      <c r="D111">
        <v>79.695190429999997</v>
      </c>
      <c r="E111">
        <v>50</v>
      </c>
      <c r="F111">
        <v>14.996873856000001</v>
      </c>
      <c r="G111">
        <v>1381.3708495999999</v>
      </c>
      <c r="H111">
        <v>1370.9841309000001</v>
      </c>
      <c r="I111">
        <v>1277.2373047000001</v>
      </c>
      <c r="J111">
        <v>1250.1037598</v>
      </c>
      <c r="K111">
        <v>1650</v>
      </c>
      <c r="L111">
        <v>0</v>
      </c>
      <c r="M111">
        <v>0</v>
      </c>
      <c r="N111">
        <v>1650</v>
      </c>
    </row>
    <row r="112" spans="1:14" x14ac:dyDescent="0.25">
      <c r="A112">
        <v>7.00596</v>
      </c>
      <c r="B112" s="1">
        <f>DATE(2010,5,8) + TIME(0,8,34)</f>
        <v>40306.005949074075</v>
      </c>
      <c r="C112">
        <v>80</v>
      </c>
      <c r="D112">
        <v>79.715690613000007</v>
      </c>
      <c r="E112">
        <v>50</v>
      </c>
      <c r="F112">
        <v>14.996891022</v>
      </c>
      <c r="G112">
        <v>1381.2705077999999</v>
      </c>
      <c r="H112">
        <v>1370.8843993999999</v>
      </c>
      <c r="I112">
        <v>1277.2395019999999</v>
      </c>
      <c r="J112">
        <v>1250.1057129000001</v>
      </c>
      <c r="K112">
        <v>1650</v>
      </c>
      <c r="L112">
        <v>0</v>
      </c>
      <c r="M112">
        <v>0</v>
      </c>
      <c r="N112">
        <v>1650</v>
      </c>
    </row>
    <row r="113" spans="1:14" x14ac:dyDescent="0.25">
      <c r="A113">
        <v>7.1771380000000002</v>
      </c>
      <c r="B113" s="1">
        <f>DATE(2010,5,8) + TIME(4,15,4)</f>
        <v>40306.177129629628</v>
      </c>
      <c r="C113">
        <v>80</v>
      </c>
      <c r="D113">
        <v>79.733612061000002</v>
      </c>
      <c r="E113">
        <v>50</v>
      </c>
      <c r="F113">
        <v>14.996908188000001</v>
      </c>
      <c r="G113">
        <v>1381.1712646000001</v>
      </c>
      <c r="H113">
        <v>1370.7856445</v>
      </c>
      <c r="I113">
        <v>1277.2416992000001</v>
      </c>
      <c r="J113">
        <v>1250.1077881000001</v>
      </c>
      <c r="K113">
        <v>1650</v>
      </c>
      <c r="L113">
        <v>0</v>
      </c>
      <c r="M113">
        <v>0</v>
      </c>
      <c r="N113">
        <v>1650</v>
      </c>
    </row>
    <row r="114" spans="1:14" x14ac:dyDescent="0.25">
      <c r="A114">
        <v>7.3505779999999996</v>
      </c>
      <c r="B114" s="1">
        <f>DATE(2010,5,8) + TIME(8,24,49)</f>
        <v>40306.35056712963</v>
      </c>
      <c r="C114">
        <v>80</v>
      </c>
      <c r="D114">
        <v>79.749282836999996</v>
      </c>
      <c r="E114">
        <v>50</v>
      </c>
      <c r="F114">
        <v>14.996924399999999</v>
      </c>
      <c r="G114">
        <v>1381.072876</v>
      </c>
      <c r="H114">
        <v>1370.6877440999999</v>
      </c>
      <c r="I114">
        <v>1277.2440185999999</v>
      </c>
      <c r="J114">
        <v>1250.1099853999999</v>
      </c>
      <c r="K114">
        <v>1650</v>
      </c>
      <c r="L114">
        <v>0</v>
      </c>
      <c r="M114">
        <v>0</v>
      </c>
      <c r="N114">
        <v>1650</v>
      </c>
    </row>
    <row r="115" spans="1:14" x14ac:dyDescent="0.25">
      <c r="A115">
        <v>7.5265409999999999</v>
      </c>
      <c r="B115" s="1">
        <f>DATE(2010,5,8) + TIME(12,38,13)</f>
        <v>40306.526539351849</v>
      </c>
      <c r="C115">
        <v>80</v>
      </c>
      <c r="D115">
        <v>79.763000488000003</v>
      </c>
      <c r="E115">
        <v>50</v>
      </c>
      <c r="F115">
        <v>14.996941566</v>
      </c>
      <c r="G115">
        <v>1380.9754639</v>
      </c>
      <c r="H115">
        <v>1370.5906981999999</v>
      </c>
      <c r="I115">
        <v>1277.2462158000001</v>
      </c>
      <c r="J115">
        <v>1250.1120605000001</v>
      </c>
      <c r="K115">
        <v>1650</v>
      </c>
      <c r="L115">
        <v>0</v>
      </c>
      <c r="M115">
        <v>0</v>
      </c>
      <c r="N115">
        <v>1650</v>
      </c>
    </row>
    <row r="116" spans="1:14" x14ac:dyDescent="0.25">
      <c r="A116">
        <v>7.705298</v>
      </c>
      <c r="B116" s="1">
        <f>DATE(2010,5,8) + TIME(16,55,37)</f>
        <v>40306.705289351848</v>
      </c>
      <c r="C116">
        <v>80</v>
      </c>
      <c r="D116">
        <v>79.775009155000006</v>
      </c>
      <c r="E116">
        <v>50</v>
      </c>
      <c r="F116">
        <v>14.996957779000001</v>
      </c>
      <c r="G116">
        <v>1380.8786620999999</v>
      </c>
      <c r="H116">
        <v>1370.4943848</v>
      </c>
      <c r="I116">
        <v>1277.2485352000001</v>
      </c>
      <c r="J116">
        <v>1250.1142577999999</v>
      </c>
      <c r="K116">
        <v>1650</v>
      </c>
      <c r="L116">
        <v>0</v>
      </c>
      <c r="M116">
        <v>0</v>
      </c>
      <c r="N116">
        <v>1650</v>
      </c>
    </row>
    <row r="117" spans="1:14" x14ac:dyDescent="0.25">
      <c r="A117">
        <v>7.8871339999999996</v>
      </c>
      <c r="B117" s="1">
        <f>DATE(2010,5,8) + TIME(21,17,28)</f>
        <v>40306.887129629627</v>
      </c>
      <c r="C117">
        <v>80</v>
      </c>
      <c r="D117">
        <v>79.785530089999995</v>
      </c>
      <c r="E117">
        <v>50</v>
      </c>
      <c r="F117">
        <v>14.996974945</v>
      </c>
      <c r="G117">
        <v>1380.7823486</v>
      </c>
      <c r="H117">
        <v>1370.3984375</v>
      </c>
      <c r="I117">
        <v>1277.2508545000001</v>
      </c>
      <c r="J117">
        <v>1250.1163329999999</v>
      </c>
      <c r="K117">
        <v>1650</v>
      </c>
      <c r="L117">
        <v>0</v>
      </c>
      <c r="M117">
        <v>0</v>
      </c>
      <c r="N117">
        <v>1650</v>
      </c>
    </row>
    <row r="118" spans="1:14" x14ac:dyDescent="0.25">
      <c r="A118">
        <v>8.0723509999999994</v>
      </c>
      <c r="B118" s="1">
        <f>DATE(2010,5,9) + TIME(1,44,11)</f>
        <v>40307.07234953704</v>
      </c>
      <c r="C118">
        <v>80</v>
      </c>
      <c r="D118">
        <v>79.794754028</v>
      </c>
      <c r="E118">
        <v>50</v>
      </c>
      <c r="F118">
        <v>14.996991158</v>
      </c>
      <c r="G118">
        <v>1380.6865233999999</v>
      </c>
      <c r="H118">
        <v>1370.3029785000001</v>
      </c>
      <c r="I118">
        <v>1277.2532959</v>
      </c>
      <c r="J118">
        <v>1250.1185303</v>
      </c>
      <c r="K118">
        <v>1650</v>
      </c>
      <c r="L118">
        <v>0</v>
      </c>
      <c r="M118">
        <v>0</v>
      </c>
      <c r="N118">
        <v>1650</v>
      </c>
    </row>
    <row r="119" spans="1:14" x14ac:dyDescent="0.25">
      <c r="A119">
        <v>8.2612810000000003</v>
      </c>
      <c r="B119" s="1">
        <f>DATE(2010,5,9) + TIME(6,16,14)</f>
        <v>40307.261273148149</v>
      </c>
      <c r="C119">
        <v>80</v>
      </c>
      <c r="D119">
        <v>79.802848815999994</v>
      </c>
      <c r="E119">
        <v>50</v>
      </c>
      <c r="F119">
        <v>14.99700737</v>
      </c>
      <c r="G119">
        <v>1380.5909423999999</v>
      </c>
      <c r="H119">
        <v>1370.2076416</v>
      </c>
      <c r="I119">
        <v>1277.2556152</v>
      </c>
      <c r="J119">
        <v>1250.1208495999999</v>
      </c>
      <c r="K119">
        <v>1650</v>
      </c>
      <c r="L119">
        <v>0</v>
      </c>
      <c r="M119">
        <v>0</v>
      </c>
      <c r="N119">
        <v>1650</v>
      </c>
    </row>
    <row r="120" spans="1:14" x14ac:dyDescent="0.25">
      <c r="A120">
        <v>8.4543420000000005</v>
      </c>
      <c r="B120" s="1">
        <f>DATE(2010,5,9) + TIME(10,54,15)</f>
        <v>40307.454340277778</v>
      </c>
      <c r="C120">
        <v>80</v>
      </c>
      <c r="D120">
        <v>79.809959411999998</v>
      </c>
      <c r="E120">
        <v>50</v>
      </c>
      <c r="F120">
        <v>14.997024536</v>
      </c>
      <c r="G120">
        <v>1380.4953613</v>
      </c>
      <c r="H120">
        <v>1370.1125488</v>
      </c>
      <c r="I120">
        <v>1277.2580565999999</v>
      </c>
      <c r="J120">
        <v>1250.1231689000001</v>
      </c>
      <c r="K120">
        <v>1650</v>
      </c>
      <c r="L120">
        <v>0</v>
      </c>
      <c r="M120">
        <v>0</v>
      </c>
      <c r="N120">
        <v>1650</v>
      </c>
    </row>
    <row r="121" spans="1:14" x14ac:dyDescent="0.25">
      <c r="A121">
        <v>8.6513229999999997</v>
      </c>
      <c r="B121" s="1">
        <f>DATE(2010,5,9) + TIME(15,37,54)</f>
        <v>40307.651319444441</v>
      </c>
      <c r="C121">
        <v>80</v>
      </c>
      <c r="D121">
        <v>79.816184997999997</v>
      </c>
      <c r="E121">
        <v>50</v>
      </c>
      <c r="F121">
        <v>14.997040749</v>
      </c>
      <c r="G121">
        <v>1380.3999022999999</v>
      </c>
      <c r="H121">
        <v>1370.0174560999999</v>
      </c>
      <c r="I121">
        <v>1277.2606201000001</v>
      </c>
      <c r="J121">
        <v>1250.1254882999999</v>
      </c>
      <c r="K121">
        <v>1650</v>
      </c>
      <c r="L121">
        <v>0</v>
      </c>
      <c r="M121">
        <v>0</v>
      </c>
      <c r="N121">
        <v>1650</v>
      </c>
    </row>
    <row r="122" spans="1:14" x14ac:dyDescent="0.25">
      <c r="A122">
        <v>8.852487</v>
      </c>
      <c r="B122" s="1">
        <f>DATE(2010,5,9) + TIME(20,27,34)</f>
        <v>40307.852476851855</v>
      </c>
      <c r="C122">
        <v>80</v>
      </c>
      <c r="D122">
        <v>79.821647643999995</v>
      </c>
      <c r="E122">
        <v>50</v>
      </c>
      <c r="F122">
        <v>14.997056961</v>
      </c>
      <c r="G122">
        <v>1380.3044434000001</v>
      </c>
      <c r="H122">
        <v>1369.9224853999999</v>
      </c>
      <c r="I122">
        <v>1277.2631836</v>
      </c>
      <c r="J122">
        <v>1250.1278076000001</v>
      </c>
      <c r="K122">
        <v>1650</v>
      </c>
      <c r="L122">
        <v>0</v>
      </c>
      <c r="M122">
        <v>0</v>
      </c>
      <c r="N122">
        <v>1650</v>
      </c>
    </row>
    <row r="123" spans="1:14" x14ac:dyDescent="0.25">
      <c r="A123">
        <v>9.0581949999999996</v>
      </c>
      <c r="B123" s="1">
        <f>DATE(2010,5,10) + TIME(1,23,48)</f>
        <v>40308.058194444442</v>
      </c>
      <c r="C123">
        <v>80</v>
      </c>
      <c r="D123">
        <v>79.826446532999995</v>
      </c>
      <c r="E123">
        <v>50</v>
      </c>
      <c r="F123">
        <v>14.997074126999999</v>
      </c>
      <c r="G123">
        <v>1380.2089844</v>
      </c>
      <c r="H123">
        <v>1369.8275146000001</v>
      </c>
      <c r="I123">
        <v>1277.2657471</v>
      </c>
      <c r="J123">
        <v>1250.130249</v>
      </c>
      <c r="K123">
        <v>1650</v>
      </c>
      <c r="L123">
        <v>0</v>
      </c>
      <c r="M123">
        <v>0</v>
      </c>
      <c r="N123">
        <v>1650</v>
      </c>
    </row>
    <row r="124" spans="1:14" x14ac:dyDescent="0.25">
      <c r="A124">
        <v>9.268853</v>
      </c>
      <c r="B124" s="1">
        <f>DATE(2010,5,10) + TIME(6,27,8)</f>
        <v>40308.268842592595</v>
      </c>
      <c r="C124">
        <v>80</v>
      </c>
      <c r="D124">
        <v>79.830673218000001</v>
      </c>
      <c r="E124">
        <v>50</v>
      </c>
      <c r="F124">
        <v>14.99709034</v>
      </c>
      <c r="G124">
        <v>1380.1134033000001</v>
      </c>
      <c r="H124">
        <v>1369.7324219</v>
      </c>
      <c r="I124">
        <v>1277.2683105000001</v>
      </c>
      <c r="J124">
        <v>1250.1326904</v>
      </c>
      <c r="K124">
        <v>1650</v>
      </c>
      <c r="L124">
        <v>0</v>
      </c>
      <c r="M124">
        <v>0</v>
      </c>
      <c r="N124">
        <v>1650</v>
      </c>
    </row>
    <row r="125" spans="1:14" x14ac:dyDescent="0.25">
      <c r="A125">
        <v>9.4849019999999999</v>
      </c>
      <c r="B125" s="1">
        <f>DATE(2010,5,10) + TIME(11,38,15)</f>
        <v>40308.484895833331</v>
      </c>
      <c r="C125">
        <v>80</v>
      </c>
      <c r="D125">
        <v>79.834388732999997</v>
      </c>
      <c r="E125">
        <v>50</v>
      </c>
      <c r="F125">
        <v>14.997107506000001</v>
      </c>
      <c r="G125">
        <v>1380.0175781</v>
      </c>
      <c r="H125">
        <v>1369.637207</v>
      </c>
      <c r="I125">
        <v>1277.2709961</v>
      </c>
      <c r="J125">
        <v>1250.1352539</v>
      </c>
      <c r="K125">
        <v>1650</v>
      </c>
      <c r="L125">
        <v>0</v>
      </c>
      <c r="M125">
        <v>0</v>
      </c>
      <c r="N125">
        <v>1650</v>
      </c>
    </row>
    <row r="126" spans="1:14" x14ac:dyDescent="0.25">
      <c r="A126">
        <v>9.7068309999999993</v>
      </c>
      <c r="B126" s="1">
        <f>DATE(2010,5,10) + TIME(16,57,50)</f>
        <v>40308.706828703704</v>
      </c>
      <c r="C126">
        <v>80</v>
      </c>
      <c r="D126">
        <v>79.837669372999997</v>
      </c>
      <c r="E126">
        <v>50</v>
      </c>
      <c r="F126">
        <v>14.997123717999999</v>
      </c>
      <c r="G126">
        <v>1379.9213867000001</v>
      </c>
      <c r="H126">
        <v>1369.541626</v>
      </c>
      <c r="I126">
        <v>1277.2738036999999</v>
      </c>
      <c r="J126">
        <v>1250.1378173999999</v>
      </c>
      <c r="K126">
        <v>1650</v>
      </c>
      <c r="L126">
        <v>0</v>
      </c>
      <c r="M126">
        <v>0</v>
      </c>
      <c r="N126">
        <v>1650</v>
      </c>
    </row>
    <row r="127" spans="1:14" x14ac:dyDescent="0.25">
      <c r="A127">
        <v>9.9351850000000006</v>
      </c>
      <c r="B127" s="1">
        <f>DATE(2010,5,10) + TIME(22,26,40)</f>
        <v>40308.935185185182</v>
      </c>
      <c r="C127">
        <v>80</v>
      </c>
      <c r="D127">
        <v>79.840568542</v>
      </c>
      <c r="E127">
        <v>50</v>
      </c>
      <c r="F127">
        <v>14.997140884</v>
      </c>
      <c r="G127">
        <v>1379.824707</v>
      </c>
      <c r="H127">
        <v>1369.4456786999999</v>
      </c>
      <c r="I127">
        <v>1277.2766113</v>
      </c>
      <c r="J127">
        <v>1250.1405029</v>
      </c>
      <c r="K127">
        <v>1650</v>
      </c>
      <c r="L127">
        <v>0</v>
      </c>
      <c r="M127">
        <v>0</v>
      </c>
      <c r="N127">
        <v>1650</v>
      </c>
    </row>
    <row r="128" spans="1:14" x14ac:dyDescent="0.25">
      <c r="A128">
        <v>10.170306999999999</v>
      </c>
      <c r="B128" s="1">
        <f>DATE(2010,5,11) + TIME(4,5,14)</f>
        <v>40309.170300925929</v>
      </c>
      <c r="C128">
        <v>80</v>
      </c>
      <c r="D128">
        <v>79.843132018999995</v>
      </c>
      <c r="E128">
        <v>50</v>
      </c>
      <c r="F128">
        <v>14.997158051</v>
      </c>
      <c r="G128">
        <v>1379.7271728999999</v>
      </c>
      <c r="H128">
        <v>1369.348999</v>
      </c>
      <c r="I128">
        <v>1277.2795410000001</v>
      </c>
      <c r="J128">
        <v>1250.1431885</v>
      </c>
      <c r="K128">
        <v>1650</v>
      </c>
      <c r="L128">
        <v>0</v>
      </c>
      <c r="M128">
        <v>0</v>
      </c>
      <c r="N128">
        <v>1650</v>
      </c>
    </row>
    <row r="129" spans="1:14" x14ac:dyDescent="0.25">
      <c r="A129">
        <v>10.412493</v>
      </c>
      <c r="B129" s="1">
        <f>DATE(2010,5,11) + TIME(9,53,59)</f>
        <v>40309.412488425929</v>
      </c>
      <c r="C129">
        <v>80</v>
      </c>
      <c r="D129">
        <v>79.845405579000001</v>
      </c>
      <c r="E129">
        <v>50</v>
      </c>
      <c r="F129">
        <v>14.997175217000001</v>
      </c>
      <c r="G129">
        <v>1379.6290283000001</v>
      </c>
      <c r="H129">
        <v>1369.2517089999999</v>
      </c>
      <c r="I129">
        <v>1277.2825928</v>
      </c>
      <c r="J129">
        <v>1250.1459961</v>
      </c>
      <c r="K129">
        <v>1650</v>
      </c>
      <c r="L129">
        <v>0</v>
      </c>
      <c r="M129">
        <v>0</v>
      </c>
      <c r="N129">
        <v>1650</v>
      </c>
    </row>
    <row r="130" spans="1:14" x14ac:dyDescent="0.25">
      <c r="A130">
        <v>10.66193</v>
      </c>
      <c r="B130" s="1">
        <f>DATE(2010,5,11) + TIME(15,53,10)</f>
        <v>40309.661921296298</v>
      </c>
      <c r="C130">
        <v>80</v>
      </c>
      <c r="D130">
        <v>79.847427367999998</v>
      </c>
      <c r="E130">
        <v>50</v>
      </c>
      <c r="F130">
        <v>14.997192383</v>
      </c>
      <c r="G130">
        <v>1379.5301514</v>
      </c>
      <c r="H130">
        <v>1369.1536865</v>
      </c>
      <c r="I130">
        <v>1277.2856445</v>
      </c>
      <c r="J130">
        <v>1250.1489257999999</v>
      </c>
      <c r="K130">
        <v>1650</v>
      </c>
      <c r="L130">
        <v>0</v>
      </c>
      <c r="M130">
        <v>0</v>
      </c>
      <c r="N130">
        <v>1650</v>
      </c>
    </row>
    <row r="131" spans="1:14" x14ac:dyDescent="0.25">
      <c r="A131">
        <v>10.915114000000001</v>
      </c>
      <c r="B131" s="1">
        <f>DATE(2010,5,11) + TIME(21,57,45)</f>
        <v>40309.91510416667</v>
      </c>
      <c r="C131">
        <v>80</v>
      </c>
      <c r="D131">
        <v>79.849197387999993</v>
      </c>
      <c r="E131">
        <v>50</v>
      </c>
      <c r="F131">
        <v>14.997209549000001</v>
      </c>
      <c r="G131">
        <v>1379.4304199000001</v>
      </c>
      <c r="H131">
        <v>1369.0550536999999</v>
      </c>
      <c r="I131">
        <v>1277.2888184000001</v>
      </c>
      <c r="J131">
        <v>1250.1518555</v>
      </c>
      <c r="K131">
        <v>1650</v>
      </c>
      <c r="L131">
        <v>0</v>
      </c>
      <c r="M131">
        <v>0</v>
      </c>
      <c r="N131">
        <v>1650</v>
      </c>
    </row>
    <row r="132" spans="1:14" x14ac:dyDescent="0.25">
      <c r="A132">
        <v>11.168312</v>
      </c>
      <c r="B132" s="1">
        <f>DATE(2010,5,12) + TIME(4,2,22)</f>
        <v>40310.168310185189</v>
      </c>
      <c r="C132">
        <v>80</v>
      </c>
      <c r="D132">
        <v>79.850738524999997</v>
      </c>
      <c r="E132">
        <v>50</v>
      </c>
      <c r="F132">
        <v>14.997226715</v>
      </c>
      <c r="G132">
        <v>1379.3314209</v>
      </c>
      <c r="H132">
        <v>1368.9571533000001</v>
      </c>
      <c r="I132">
        <v>1277.2919922000001</v>
      </c>
      <c r="J132">
        <v>1250.1549072</v>
      </c>
      <c r="K132">
        <v>1650</v>
      </c>
      <c r="L132">
        <v>0</v>
      </c>
      <c r="M132">
        <v>0</v>
      </c>
      <c r="N132">
        <v>1650</v>
      </c>
    </row>
    <row r="133" spans="1:14" x14ac:dyDescent="0.25">
      <c r="A133">
        <v>11.421950000000001</v>
      </c>
      <c r="B133" s="1">
        <f>DATE(2010,5,12) + TIME(10,7,36)</f>
        <v>40310.421944444446</v>
      </c>
      <c r="C133">
        <v>80</v>
      </c>
      <c r="D133">
        <v>79.852081299000005</v>
      </c>
      <c r="E133">
        <v>50</v>
      </c>
      <c r="F133">
        <v>14.997242928</v>
      </c>
      <c r="G133">
        <v>1379.234375</v>
      </c>
      <c r="H133">
        <v>1368.8614502</v>
      </c>
      <c r="I133">
        <v>1277.2951660000001</v>
      </c>
      <c r="J133">
        <v>1250.1578368999999</v>
      </c>
      <c r="K133">
        <v>1650</v>
      </c>
      <c r="L133">
        <v>0</v>
      </c>
      <c r="M133">
        <v>0</v>
      </c>
      <c r="N133">
        <v>1650</v>
      </c>
    </row>
    <row r="134" spans="1:14" x14ac:dyDescent="0.25">
      <c r="A134">
        <v>11.676437999999999</v>
      </c>
      <c r="B134" s="1">
        <f>DATE(2010,5,12) + TIME(16,14,4)</f>
        <v>40310.676435185182</v>
      </c>
      <c r="C134">
        <v>80</v>
      </c>
      <c r="D134">
        <v>79.853263854999994</v>
      </c>
      <c r="E134">
        <v>50</v>
      </c>
      <c r="F134">
        <v>14.997260094</v>
      </c>
      <c r="G134">
        <v>1379.1394043</v>
      </c>
      <c r="H134">
        <v>1368.7675781</v>
      </c>
      <c r="I134">
        <v>1277.2983397999999</v>
      </c>
      <c r="J134">
        <v>1250.1608887</v>
      </c>
      <c r="K134">
        <v>1650</v>
      </c>
      <c r="L134">
        <v>0</v>
      </c>
      <c r="M134">
        <v>0</v>
      </c>
      <c r="N134">
        <v>1650</v>
      </c>
    </row>
    <row r="135" spans="1:14" x14ac:dyDescent="0.25">
      <c r="A135">
        <v>11.932134</v>
      </c>
      <c r="B135" s="1">
        <f>DATE(2010,5,12) + TIME(22,22,16)</f>
        <v>40310.932129629633</v>
      </c>
      <c r="C135">
        <v>80</v>
      </c>
      <c r="D135">
        <v>79.854316710999996</v>
      </c>
      <c r="E135">
        <v>50</v>
      </c>
      <c r="F135">
        <v>14.997276306</v>
      </c>
      <c r="G135">
        <v>1379.0460204999999</v>
      </c>
      <c r="H135">
        <v>1368.6755370999999</v>
      </c>
      <c r="I135">
        <v>1277.3015137</v>
      </c>
      <c r="J135">
        <v>1250.1638184000001</v>
      </c>
      <c r="K135">
        <v>1650</v>
      </c>
      <c r="L135">
        <v>0</v>
      </c>
      <c r="M135">
        <v>0</v>
      </c>
      <c r="N135">
        <v>1650</v>
      </c>
    </row>
    <row r="136" spans="1:14" x14ac:dyDescent="0.25">
      <c r="A136">
        <v>12.189482999999999</v>
      </c>
      <c r="B136" s="1">
        <f>DATE(2010,5,13) + TIME(4,32,51)</f>
        <v>40311.189479166664</v>
      </c>
      <c r="C136">
        <v>80</v>
      </c>
      <c r="D136">
        <v>79.855247497999997</v>
      </c>
      <c r="E136">
        <v>50</v>
      </c>
      <c r="F136">
        <v>14.997291564999999</v>
      </c>
      <c r="G136">
        <v>1378.9539795000001</v>
      </c>
      <c r="H136">
        <v>1368.5849608999999</v>
      </c>
      <c r="I136">
        <v>1277.3048096</v>
      </c>
      <c r="J136">
        <v>1250.1668701000001</v>
      </c>
      <c r="K136">
        <v>1650</v>
      </c>
      <c r="L136">
        <v>0</v>
      </c>
      <c r="M136">
        <v>0</v>
      </c>
      <c r="N136">
        <v>1650</v>
      </c>
    </row>
    <row r="137" spans="1:14" x14ac:dyDescent="0.25">
      <c r="A137">
        <v>12.448881</v>
      </c>
      <c r="B137" s="1">
        <f>DATE(2010,5,13) + TIME(10,46,23)</f>
        <v>40311.448877314811</v>
      </c>
      <c r="C137">
        <v>80</v>
      </c>
      <c r="D137">
        <v>79.856079101999995</v>
      </c>
      <c r="E137">
        <v>50</v>
      </c>
      <c r="F137">
        <v>14.997307777</v>
      </c>
      <c r="G137">
        <v>1378.8632812000001</v>
      </c>
      <c r="H137">
        <v>1368.4957274999999</v>
      </c>
      <c r="I137">
        <v>1277.3079834</v>
      </c>
      <c r="J137">
        <v>1250.1699219</v>
      </c>
      <c r="K137">
        <v>1650</v>
      </c>
      <c r="L137">
        <v>0</v>
      </c>
      <c r="M137">
        <v>0</v>
      </c>
      <c r="N137">
        <v>1650</v>
      </c>
    </row>
    <row r="138" spans="1:14" x14ac:dyDescent="0.25">
      <c r="A138">
        <v>12.710724000000001</v>
      </c>
      <c r="B138" s="1">
        <f>DATE(2010,5,13) + TIME(17,3,26)</f>
        <v>40311.710717592592</v>
      </c>
      <c r="C138">
        <v>80</v>
      </c>
      <c r="D138">
        <v>79.856834411999998</v>
      </c>
      <c r="E138">
        <v>50</v>
      </c>
      <c r="F138">
        <v>14.99732399</v>
      </c>
      <c r="G138">
        <v>1378.7736815999999</v>
      </c>
      <c r="H138">
        <v>1368.4075928</v>
      </c>
      <c r="I138">
        <v>1277.3112793</v>
      </c>
      <c r="J138">
        <v>1250.1729736</v>
      </c>
      <c r="K138">
        <v>1650</v>
      </c>
      <c r="L138">
        <v>0</v>
      </c>
      <c r="M138">
        <v>0</v>
      </c>
      <c r="N138">
        <v>1650</v>
      </c>
    </row>
    <row r="139" spans="1:14" x14ac:dyDescent="0.25">
      <c r="A139">
        <v>12.975415999999999</v>
      </c>
      <c r="B139" s="1">
        <f>DATE(2010,5,13) + TIME(23,24,35)</f>
        <v>40311.975405092591</v>
      </c>
      <c r="C139">
        <v>80</v>
      </c>
      <c r="D139">
        <v>79.857513428000004</v>
      </c>
      <c r="E139">
        <v>50</v>
      </c>
      <c r="F139">
        <v>14.997339248999999</v>
      </c>
      <c r="G139">
        <v>1378.6850586</v>
      </c>
      <c r="H139">
        <v>1368.3205565999999</v>
      </c>
      <c r="I139">
        <v>1277.3145752</v>
      </c>
      <c r="J139">
        <v>1250.1760254000001</v>
      </c>
      <c r="K139">
        <v>1650</v>
      </c>
      <c r="L139">
        <v>0</v>
      </c>
      <c r="M139">
        <v>0</v>
      </c>
      <c r="N139">
        <v>1650</v>
      </c>
    </row>
    <row r="140" spans="1:14" x14ac:dyDescent="0.25">
      <c r="A140">
        <v>13.243371</v>
      </c>
      <c r="B140" s="1">
        <f>DATE(2010,5,14) + TIME(5,50,27)</f>
        <v>40312.243368055555</v>
      </c>
      <c r="C140">
        <v>80</v>
      </c>
      <c r="D140">
        <v>79.858131408999995</v>
      </c>
      <c r="E140">
        <v>50</v>
      </c>
      <c r="F140">
        <v>14.997354507000001</v>
      </c>
      <c r="G140">
        <v>1378.597168</v>
      </c>
      <c r="H140">
        <v>1368.2342529</v>
      </c>
      <c r="I140">
        <v>1277.3178711</v>
      </c>
      <c r="J140">
        <v>1250.1791992000001</v>
      </c>
      <c r="K140">
        <v>1650</v>
      </c>
      <c r="L140">
        <v>0</v>
      </c>
      <c r="M140">
        <v>0</v>
      </c>
      <c r="N140">
        <v>1650</v>
      </c>
    </row>
    <row r="141" spans="1:14" x14ac:dyDescent="0.25">
      <c r="A141">
        <v>13.515019000000001</v>
      </c>
      <c r="B141" s="1">
        <f>DATE(2010,5,14) + TIME(12,21,37)</f>
        <v>40312.515011574076</v>
      </c>
      <c r="C141">
        <v>80</v>
      </c>
      <c r="D141">
        <v>79.858688353999995</v>
      </c>
      <c r="E141">
        <v>50</v>
      </c>
      <c r="F141">
        <v>14.997370719999999</v>
      </c>
      <c r="G141">
        <v>1378.5098877</v>
      </c>
      <c r="H141">
        <v>1368.1486815999999</v>
      </c>
      <c r="I141">
        <v>1277.3212891000001</v>
      </c>
      <c r="J141">
        <v>1250.1823730000001</v>
      </c>
      <c r="K141">
        <v>1650</v>
      </c>
      <c r="L141">
        <v>0</v>
      </c>
      <c r="M141">
        <v>0</v>
      </c>
      <c r="N141">
        <v>1650</v>
      </c>
    </row>
    <row r="142" spans="1:14" x14ac:dyDescent="0.25">
      <c r="A142">
        <v>13.790806999999999</v>
      </c>
      <c r="B142" s="1">
        <f>DATE(2010,5,14) + TIME(18,58,45)</f>
        <v>40312.790798611109</v>
      </c>
      <c r="C142">
        <v>80</v>
      </c>
      <c r="D142">
        <v>79.859207153</v>
      </c>
      <c r="E142">
        <v>50</v>
      </c>
      <c r="F142">
        <v>14.997385979000001</v>
      </c>
      <c r="G142">
        <v>1378.4230957</v>
      </c>
      <c r="H142">
        <v>1368.0635986</v>
      </c>
      <c r="I142">
        <v>1277.324707</v>
      </c>
      <c r="J142">
        <v>1250.1855469</v>
      </c>
      <c r="K142">
        <v>1650</v>
      </c>
      <c r="L142">
        <v>0</v>
      </c>
      <c r="M142">
        <v>0</v>
      </c>
      <c r="N142">
        <v>1650</v>
      </c>
    </row>
    <row r="143" spans="1:14" x14ac:dyDescent="0.25">
      <c r="A143">
        <v>14.070491000000001</v>
      </c>
      <c r="B143" s="1">
        <f>DATE(2010,5,15) + TIME(1,41,30)</f>
        <v>40313.070486111108</v>
      </c>
      <c r="C143">
        <v>80</v>
      </c>
      <c r="D143">
        <v>79.859672545999999</v>
      </c>
      <c r="E143">
        <v>50</v>
      </c>
      <c r="F143">
        <v>14.997401237</v>
      </c>
      <c r="G143">
        <v>1378.3366699000001</v>
      </c>
      <c r="H143">
        <v>1367.9790039</v>
      </c>
      <c r="I143">
        <v>1277.328125</v>
      </c>
      <c r="J143">
        <v>1250.1888428</v>
      </c>
      <c r="K143">
        <v>1650</v>
      </c>
      <c r="L143">
        <v>0</v>
      </c>
      <c r="M143">
        <v>0</v>
      </c>
      <c r="N143">
        <v>1650</v>
      </c>
    </row>
    <row r="144" spans="1:14" x14ac:dyDescent="0.25">
      <c r="A144">
        <v>14.354075</v>
      </c>
      <c r="B144" s="1">
        <f>DATE(2010,5,15) + TIME(8,29,52)</f>
        <v>40313.354074074072</v>
      </c>
      <c r="C144">
        <v>80</v>
      </c>
      <c r="D144">
        <v>79.860099792</v>
      </c>
      <c r="E144">
        <v>50</v>
      </c>
      <c r="F144">
        <v>14.997416496</v>
      </c>
      <c r="G144">
        <v>1378.2506103999999</v>
      </c>
      <c r="H144">
        <v>1367.8948975000001</v>
      </c>
      <c r="I144">
        <v>1277.3316649999999</v>
      </c>
      <c r="J144">
        <v>1250.1921387</v>
      </c>
      <c r="K144">
        <v>1650</v>
      </c>
      <c r="L144">
        <v>0</v>
      </c>
      <c r="M144">
        <v>0</v>
      </c>
      <c r="N144">
        <v>1650</v>
      </c>
    </row>
    <row r="145" spans="1:14" x14ac:dyDescent="0.25">
      <c r="A145">
        <v>14.642009</v>
      </c>
      <c r="B145" s="1">
        <f>DATE(2010,5,15) + TIME(15,24,29)</f>
        <v>40313.642002314817</v>
      </c>
      <c r="C145">
        <v>80</v>
      </c>
      <c r="D145">
        <v>79.860496521000002</v>
      </c>
      <c r="E145">
        <v>50</v>
      </c>
      <c r="F145">
        <v>14.997431754999999</v>
      </c>
      <c r="G145">
        <v>1378.1650391000001</v>
      </c>
      <c r="H145">
        <v>1367.8112793</v>
      </c>
      <c r="I145">
        <v>1277.3352050999999</v>
      </c>
      <c r="J145">
        <v>1250.1954346</v>
      </c>
      <c r="K145">
        <v>1650</v>
      </c>
      <c r="L145">
        <v>0</v>
      </c>
      <c r="M145">
        <v>0</v>
      </c>
      <c r="N145">
        <v>1650</v>
      </c>
    </row>
    <row r="146" spans="1:14" x14ac:dyDescent="0.25">
      <c r="A146">
        <v>14.934813999999999</v>
      </c>
      <c r="B146" s="1">
        <f>DATE(2010,5,15) + TIME(22,26,7)</f>
        <v>40313.934803240743</v>
      </c>
      <c r="C146">
        <v>80</v>
      </c>
      <c r="D146">
        <v>79.860862732000001</v>
      </c>
      <c r="E146">
        <v>50</v>
      </c>
      <c r="F146">
        <v>14.997447014</v>
      </c>
      <c r="G146">
        <v>1378.0797118999999</v>
      </c>
      <c r="H146">
        <v>1367.7280272999999</v>
      </c>
      <c r="I146">
        <v>1277.3388672000001</v>
      </c>
      <c r="J146">
        <v>1250.1988524999999</v>
      </c>
      <c r="K146">
        <v>1650</v>
      </c>
      <c r="L146">
        <v>0</v>
      </c>
      <c r="M146">
        <v>0</v>
      </c>
      <c r="N146">
        <v>1650</v>
      </c>
    </row>
    <row r="147" spans="1:14" x14ac:dyDescent="0.25">
      <c r="A147">
        <v>15.233021000000001</v>
      </c>
      <c r="B147" s="1">
        <f>DATE(2010,5,16) + TIME(5,35,33)</f>
        <v>40314.233020833337</v>
      </c>
      <c r="C147">
        <v>80</v>
      </c>
      <c r="D147">
        <v>79.861198424999998</v>
      </c>
      <c r="E147">
        <v>50</v>
      </c>
      <c r="F147">
        <v>14.997462273</v>
      </c>
      <c r="G147">
        <v>1377.9946289</v>
      </c>
      <c r="H147">
        <v>1367.6451416</v>
      </c>
      <c r="I147">
        <v>1277.3425293</v>
      </c>
      <c r="J147">
        <v>1250.2023925999999</v>
      </c>
      <c r="K147">
        <v>1650</v>
      </c>
      <c r="L147">
        <v>0</v>
      </c>
      <c r="M147">
        <v>0</v>
      </c>
      <c r="N147">
        <v>1650</v>
      </c>
    </row>
    <row r="148" spans="1:14" x14ac:dyDescent="0.25">
      <c r="A148">
        <v>15.537093</v>
      </c>
      <c r="B148" s="1">
        <f>DATE(2010,5,16) + TIME(12,53,24)</f>
        <v>40314.537083333336</v>
      </c>
      <c r="C148">
        <v>80</v>
      </c>
      <c r="D148">
        <v>79.861511230000005</v>
      </c>
      <c r="E148">
        <v>50</v>
      </c>
      <c r="F148">
        <v>14.997477530999999</v>
      </c>
      <c r="G148">
        <v>1377.9095459</v>
      </c>
      <c r="H148">
        <v>1367.5622559000001</v>
      </c>
      <c r="I148">
        <v>1277.3463135</v>
      </c>
      <c r="J148">
        <v>1250.2059326000001</v>
      </c>
      <c r="K148">
        <v>1650</v>
      </c>
      <c r="L148">
        <v>0</v>
      </c>
      <c r="M148">
        <v>0</v>
      </c>
      <c r="N148">
        <v>1650</v>
      </c>
    </row>
    <row r="149" spans="1:14" x14ac:dyDescent="0.25">
      <c r="A149">
        <v>15.847586</v>
      </c>
      <c r="B149" s="1">
        <f>DATE(2010,5,16) + TIME(20,20,31)</f>
        <v>40314.847581018519</v>
      </c>
      <c r="C149">
        <v>80</v>
      </c>
      <c r="D149">
        <v>79.861808776999993</v>
      </c>
      <c r="E149">
        <v>50</v>
      </c>
      <c r="F149">
        <v>14.997492790000001</v>
      </c>
      <c r="G149">
        <v>1377.8243408000001</v>
      </c>
      <c r="H149">
        <v>1367.4793701000001</v>
      </c>
      <c r="I149">
        <v>1277.3502197</v>
      </c>
      <c r="J149">
        <v>1250.2094727000001</v>
      </c>
      <c r="K149">
        <v>1650</v>
      </c>
      <c r="L149">
        <v>0</v>
      </c>
      <c r="M149">
        <v>0</v>
      </c>
      <c r="N149">
        <v>1650</v>
      </c>
    </row>
    <row r="150" spans="1:14" x14ac:dyDescent="0.25">
      <c r="A150">
        <v>16.165122</v>
      </c>
      <c r="B150" s="1">
        <f>DATE(2010,5,17) + TIME(3,57,46)</f>
        <v>40315.16511574074</v>
      </c>
      <c r="C150">
        <v>80</v>
      </c>
      <c r="D150">
        <v>79.862075806000007</v>
      </c>
      <c r="E150">
        <v>50</v>
      </c>
      <c r="F150">
        <v>14.997508049</v>
      </c>
      <c r="G150">
        <v>1377.7390137</v>
      </c>
      <c r="H150">
        <v>1367.3963623</v>
      </c>
      <c r="I150">
        <v>1277.354126</v>
      </c>
      <c r="J150">
        <v>1250.2131348</v>
      </c>
      <c r="K150">
        <v>1650</v>
      </c>
      <c r="L150">
        <v>0</v>
      </c>
      <c r="M150">
        <v>0</v>
      </c>
      <c r="N150">
        <v>1650</v>
      </c>
    </row>
    <row r="151" spans="1:14" x14ac:dyDescent="0.25">
      <c r="A151">
        <v>16.490416</v>
      </c>
      <c r="B151" s="1">
        <f>DATE(2010,5,17) + TIME(11,46,11)</f>
        <v>40315.490405092591</v>
      </c>
      <c r="C151">
        <v>80</v>
      </c>
      <c r="D151">
        <v>79.862327575999998</v>
      </c>
      <c r="E151">
        <v>50</v>
      </c>
      <c r="F151">
        <v>14.997523308</v>
      </c>
      <c r="G151">
        <v>1377.6534423999999</v>
      </c>
      <c r="H151">
        <v>1367.3132324000001</v>
      </c>
      <c r="I151">
        <v>1277.3580322</v>
      </c>
      <c r="J151">
        <v>1250.2169189000001</v>
      </c>
      <c r="K151">
        <v>1650</v>
      </c>
      <c r="L151">
        <v>0</v>
      </c>
      <c r="M151">
        <v>0</v>
      </c>
      <c r="N151">
        <v>1650</v>
      </c>
    </row>
    <row r="152" spans="1:14" x14ac:dyDescent="0.25">
      <c r="A152">
        <v>16.823419000000001</v>
      </c>
      <c r="B152" s="1">
        <f>DATE(2010,5,17) + TIME(19,45,43)</f>
        <v>40315.823414351849</v>
      </c>
      <c r="C152">
        <v>80</v>
      </c>
      <c r="D152">
        <v>79.862564086999996</v>
      </c>
      <c r="E152">
        <v>50</v>
      </c>
      <c r="F152">
        <v>14.99753952</v>
      </c>
      <c r="G152">
        <v>1377.5673827999999</v>
      </c>
      <c r="H152">
        <v>1367.2296143000001</v>
      </c>
      <c r="I152">
        <v>1277.3621826000001</v>
      </c>
      <c r="J152">
        <v>1250.2208252</v>
      </c>
      <c r="K152">
        <v>1650</v>
      </c>
      <c r="L152">
        <v>0</v>
      </c>
      <c r="M152">
        <v>0</v>
      </c>
      <c r="N152">
        <v>1650</v>
      </c>
    </row>
    <row r="153" spans="1:14" x14ac:dyDescent="0.25">
      <c r="A153">
        <v>17.164577999999999</v>
      </c>
      <c r="B153" s="1">
        <f>DATE(2010,5,18) + TIME(3,56,59)</f>
        <v>40316.164571759262</v>
      </c>
      <c r="C153">
        <v>80</v>
      </c>
      <c r="D153">
        <v>79.862785338999998</v>
      </c>
      <c r="E153">
        <v>50</v>
      </c>
      <c r="F153">
        <v>14.997554779</v>
      </c>
      <c r="G153">
        <v>1377.4808350000001</v>
      </c>
      <c r="H153">
        <v>1367.145874</v>
      </c>
      <c r="I153">
        <v>1277.3664550999999</v>
      </c>
      <c r="J153">
        <v>1250.2247314000001</v>
      </c>
      <c r="K153">
        <v>1650</v>
      </c>
      <c r="L153">
        <v>0</v>
      </c>
      <c r="M153">
        <v>0</v>
      </c>
      <c r="N153">
        <v>1650</v>
      </c>
    </row>
    <row r="154" spans="1:14" x14ac:dyDescent="0.25">
      <c r="A154">
        <v>17.513818000000001</v>
      </c>
      <c r="B154" s="1">
        <f>DATE(2010,5,18) + TIME(12,19,53)</f>
        <v>40316.513807870368</v>
      </c>
      <c r="C154">
        <v>80</v>
      </c>
      <c r="D154">
        <v>79.862991332999997</v>
      </c>
      <c r="E154">
        <v>50</v>
      </c>
      <c r="F154">
        <v>14.997570992</v>
      </c>
      <c r="G154">
        <v>1377.3939209</v>
      </c>
      <c r="H154">
        <v>1367.0616454999999</v>
      </c>
      <c r="I154">
        <v>1277.3707274999999</v>
      </c>
      <c r="J154">
        <v>1250.2287598</v>
      </c>
      <c r="K154">
        <v>1650</v>
      </c>
      <c r="L154">
        <v>0</v>
      </c>
      <c r="M154">
        <v>0</v>
      </c>
      <c r="N154">
        <v>1650</v>
      </c>
    </row>
    <row r="155" spans="1:14" x14ac:dyDescent="0.25">
      <c r="A155">
        <v>17.863911999999999</v>
      </c>
      <c r="B155" s="1">
        <f>DATE(2010,5,18) + TIME(20,44,2)</f>
        <v>40316.863912037035</v>
      </c>
      <c r="C155">
        <v>80</v>
      </c>
      <c r="D155">
        <v>79.863182068</v>
      </c>
      <c r="E155">
        <v>50</v>
      </c>
      <c r="F155">
        <v>14.997586249999999</v>
      </c>
      <c r="G155">
        <v>1377.3066406</v>
      </c>
      <c r="H155">
        <v>1366.9770507999999</v>
      </c>
      <c r="I155">
        <v>1277.3751221</v>
      </c>
      <c r="J155">
        <v>1250.2329102000001</v>
      </c>
      <c r="K155">
        <v>1650</v>
      </c>
      <c r="L155">
        <v>0</v>
      </c>
      <c r="M155">
        <v>0</v>
      </c>
      <c r="N155">
        <v>1650</v>
      </c>
    </row>
    <row r="156" spans="1:14" x14ac:dyDescent="0.25">
      <c r="A156">
        <v>18.214818000000001</v>
      </c>
      <c r="B156" s="1">
        <f>DATE(2010,5,19) + TIME(5,9,20)</f>
        <v>40317.214814814812</v>
      </c>
      <c r="C156">
        <v>80</v>
      </c>
      <c r="D156">
        <v>79.863357543999996</v>
      </c>
      <c r="E156">
        <v>50</v>
      </c>
      <c r="F156">
        <v>14.997601509000001</v>
      </c>
      <c r="G156">
        <v>1377.2207031</v>
      </c>
      <c r="H156">
        <v>1366.894043</v>
      </c>
      <c r="I156">
        <v>1277.3795166</v>
      </c>
      <c r="J156">
        <v>1250.2370605000001</v>
      </c>
      <c r="K156">
        <v>1650</v>
      </c>
      <c r="L156">
        <v>0</v>
      </c>
      <c r="M156">
        <v>0</v>
      </c>
      <c r="N156">
        <v>1650</v>
      </c>
    </row>
    <row r="157" spans="1:14" x14ac:dyDescent="0.25">
      <c r="A157">
        <v>18.567129999999999</v>
      </c>
      <c r="B157" s="1">
        <f>DATE(2010,5,19) + TIME(13,36,39)</f>
        <v>40317.567118055558</v>
      </c>
      <c r="C157">
        <v>80</v>
      </c>
      <c r="D157">
        <v>79.863517760999997</v>
      </c>
      <c r="E157">
        <v>50</v>
      </c>
      <c r="F157">
        <v>14.997616768</v>
      </c>
      <c r="G157">
        <v>1377.1361084</v>
      </c>
      <c r="H157">
        <v>1366.8123779</v>
      </c>
      <c r="I157">
        <v>1277.3840332</v>
      </c>
      <c r="J157">
        <v>1250.2412108999999</v>
      </c>
      <c r="K157">
        <v>1650</v>
      </c>
      <c r="L157">
        <v>0</v>
      </c>
      <c r="M157">
        <v>0</v>
      </c>
      <c r="N157">
        <v>1650</v>
      </c>
    </row>
    <row r="158" spans="1:14" x14ac:dyDescent="0.25">
      <c r="A158">
        <v>18.921447000000001</v>
      </c>
      <c r="B158" s="1">
        <f>DATE(2010,5,19) + TIME(22,6,53)</f>
        <v>40317.921446759261</v>
      </c>
      <c r="C158">
        <v>80</v>
      </c>
      <c r="D158">
        <v>79.863670349000003</v>
      </c>
      <c r="E158">
        <v>50</v>
      </c>
      <c r="F158">
        <v>14.997632027</v>
      </c>
      <c r="G158">
        <v>1377.0528564000001</v>
      </c>
      <c r="H158">
        <v>1366.7319336</v>
      </c>
      <c r="I158">
        <v>1277.3884277</v>
      </c>
      <c r="J158">
        <v>1250.2453613</v>
      </c>
      <c r="K158">
        <v>1650</v>
      </c>
      <c r="L158">
        <v>0</v>
      </c>
      <c r="M158">
        <v>0</v>
      </c>
      <c r="N158">
        <v>1650</v>
      </c>
    </row>
    <row r="159" spans="1:14" x14ac:dyDescent="0.25">
      <c r="A159">
        <v>19.278341999999999</v>
      </c>
      <c r="B159" s="1">
        <f>DATE(2010,5,20) + TIME(6,40,48)</f>
        <v>40318.278333333335</v>
      </c>
      <c r="C159">
        <v>80</v>
      </c>
      <c r="D159">
        <v>79.863807678000001</v>
      </c>
      <c r="E159">
        <v>50</v>
      </c>
      <c r="F159">
        <v>14.997646332</v>
      </c>
      <c r="G159">
        <v>1376.9705810999999</v>
      </c>
      <c r="H159">
        <v>1366.6525879000001</v>
      </c>
      <c r="I159">
        <v>1277.3929443</v>
      </c>
      <c r="J159">
        <v>1250.2495117000001</v>
      </c>
      <c r="K159">
        <v>1650</v>
      </c>
      <c r="L159">
        <v>0</v>
      </c>
      <c r="M159">
        <v>0</v>
      </c>
      <c r="N159">
        <v>1650</v>
      </c>
    </row>
    <row r="160" spans="1:14" x14ac:dyDescent="0.25">
      <c r="A160">
        <v>19.638390000000001</v>
      </c>
      <c r="B160" s="1">
        <f>DATE(2010,5,20) + TIME(15,19,16)</f>
        <v>40318.638379629629</v>
      </c>
      <c r="C160">
        <v>80</v>
      </c>
      <c r="D160">
        <v>79.863937378000003</v>
      </c>
      <c r="E160">
        <v>50</v>
      </c>
      <c r="F160">
        <v>14.997661591</v>
      </c>
      <c r="G160">
        <v>1376.8891602000001</v>
      </c>
      <c r="H160">
        <v>1366.5740966999999</v>
      </c>
      <c r="I160">
        <v>1277.3974608999999</v>
      </c>
      <c r="J160">
        <v>1250.2537841999999</v>
      </c>
      <c r="K160">
        <v>1650</v>
      </c>
      <c r="L160">
        <v>0</v>
      </c>
      <c r="M160">
        <v>0</v>
      </c>
      <c r="N160">
        <v>1650</v>
      </c>
    </row>
    <row r="161" spans="1:14" x14ac:dyDescent="0.25">
      <c r="A161">
        <v>20.002174</v>
      </c>
      <c r="B161" s="1">
        <f>DATE(2010,5,21) + TIME(0,3,7)</f>
        <v>40319.002164351848</v>
      </c>
      <c r="C161">
        <v>80</v>
      </c>
      <c r="D161">
        <v>79.864059448000006</v>
      </c>
      <c r="E161">
        <v>50</v>
      </c>
      <c r="F161">
        <v>14.997675896000001</v>
      </c>
      <c r="G161">
        <v>1376.8084716999999</v>
      </c>
      <c r="H161">
        <v>1366.4964600000001</v>
      </c>
      <c r="I161">
        <v>1277.4020995999999</v>
      </c>
      <c r="J161">
        <v>1250.2580565999999</v>
      </c>
      <c r="K161">
        <v>1650</v>
      </c>
      <c r="L161">
        <v>0</v>
      </c>
      <c r="M161">
        <v>0</v>
      </c>
      <c r="N161">
        <v>1650</v>
      </c>
    </row>
    <row r="162" spans="1:14" x14ac:dyDescent="0.25">
      <c r="A162">
        <v>20.370296</v>
      </c>
      <c r="B162" s="1">
        <f>DATE(2010,5,21) + TIME(8,53,13)</f>
        <v>40319.370289351849</v>
      </c>
      <c r="C162">
        <v>80</v>
      </c>
      <c r="D162">
        <v>79.864173889</v>
      </c>
      <c r="E162">
        <v>50</v>
      </c>
      <c r="F162">
        <v>14.997690200999999</v>
      </c>
      <c r="G162">
        <v>1376.7283935999999</v>
      </c>
      <c r="H162">
        <v>1366.4193115</v>
      </c>
      <c r="I162">
        <v>1277.4067382999999</v>
      </c>
      <c r="J162">
        <v>1250.2624512</v>
      </c>
      <c r="K162">
        <v>1650</v>
      </c>
      <c r="L162">
        <v>0</v>
      </c>
      <c r="M162">
        <v>0</v>
      </c>
      <c r="N162">
        <v>1650</v>
      </c>
    </row>
    <row r="163" spans="1:14" x14ac:dyDescent="0.25">
      <c r="A163">
        <v>20.742083999999998</v>
      </c>
      <c r="B163" s="1">
        <f>DATE(2010,5,21) + TIME(17,48,36)</f>
        <v>40319.742083333331</v>
      </c>
      <c r="C163">
        <v>80</v>
      </c>
      <c r="D163">
        <v>79.864288329999994</v>
      </c>
      <c r="E163">
        <v>50</v>
      </c>
      <c r="F163">
        <v>14.997705460000001</v>
      </c>
      <c r="G163">
        <v>1376.6486815999999</v>
      </c>
      <c r="H163">
        <v>1366.3427733999999</v>
      </c>
      <c r="I163">
        <v>1277.4113769999999</v>
      </c>
      <c r="J163">
        <v>1250.2668457</v>
      </c>
      <c r="K163">
        <v>1650</v>
      </c>
      <c r="L163">
        <v>0</v>
      </c>
      <c r="M163">
        <v>0</v>
      </c>
      <c r="N163">
        <v>1650</v>
      </c>
    </row>
    <row r="164" spans="1:14" x14ac:dyDescent="0.25">
      <c r="A164">
        <v>21.117412999999999</v>
      </c>
      <c r="B164" s="1">
        <f>DATE(2010,5,22) + TIME(2,49,4)</f>
        <v>40320.117407407408</v>
      </c>
      <c r="C164">
        <v>80</v>
      </c>
      <c r="D164">
        <v>79.864387511999993</v>
      </c>
      <c r="E164">
        <v>50</v>
      </c>
      <c r="F164">
        <v>14.997719764999999</v>
      </c>
      <c r="G164">
        <v>1376.5695800999999</v>
      </c>
      <c r="H164">
        <v>1366.2668457</v>
      </c>
      <c r="I164">
        <v>1277.4161377</v>
      </c>
      <c r="J164">
        <v>1250.2712402</v>
      </c>
      <c r="K164">
        <v>1650</v>
      </c>
      <c r="L164">
        <v>0</v>
      </c>
      <c r="M164">
        <v>0</v>
      </c>
      <c r="N164">
        <v>1650</v>
      </c>
    </row>
    <row r="165" spans="1:14" x14ac:dyDescent="0.25">
      <c r="A165">
        <v>21.496852000000001</v>
      </c>
      <c r="B165" s="1">
        <f>DATE(2010,5,22) + TIME(11,55,27)</f>
        <v>40320.496840277781</v>
      </c>
      <c r="C165">
        <v>80</v>
      </c>
      <c r="D165">
        <v>79.864486693999993</v>
      </c>
      <c r="E165">
        <v>50</v>
      </c>
      <c r="F165">
        <v>14.99773407</v>
      </c>
      <c r="G165">
        <v>1376.4910889</v>
      </c>
      <c r="H165">
        <v>1366.1915283000001</v>
      </c>
      <c r="I165">
        <v>1277.4208983999999</v>
      </c>
      <c r="J165">
        <v>1250.2757568</v>
      </c>
      <c r="K165">
        <v>1650</v>
      </c>
      <c r="L165">
        <v>0</v>
      </c>
      <c r="M165">
        <v>0</v>
      </c>
      <c r="N165">
        <v>1650</v>
      </c>
    </row>
    <row r="166" spans="1:14" x14ac:dyDescent="0.25">
      <c r="A166">
        <v>21.880977000000001</v>
      </c>
      <c r="B166" s="1">
        <f>DATE(2010,5,22) + TIME(21,8,36)</f>
        <v>40320.880972222221</v>
      </c>
      <c r="C166">
        <v>80</v>
      </c>
      <c r="D166">
        <v>79.864585876000007</v>
      </c>
      <c r="E166">
        <v>50</v>
      </c>
      <c r="F166">
        <v>14.997748375</v>
      </c>
      <c r="G166">
        <v>1376.4132079999999</v>
      </c>
      <c r="H166">
        <v>1366.1168213000001</v>
      </c>
      <c r="I166">
        <v>1277.4257812000001</v>
      </c>
      <c r="J166">
        <v>1250.2802733999999</v>
      </c>
      <c r="K166">
        <v>1650</v>
      </c>
      <c r="L166">
        <v>0</v>
      </c>
      <c r="M166">
        <v>0</v>
      </c>
      <c r="N166">
        <v>1650</v>
      </c>
    </row>
    <row r="167" spans="1:14" x14ac:dyDescent="0.25">
      <c r="A167">
        <v>22.270394</v>
      </c>
      <c r="B167" s="1">
        <f>DATE(2010,5,23) + TIME(6,29,22)</f>
        <v>40321.27039351852</v>
      </c>
      <c r="C167">
        <v>80</v>
      </c>
      <c r="D167">
        <v>79.864677428999997</v>
      </c>
      <c r="E167">
        <v>50</v>
      </c>
      <c r="F167">
        <v>14.997762679999999</v>
      </c>
      <c r="G167">
        <v>1376.3355713000001</v>
      </c>
      <c r="H167">
        <v>1366.0424805</v>
      </c>
      <c r="I167">
        <v>1277.4307861</v>
      </c>
      <c r="J167">
        <v>1250.2849120999999</v>
      </c>
      <c r="K167">
        <v>1650</v>
      </c>
      <c r="L167">
        <v>0</v>
      </c>
      <c r="M167">
        <v>0</v>
      </c>
      <c r="N167">
        <v>1650</v>
      </c>
    </row>
    <row r="168" spans="1:14" x14ac:dyDescent="0.25">
      <c r="A168">
        <v>22.665831000000001</v>
      </c>
      <c r="B168" s="1">
        <f>DATE(2010,5,23) + TIME(15,58,47)</f>
        <v>40321.665821759256</v>
      </c>
      <c r="C168">
        <v>80</v>
      </c>
      <c r="D168">
        <v>79.864761353000006</v>
      </c>
      <c r="E168">
        <v>50</v>
      </c>
      <c r="F168">
        <v>14.997776985</v>
      </c>
      <c r="G168">
        <v>1376.2581786999999</v>
      </c>
      <c r="H168">
        <v>1365.9683838000001</v>
      </c>
      <c r="I168">
        <v>1277.4357910000001</v>
      </c>
      <c r="J168">
        <v>1250.2896728999999</v>
      </c>
      <c r="K168">
        <v>1650</v>
      </c>
      <c r="L168">
        <v>0</v>
      </c>
      <c r="M168">
        <v>0</v>
      </c>
      <c r="N168">
        <v>1650</v>
      </c>
    </row>
    <row r="169" spans="1:14" x14ac:dyDescent="0.25">
      <c r="A169">
        <v>23.067957</v>
      </c>
      <c r="B169" s="1">
        <f>DATE(2010,5,24) + TIME(1,37,51)</f>
        <v>40322.06795138889</v>
      </c>
      <c r="C169">
        <v>80</v>
      </c>
      <c r="D169">
        <v>79.864845275999997</v>
      </c>
      <c r="E169">
        <v>50</v>
      </c>
      <c r="F169">
        <v>14.997790337</v>
      </c>
      <c r="G169">
        <v>1376.1807861</v>
      </c>
      <c r="H169">
        <v>1365.8944091999999</v>
      </c>
      <c r="I169">
        <v>1277.4407959</v>
      </c>
      <c r="J169">
        <v>1250.2944336</v>
      </c>
      <c r="K169">
        <v>1650</v>
      </c>
      <c r="L169">
        <v>0</v>
      </c>
      <c r="M169">
        <v>0</v>
      </c>
      <c r="N169">
        <v>1650</v>
      </c>
    </row>
    <row r="170" spans="1:14" x14ac:dyDescent="0.25">
      <c r="A170">
        <v>23.477392999999999</v>
      </c>
      <c r="B170" s="1">
        <f>DATE(2010,5,24) + TIME(11,27,26)</f>
        <v>40322.477384259262</v>
      </c>
      <c r="C170">
        <v>80</v>
      </c>
      <c r="D170">
        <v>79.864929199000002</v>
      </c>
      <c r="E170">
        <v>50</v>
      </c>
      <c r="F170">
        <v>14.997804642</v>
      </c>
      <c r="G170">
        <v>1376.1035156</v>
      </c>
      <c r="H170">
        <v>1365.8206786999999</v>
      </c>
      <c r="I170">
        <v>1277.4460449000001</v>
      </c>
      <c r="J170">
        <v>1250.2991943</v>
      </c>
      <c r="K170">
        <v>1650</v>
      </c>
      <c r="L170">
        <v>0</v>
      </c>
      <c r="M170">
        <v>0</v>
      </c>
      <c r="N170">
        <v>1650</v>
      </c>
    </row>
    <row r="171" spans="1:14" x14ac:dyDescent="0.25">
      <c r="A171">
        <v>23.894877999999999</v>
      </c>
      <c r="B171" s="1">
        <f>DATE(2010,5,24) + TIME(21,28,37)</f>
        <v>40322.894872685189</v>
      </c>
      <c r="C171">
        <v>80</v>
      </c>
      <c r="D171">
        <v>79.865013122999997</v>
      </c>
      <c r="E171">
        <v>50</v>
      </c>
      <c r="F171">
        <v>14.997818947000001</v>
      </c>
      <c r="G171">
        <v>1376.0261230000001</v>
      </c>
      <c r="H171">
        <v>1365.7467041</v>
      </c>
      <c r="I171">
        <v>1277.4512939000001</v>
      </c>
      <c r="J171">
        <v>1250.3041992000001</v>
      </c>
      <c r="K171">
        <v>1650</v>
      </c>
      <c r="L171">
        <v>0</v>
      </c>
      <c r="M171">
        <v>0</v>
      </c>
      <c r="N171">
        <v>1650</v>
      </c>
    </row>
    <row r="172" spans="1:14" x14ac:dyDescent="0.25">
      <c r="A172">
        <v>24.321304999999999</v>
      </c>
      <c r="B172" s="1">
        <f>DATE(2010,5,25) + TIME(7,42,40)</f>
        <v>40323.321296296293</v>
      </c>
      <c r="C172">
        <v>80</v>
      </c>
      <c r="D172">
        <v>79.865089416999993</v>
      </c>
      <c r="E172">
        <v>50</v>
      </c>
      <c r="F172">
        <v>14.997833252</v>
      </c>
      <c r="G172">
        <v>1375.9484863</v>
      </c>
      <c r="H172">
        <v>1365.6727295000001</v>
      </c>
      <c r="I172">
        <v>1277.4566649999999</v>
      </c>
      <c r="J172">
        <v>1250.3092041</v>
      </c>
      <c r="K172">
        <v>1650</v>
      </c>
      <c r="L172">
        <v>0</v>
      </c>
      <c r="M172">
        <v>0</v>
      </c>
      <c r="N172">
        <v>1650</v>
      </c>
    </row>
    <row r="173" spans="1:14" x14ac:dyDescent="0.25">
      <c r="A173">
        <v>24.756986999999999</v>
      </c>
      <c r="B173" s="1">
        <f>DATE(2010,5,25) + TIME(18,10,3)</f>
        <v>40323.756979166668</v>
      </c>
      <c r="C173">
        <v>80</v>
      </c>
      <c r="D173">
        <v>79.865173339999998</v>
      </c>
      <c r="E173">
        <v>50</v>
      </c>
      <c r="F173">
        <v>14.997848511000001</v>
      </c>
      <c r="G173">
        <v>1375.8706055</v>
      </c>
      <c r="H173">
        <v>1365.5983887</v>
      </c>
      <c r="I173">
        <v>1277.4621582</v>
      </c>
      <c r="J173">
        <v>1250.3143310999999</v>
      </c>
      <c r="K173">
        <v>1650</v>
      </c>
      <c r="L173">
        <v>0</v>
      </c>
      <c r="M173">
        <v>0</v>
      </c>
      <c r="N173">
        <v>1650</v>
      </c>
    </row>
    <row r="174" spans="1:14" x14ac:dyDescent="0.25">
      <c r="A174">
        <v>25.201803999999999</v>
      </c>
      <c r="B174" s="1">
        <f>DATE(2010,5,26) + TIME(4,50,35)</f>
        <v>40324.201793981483</v>
      </c>
      <c r="C174">
        <v>80</v>
      </c>
      <c r="D174">
        <v>79.865249633999994</v>
      </c>
      <c r="E174">
        <v>50</v>
      </c>
      <c r="F174">
        <v>14.997862816</v>
      </c>
      <c r="G174">
        <v>1375.7922363</v>
      </c>
      <c r="H174">
        <v>1365.5238036999999</v>
      </c>
      <c r="I174">
        <v>1277.4678954999999</v>
      </c>
      <c r="J174">
        <v>1250.3195800999999</v>
      </c>
      <c r="K174">
        <v>1650</v>
      </c>
      <c r="L174">
        <v>0</v>
      </c>
      <c r="M174">
        <v>0</v>
      </c>
      <c r="N174">
        <v>1650</v>
      </c>
    </row>
    <row r="175" spans="1:14" x14ac:dyDescent="0.25">
      <c r="A175">
        <v>25.651281000000001</v>
      </c>
      <c r="B175" s="1">
        <f>DATE(2010,5,26) + TIME(15,37,50)</f>
        <v>40324.651273148149</v>
      </c>
      <c r="C175">
        <v>80</v>
      </c>
      <c r="D175">
        <v>79.865325928000004</v>
      </c>
      <c r="E175">
        <v>50</v>
      </c>
      <c r="F175">
        <v>14.997877121</v>
      </c>
      <c r="G175">
        <v>1375.7136230000001</v>
      </c>
      <c r="H175">
        <v>1365.4489745999999</v>
      </c>
      <c r="I175">
        <v>1277.4736327999999</v>
      </c>
      <c r="J175">
        <v>1250.3249512</v>
      </c>
      <c r="K175">
        <v>1650</v>
      </c>
      <c r="L175">
        <v>0</v>
      </c>
      <c r="M175">
        <v>0</v>
      </c>
      <c r="N175">
        <v>1650</v>
      </c>
    </row>
    <row r="176" spans="1:14" x14ac:dyDescent="0.25">
      <c r="A176">
        <v>26.101842000000001</v>
      </c>
      <c r="B176" s="1">
        <f>DATE(2010,5,27) + TIME(2,26,39)</f>
        <v>40325.101840277777</v>
      </c>
      <c r="C176">
        <v>80</v>
      </c>
      <c r="D176">
        <v>79.865402222</v>
      </c>
      <c r="E176">
        <v>50</v>
      </c>
      <c r="F176">
        <v>14.997891426000001</v>
      </c>
      <c r="G176">
        <v>1375.6354980000001</v>
      </c>
      <c r="H176">
        <v>1365.3746338000001</v>
      </c>
      <c r="I176">
        <v>1277.4794922000001</v>
      </c>
      <c r="J176">
        <v>1250.3304443</v>
      </c>
      <c r="K176">
        <v>1650</v>
      </c>
      <c r="L176">
        <v>0</v>
      </c>
      <c r="M176">
        <v>0</v>
      </c>
      <c r="N176">
        <v>1650</v>
      </c>
    </row>
    <row r="177" spans="1:14" x14ac:dyDescent="0.25">
      <c r="A177">
        <v>26.554341999999998</v>
      </c>
      <c r="B177" s="1">
        <f>DATE(2010,5,27) + TIME(13,18,15)</f>
        <v>40325.554340277777</v>
      </c>
      <c r="C177">
        <v>80</v>
      </c>
      <c r="D177">
        <v>79.865470885999997</v>
      </c>
      <c r="E177">
        <v>50</v>
      </c>
      <c r="F177">
        <v>14.997905730999999</v>
      </c>
      <c r="G177">
        <v>1375.5583495999999</v>
      </c>
      <c r="H177">
        <v>1365.3015137</v>
      </c>
      <c r="I177">
        <v>1277.4853516000001</v>
      </c>
      <c r="J177">
        <v>1250.3358154</v>
      </c>
      <c r="K177">
        <v>1650</v>
      </c>
      <c r="L177">
        <v>0</v>
      </c>
      <c r="M177">
        <v>0</v>
      </c>
      <c r="N177">
        <v>1650</v>
      </c>
    </row>
    <row r="178" spans="1:14" x14ac:dyDescent="0.25">
      <c r="A178">
        <v>27.009544000000002</v>
      </c>
      <c r="B178" s="1">
        <f>DATE(2010,5,28) + TIME(0,13,44)</f>
        <v>40326.00953703704</v>
      </c>
      <c r="C178">
        <v>80</v>
      </c>
      <c r="D178">
        <v>79.865539550999998</v>
      </c>
      <c r="E178">
        <v>50</v>
      </c>
      <c r="F178">
        <v>14.997920036</v>
      </c>
      <c r="G178">
        <v>1375.4822998</v>
      </c>
      <c r="H178">
        <v>1365.2292480000001</v>
      </c>
      <c r="I178">
        <v>1277.4912108999999</v>
      </c>
      <c r="J178">
        <v>1250.3414307</v>
      </c>
      <c r="K178">
        <v>1650</v>
      </c>
      <c r="L178">
        <v>0</v>
      </c>
      <c r="M178">
        <v>0</v>
      </c>
      <c r="N178">
        <v>1650</v>
      </c>
    </row>
    <row r="179" spans="1:14" x14ac:dyDescent="0.25">
      <c r="A179">
        <v>27.468209000000002</v>
      </c>
      <c r="B179" s="1">
        <f>DATE(2010,5,28) + TIME(11,14,13)</f>
        <v>40326.468206018515</v>
      </c>
      <c r="C179">
        <v>80</v>
      </c>
      <c r="D179">
        <v>79.865615844999994</v>
      </c>
      <c r="E179">
        <v>50</v>
      </c>
      <c r="F179">
        <v>14.997933388</v>
      </c>
      <c r="G179">
        <v>1375.4069824000001</v>
      </c>
      <c r="H179">
        <v>1365.1578368999999</v>
      </c>
      <c r="I179">
        <v>1277.4971923999999</v>
      </c>
      <c r="J179">
        <v>1250.3469238</v>
      </c>
      <c r="K179">
        <v>1650</v>
      </c>
      <c r="L179">
        <v>0</v>
      </c>
      <c r="M179">
        <v>0</v>
      </c>
      <c r="N179">
        <v>1650</v>
      </c>
    </row>
    <row r="180" spans="1:14" x14ac:dyDescent="0.25">
      <c r="A180">
        <v>27.931114000000001</v>
      </c>
      <c r="B180" s="1">
        <f>DATE(2010,5,28) + TIME(22,20,48)</f>
        <v>40326.931111111109</v>
      </c>
      <c r="C180">
        <v>80</v>
      </c>
      <c r="D180">
        <v>79.865684509000005</v>
      </c>
      <c r="E180">
        <v>50</v>
      </c>
      <c r="F180">
        <v>14.997947693</v>
      </c>
      <c r="G180">
        <v>1375.3322754000001</v>
      </c>
      <c r="H180">
        <v>1365.0870361</v>
      </c>
      <c r="I180">
        <v>1277.5031738</v>
      </c>
      <c r="J180">
        <v>1250.3525391000001</v>
      </c>
      <c r="K180">
        <v>1650</v>
      </c>
      <c r="L180">
        <v>0</v>
      </c>
      <c r="M180">
        <v>0</v>
      </c>
      <c r="N180">
        <v>1650</v>
      </c>
    </row>
    <row r="181" spans="1:14" x14ac:dyDescent="0.25">
      <c r="A181">
        <v>28.396498999999999</v>
      </c>
      <c r="B181" s="1">
        <f>DATE(2010,5,29) + TIME(9,30,57)</f>
        <v>40327.396493055552</v>
      </c>
      <c r="C181">
        <v>80</v>
      </c>
      <c r="D181">
        <v>79.865753174000005</v>
      </c>
      <c r="E181">
        <v>50</v>
      </c>
      <c r="F181">
        <v>14.997961044</v>
      </c>
      <c r="G181">
        <v>1375.2580565999999</v>
      </c>
      <c r="H181">
        <v>1365.0167236</v>
      </c>
      <c r="I181">
        <v>1277.5092772999999</v>
      </c>
      <c r="J181">
        <v>1250.3581543</v>
      </c>
      <c r="K181">
        <v>1650</v>
      </c>
      <c r="L181">
        <v>0</v>
      </c>
      <c r="M181">
        <v>0</v>
      </c>
      <c r="N181">
        <v>1650</v>
      </c>
    </row>
    <row r="182" spans="1:14" x14ac:dyDescent="0.25">
      <c r="A182">
        <v>28.864615000000001</v>
      </c>
      <c r="B182" s="1">
        <f>DATE(2010,5,29) + TIME(20,45,2)</f>
        <v>40327.864606481482</v>
      </c>
      <c r="C182">
        <v>80</v>
      </c>
      <c r="D182">
        <v>79.865821838000002</v>
      </c>
      <c r="E182">
        <v>50</v>
      </c>
      <c r="F182">
        <v>14.997975349000001</v>
      </c>
      <c r="G182">
        <v>1375.1846923999999</v>
      </c>
      <c r="H182">
        <v>1364.9472656</v>
      </c>
      <c r="I182">
        <v>1277.5153809000001</v>
      </c>
      <c r="J182">
        <v>1250.3638916</v>
      </c>
      <c r="K182">
        <v>1650</v>
      </c>
      <c r="L182">
        <v>0</v>
      </c>
      <c r="M182">
        <v>0</v>
      </c>
      <c r="N182">
        <v>1650</v>
      </c>
    </row>
    <row r="183" spans="1:14" x14ac:dyDescent="0.25">
      <c r="A183">
        <v>29.33616</v>
      </c>
      <c r="B183" s="1">
        <f>DATE(2010,5,30) + TIME(8,4,4)</f>
        <v>40328.336157407408</v>
      </c>
      <c r="C183">
        <v>80</v>
      </c>
      <c r="D183">
        <v>79.865890503000003</v>
      </c>
      <c r="E183">
        <v>50</v>
      </c>
      <c r="F183">
        <v>14.997988701000001</v>
      </c>
      <c r="G183">
        <v>1375.1119385</v>
      </c>
      <c r="H183">
        <v>1364.8785399999999</v>
      </c>
      <c r="I183">
        <v>1277.5216064000001</v>
      </c>
      <c r="J183">
        <v>1250.3696289</v>
      </c>
      <c r="K183">
        <v>1650</v>
      </c>
      <c r="L183">
        <v>0</v>
      </c>
      <c r="M183">
        <v>0</v>
      </c>
      <c r="N183">
        <v>1650</v>
      </c>
    </row>
    <row r="184" spans="1:14" x14ac:dyDescent="0.25">
      <c r="A184">
        <v>29.811838000000002</v>
      </c>
      <c r="B184" s="1">
        <f>DATE(2010,5,30) + TIME(19,29,2)</f>
        <v>40328.811828703707</v>
      </c>
      <c r="C184">
        <v>80</v>
      </c>
      <c r="D184">
        <v>79.865959167</v>
      </c>
      <c r="E184">
        <v>50</v>
      </c>
      <c r="F184">
        <v>14.998002052</v>
      </c>
      <c r="G184">
        <v>1375.0397949000001</v>
      </c>
      <c r="H184">
        <v>1364.8103027</v>
      </c>
      <c r="I184">
        <v>1277.527832</v>
      </c>
      <c r="J184">
        <v>1250.3754882999999</v>
      </c>
      <c r="K184">
        <v>1650</v>
      </c>
      <c r="L184">
        <v>0</v>
      </c>
      <c r="M184">
        <v>0</v>
      </c>
      <c r="N184">
        <v>1650</v>
      </c>
    </row>
    <row r="185" spans="1:14" x14ac:dyDescent="0.25">
      <c r="A185">
        <v>30.292373000000001</v>
      </c>
      <c r="B185" s="1">
        <f>DATE(2010,5,31) + TIME(7,1,0)</f>
        <v>40329.292361111111</v>
      </c>
      <c r="C185">
        <v>80</v>
      </c>
      <c r="D185">
        <v>79.866027832</v>
      </c>
      <c r="E185">
        <v>50</v>
      </c>
      <c r="F185">
        <v>14.998015404</v>
      </c>
      <c r="G185">
        <v>1374.9681396000001</v>
      </c>
      <c r="H185">
        <v>1364.7426757999999</v>
      </c>
      <c r="I185">
        <v>1277.5341797000001</v>
      </c>
      <c r="J185">
        <v>1250.3813477000001</v>
      </c>
      <c r="K185">
        <v>1650</v>
      </c>
      <c r="L185">
        <v>0</v>
      </c>
      <c r="M185">
        <v>0</v>
      </c>
      <c r="N185">
        <v>1650</v>
      </c>
    </row>
    <row r="186" spans="1:14" x14ac:dyDescent="0.25">
      <c r="A186">
        <v>30.778510000000001</v>
      </c>
      <c r="B186" s="1">
        <f>DATE(2010,5,31) + TIME(18,41,3)</f>
        <v>40329.778506944444</v>
      </c>
      <c r="C186">
        <v>80</v>
      </c>
      <c r="D186">
        <v>79.866096497000001</v>
      </c>
      <c r="E186">
        <v>50</v>
      </c>
      <c r="F186">
        <v>14.998028755</v>
      </c>
      <c r="G186">
        <v>1374.8968506000001</v>
      </c>
      <c r="H186">
        <v>1364.6754149999999</v>
      </c>
      <c r="I186">
        <v>1277.5405272999999</v>
      </c>
      <c r="J186">
        <v>1250.3873291</v>
      </c>
      <c r="K186">
        <v>1650</v>
      </c>
      <c r="L186">
        <v>0</v>
      </c>
      <c r="M186">
        <v>0</v>
      </c>
      <c r="N186">
        <v>1650</v>
      </c>
    </row>
    <row r="187" spans="1:14" x14ac:dyDescent="0.25">
      <c r="A187">
        <v>31</v>
      </c>
      <c r="B187" s="1">
        <f>DATE(2010,6,1) + TIME(0,0,0)</f>
        <v>40330</v>
      </c>
      <c r="C187">
        <v>80</v>
      </c>
      <c r="D187">
        <v>79.866119385000005</v>
      </c>
      <c r="E187">
        <v>50</v>
      </c>
      <c r="F187">
        <v>14.998036385000001</v>
      </c>
      <c r="G187">
        <v>1374.8253173999999</v>
      </c>
      <c r="H187">
        <v>1364.6079102000001</v>
      </c>
      <c r="I187">
        <v>1277.5465088000001</v>
      </c>
      <c r="J187">
        <v>1250.3928223</v>
      </c>
      <c r="K187">
        <v>1650</v>
      </c>
      <c r="L187">
        <v>0</v>
      </c>
      <c r="M187">
        <v>0</v>
      </c>
      <c r="N187">
        <v>1650</v>
      </c>
    </row>
    <row r="188" spans="1:14" x14ac:dyDescent="0.25">
      <c r="A188">
        <v>31.492515000000001</v>
      </c>
      <c r="B188" s="1">
        <f>DATE(2010,6,1) + TIME(11,49,13)</f>
        <v>40330.492511574077</v>
      </c>
      <c r="C188">
        <v>80</v>
      </c>
      <c r="D188">
        <v>79.866195679</v>
      </c>
      <c r="E188">
        <v>50</v>
      </c>
      <c r="F188">
        <v>14.998049736</v>
      </c>
      <c r="G188">
        <v>1374.7935791</v>
      </c>
      <c r="H188">
        <v>1364.5780029</v>
      </c>
      <c r="I188">
        <v>1277.5500488</v>
      </c>
      <c r="J188">
        <v>1250.3961182</v>
      </c>
      <c r="K188">
        <v>1650</v>
      </c>
      <c r="L188">
        <v>0</v>
      </c>
      <c r="M188">
        <v>0</v>
      </c>
      <c r="N188">
        <v>1650</v>
      </c>
    </row>
    <row r="189" spans="1:14" x14ac:dyDescent="0.25">
      <c r="A189">
        <v>31.996039</v>
      </c>
      <c r="B189" s="1">
        <f>DATE(2010,6,1) + TIME(23,54,17)</f>
        <v>40330.996030092596</v>
      </c>
      <c r="C189">
        <v>80</v>
      </c>
      <c r="D189">
        <v>79.866271972999996</v>
      </c>
      <c r="E189">
        <v>50</v>
      </c>
      <c r="F189">
        <v>14.998062134</v>
      </c>
      <c r="G189">
        <v>1374.7233887</v>
      </c>
      <c r="H189">
        <v>1364.5119629000001</v>
      </c>
      <c r="I189">
        <v>1277.5566406</v>
      </c>
      <c r="J189">
        <v>1250.4022216999999</v>
      </c>
      <c r="K189">
        <v>1650</v>
      </c>
      <c r="L189">
        <v>0</v>
      </c>
      <c r="M189">
        <v>0</v>
      </c>
      <c r="N189">
        <v>1650</v>
      </c>
    </row>
    <row r="190" spans="1:14" x14ac:dyDescent="0.25">
      <c r="A190">
        <v>32.507953000000001</v>
      </c>
      <c r="B190" s="1">
        <f>DATE(2010,6,2) + TIME(12,11,27)</f>
        <v>40331.507951388892</v>
      </c>
      <c r="C190">
        <v>80</v>
      </c>
      <c r="D190">
        <v>79.866340636999993</v>
      </c>
      <c r="E190">
        <v>50</v>
      </c>
      <c r="F190">
        <v>14.998075484999999</v>
      </c>
      <c r="G190">
        <v>1374.6525879000001</v>
      </c>
      <c r="H190">
        <v>1364.4451904</v>
      </c>
      <c r="I190">
        <v>1277.5633545000001</v>
      </c>
      <c r="J190">
        <v>1250.4085693</v>
      </c>
      <c r="K190">
        <v>1650</v>
      </c>
      <c r="L190">
        <v>0</v>
      </c>
      <c r="M190">
        <v>0</v>
      </c>
      <c r="N190">
        <v>1650</v>
      </c>
    </row>
    <row r="191" spans="1:14" x14ac:dyDescent="0.25">
      <c r="A191">
        <v>33.029210999999997</v>
      </c>
      <c r="B191" s="1">
        <f>DATE(2010,6,3) + TIME(0,42,3)</f>
        <v>40332.02920138889</v>
      </c>
      <c r="C191">
        <v>80</v>
      </c>
      <c r="D191">
        <v>79.866416931000003</v>
      </c>
      <c r="E191">
        <v>50</v>
      </c>
      <c r="F191">
        <v>14.998088836999999</v>
      </c>
      <c r="G191">
        <v>1374.581543</v>
      </c>
      <c r="H191">
        <v>1364.378418</v>
      </c>
      <c r="I191">
        <v>1277.5703125</v>
      </c>
      <c r="J191">
        <v>1250.4149170000001</v>
      </c>
      <c r="K191">
        <v>1650</v>
      </c>
      <c r="L191">
        <v>0</v>
      </c>
      <c r="M191">
        <v>0</v>
      </c>
      <c r="N191">
        <v>1650</v>
      </c>
    </row>
    <row r="192" spans="1:14" x14ac:dyDescent="0.25">
      <c r="A192">
        <v>33.560951000000003</v>
      </c>
      <c r="B192" s="1">
        <f>DATE(2010,6,3) + TIME(13,27,46)</f>
        <v>40332.560949074075</v>
      </c>
      <c r="C192">
        <v>80</v>
      </c>
      <c r="D192">
        <v>79.866493224999999</v>
      </c>
      <c r="E192">
        <v>50</v>
      </c>
      <c r="F192">
        <v>14.998102188000001</v>
      </c>
      <c r="G192">
        <v>1374.510376</v>
      </c>
      <c r="H192">
        <v>1364.3115233999999</v>
      </c>
      <c r="I192">
        <v>1277.5773925999999</v>
      </c>
      <c r="J192">
        <v>1250.4215088000001</v>
      </c>
      <c r="K192">
        <v>1650</v>
      </c>
      <c r="L192">
        <v>0</v>
      </c>
      <c r="M192">
        <v>0</v>
      </c>
      <c r="N192">
        <v>1650</v>
      </c>
    </row>
    <row r="193" spans="1:14" x14ac:dyDescent="0.25">
      <c r="A193">
        <v>34.103085</v>
      </c>
      <c r="B193" s="1">
        <f>DATE(2010,6,4) + TIME(2,28,26)</f>
        <v>40333.103078703702</v>
      </c>
      <c r="C193">
        <v>80</v>
      </c>
      <c r="D193">
        <v>79.866569518999995</v>
      </c>
      <c r="E193">
        <v>50</v>
      </c>
      <c r="F193">
        <v>14.998115540000001</v>
      </c>
      <c r="G193">
        <v>1374.4388428</v>
      </c>
      <c r="H193">
        <v>1364.2442627</v>
      </c>
      <c r="I193">
        <v>1277.5845947</v>
      </c>
      <c r="J193">
        <v>1250.4282227000001</v>
      </c>
      <c r="K193">
        <v>1650</v>
      </c>
      <c r="L193">
        <v>0</v>
      </c>
      <c r="M193">
        <v>0</v>
      </c>
      <c r="N193">
        <v>1650</v>
      </c>
    </row>
    <row r="194" spans="1:14" x14ac:dyDescent="0.25">
      <c r="A194">
        <v>34.655473000000001</v>
      </c>
      <c r="B194" s="1">
        <f>DATE(2010,6,4) + TIME(15,43,52)</f>
        <v>40333.655462962961</v>
      </c>
      <c r="C194">
        <v>80</v>
      </c>
      <c r="D194">
        <v>79.866645813000005</v>
      </c>
      <c r="E194">
        <v>50</v>
      </c>
      <c r="F194">
        <v>14.998129844999999</v>
      </c>
      <c r="G194">
        <v>1374.3669434000001</v>
      </c>
      <c r="H194">
        <v>1364.1768798999999</v>
      </c>
      <c r="I194">
        <v>1277.5920410000001</v>
      </c>
      <c r="J194">
        <v>1250.4350586</v>
      </c>
      <c r="K194">
        <v>1650</v>
      </c>
      <c r="L194">
        <v>0</v>
      </c>
      <c r="M194">
        <v>0</v>
      </c>
      <c r="N194">
        <v>1650</v>
      </c>
    </row>
    <row r="195" spans="1:14" x14ac:dyDescent="0.25">
      <c r="A195">
        <v>35.214404999999999</v>
      </c>
      <c r="B195" s="1">
        <f>DATE(2010,6,5) + TIME(5,8,44)</f>
        <v>40334.214398148149</v>
      </c>
      <c r="C195">
        <v>80</v>
      </c>
      <c r="D195">
        <v>79.866722107000001</v>
      </c>
      <c r="E195">
        <v>50</v>
      </c>
      <c r="F195">
        <v>14.998143195999999</v>
      </c>
      <c r="G195">
        <v>1374.2947998</v>
      </c>
      <c r="H195">
        <v>1364.1092529</v>
      </c>
      <c r="I195">
        <v>1277.5996094</v>
      </c>
      <c r="J195">
        <v>1250.4421387</v>
      </c>
      <c r="K195">
        <v>1650</v>
      </c>
      <c r="L195">
        <v>0</v>
      </c>
      <c r="M195">
        <v>0</v>
      </c>
      <c r="N195">
        <v>1650</v>
      </c>
    </row>
    <row r="196" spans="1:14" x14ac:dyDescent="0.25">
      <c r="A196">
        <v>35.775922999999999</v>
      </c>
      <c r="B196" s="1">
        <f>DATE(2010,6,5) + TIME(18,37,19)</f>
        <v>40334.775914351849</v>
      </c>
      <c r="C196">
        <v>80</v>
      </c>
      <c r="D196">
        <v>79.866798400999997</v>
      </c>
      <c r="E196">
        <v>50</v>
      </c>
      <c r="F196">
        <v>14.998156548000001</v>
      </c>
      <c r="G196">
        <v>1374.2230225000001</v>
      </c>
      <c r="H196">
        <v>1364.0418701000001</v>
      </c>
      <c r="I196">
        <v>1277.6072998</v>
      </c>
      <c r="J196">
        <v>1250.4492187999999</v>
      </c>
      <c r="K196">
        <v>1650</v>
      </c>
      <c r="L196">
        <v>0</v>
      </c>
      <c r="M196">
        <v>0</v>
      </c>
      <c r="N196">
        <v>1650</v>
      </c>
    </row>
    <row r="197" spans="1:14" x14ac:dyDescent="0.25">
      <c r="A197">
        <v>36.341031000000001</v>
      </c>
      <c r="B197" s="1">
        <f>DATE(2010,6,6) + TIME(8,11,5)</f>
        <v>40335.34103009259</v>
      </c>
      <c r="C197">
        <v>80</v>
      </c>
      <c r="D197">
        <v>79.866882324000002</v>
      </c>
      <c r="E197">
        <v>50</v>
      </c>
      <c r="F197">
        <v>14.998169899000001</v>
      </c>
      <c r="G197">
        <v>1374.1518555</v>
      </c>
      <c r="H197">
        <v>1363.9752197</v>
      </c>
      <c r="I197">
        <v>1277.6149902</v>
      </c>
      <c r="J197">
        <v>1250.4564209</v>
      </c>
      <c r="K197">
        <v>1650</v>
      </c>
      <c r="L197">
        <v>0</v>
      </c>
      <c r="M197">
        <v>0</v>
      </c>
      <c r="N197">
        <v>1650</v>
      </c>
    </row>
    <row r="198" spans="1:14" x14ac:dyDescent="0.25">
      <c r="A198">
        <v>36.907333000000001</v>
      </c>
      <c r="B198" s="1">
        <f>DATE(2010,6,6) + TIME(21,46,33)</f>
        <v>40335.907326388886</v>
      </c>
      <c r="C198">
        <v>80</v>
      </c>
      <c r="D198">
        <v>79.866958617999998</v>
      </c>
      <c r="E198">
        <v>50</v>
      </c>
      <c r="F198">
        <v>14.99818325</v>
      </c>
      <c r="G198">
        <v>1374.0812988</v>
      </c>
      <c r="H198">
        <v>1363.9091797000001</v>
      </c>
      <c r="I198">
        <v>1277.6228027</v>
      </c>
      <c r="J198">
        <v>1250.4636230000001</v>
      </c>
      <c r="K198">
        <v>1650</v>
      </c>
      <c r="L198">
        <v>0</v>
      </c>
      <c r="M198">
        <v>0</v>
      </c>
      <c r="N198">
        <v>1650</v>
      </c>
    </row>
    <row r="199" spans="1:14" x14ac:dyDescent="0.25">
      <c r="A199">
        <v>37.474891999999997</v>
      </c>
      <c r="B199" s="1">
        <f>DATE(2010,6,7) + TIME(11,23,50)</f>
        <v>40336.47488425926</v>
      </c>
      <c r="C199">
        <v>80</v>
      </c>
      <c r="D199">
        <v>79.867034911999994</v>
      </c>
      <c r="E199">
        <v>50</v>
      </c>
      <c r="F199">
        <v>14.998196602</v>
      </c>
      <c r="G199">
        <v>1374.0115966999999</v>
      </c>
      <c r="H199">
        <v>1363.8439940999999</v>
      </c>
      <c r="I199">
        <v>1277.6306152</v>
      </c>
      <c r="J199">
        <v>1250.4709473</v>
      </c>
      <c r="K199">
        <v>1650</v>
      </c>
      <c r="L199">
        <v>0</v>
      </c>
      <c r="M199">
        <v>0</v>
      </c>
      <c r="N199">
        <v>1650</v>
      </c>
    </row>
    <row r="200" spans="1:14" x14ac:dyDescent="0.25">
      <c r="A200">
        <v>38.044573999999997</v>
      </c>
      <c r="B200" s="1">
        <f>DATE(2010,6,8) + TIME(1,4,11)</f>
        <v>40337.044571759259</v>
      </c>
      <c r="C200">
        <v>80</v>
      </c>
      <c r="D200">
        <v>79.867118834999999</v>
      </c>
      <c r="E200">
        <v>50</v>
      </c>
      <c r="F200">
        <v>14.998209953</v>
      </c>
      <c r="G200">
        <v>1373.9428711</v>
      </c>
      <c r="H200">
        <v>1363.7796631000001</v>
      </c>
      <c r="I200">
        <v>1277.6385498</v>
      </c>
      <c r="J200">
        <v>1250.4782714999999</v>
      </c>
      <c r="K200">
        <v>1650</v>
      </c>
      <c r="L200">
        <v>0</v>
      </c>
      <c r="M200">
        <v>0</v>
      </c>
      <c r="N200">
        <v>1650</v>
      </c>
    </row>
    <row r="201" spans="1:14" x14ac:dyDescent="0.25">
      <c r="A201">
        <v>38.617247999999996</v>
      </c>
      <c r="B201" s="1">
        <f>DATE(2010,6,8) + TIME(14,48,50)</f>
        <v>40337.617245370369</v>
      </c>
      <c r="C201">
        <v>80</v>
      </c>
      <c r="D201">
        <v>79.867195128999995</v>
      </c>
      <c r="E201">
        <v>50</v>
      </c>
      <c r="F201">
        <v>14.998223305</v>
      </c>
      <c r="G201">
        <v>1373.8747559000001</v>
      </c>
      <c r="H201">
        <v>1363.7160644999999</v>
      </c>
      <c r="I201">
        <v>1277.6466064000001</v>
      </c>
      <c r="J201">
        <v>1250.4855957</v>
      </c>
      <c r="K201">
        <v>1650</v>
      </c>
      <c r="L201">
        <v>0</v>
      </c>
      <c r="M201">
        <v>0</v>
      </c>
      <c r="N201">
        <v>1650</v>
      </c>
    </row>
    <row r="202" spans="1:14" x14ac:dyDescent="0.25">
      <c r="A202">
        <v>39.193778999999999</v>
      </c>
      <c r="B202" s="1">
        <f>DATE(2010,6,9) + TIME(4,39,2)</f>
        <v>40338.193773148145</v>
      </c>
      <c r="C202">
        <v>80</v>
      </c>
      <c r="D202">
        <v>79.867279053000004</v>
      </c>
      <c r="E202">
        <v>50</v>
      </c>
      <c r="F202">
        <v>14.998235703000001</v>
      </c>
      <c r="G202">
        <v>1373.807251</v>
      </c>
      <c r="H202">
        <v>1363.6529541</v>
      </c>
      <c r="I202">
        <v>1277.6545410000001</v>
      </c>
      <c r="J202">
        <v>1250.4930420000001</v>
      </c>
      <c r="K202">
        <v>1650</v>
      </c>
      <c r="L202">
        <v>0</v>
      </c>
      <c r="M202">
        <v>0</v>
      </c>
      <c r="N202">
        <v>1650</v>
      </c>
    </row>
    <row r="203" spans="1:14" x14ac:dyDescent="0.25">
      <c r="A203">
        <v>39.775041999999999</v>
      </c>
      <c r="B203" s="1">
        <f>DATE(2010,6,9) + TIME(18,36,3)</f>
        <v>40338.775034722225</v>
      </c>
      <c r="C203">
        <v>80</v>
      </c>
      <c r="D203">
        <v>79.867355347</v>
      </c>
      <c r="E203">
        <v>50</v>
      </c>
      <c r="F203">
        <v>14.998249054</v>
      </c>
      <c r="G203">
        <v>1373.7403564000001</v>
      </c>
      <c r="H203">
        <v>1363.5904541</v>
      </c>
      <c r="I203">
        <v>1277.6627197</v>
      </c>
      <c r="J203">
        <v>1250.5006103999999</v>
      </c>
      <c r="K203">
        <v>1650</v>
      </c>
      <c r="L203">
        <v>0</v>
      </c>
      <c r="M203">
        <v>0</v>
      </c>
      <c r="N203">
        <v>1650</v>
      </c>
    </row>
    <row r="204" spans="1:14" x14ac:dyDescent="0.25">
      <c r="A204">
        <v>40.361933000000001</v>
      </c>
      <c r="B204" s="1">
        <f>DATE(2010,6,10) + TIME(8,41,11)</f>
        <v>40339.361932870372</v>
      </c>
      <c r="C204">
        <v>80</v>
      </c>
      <c r="D204">
        <v>79.867439270000006</v>
      </c>
      <c r="E204">
        <v>50</v>
      </c>
      <c r="F204">
        <v>14.998262405</v>
      </c>
      <c r="G204">
        <v>1373.6737060999999</v>
      </c>
      <c r="H204">
        <v>1363.5284423999999</v>
      </c>
      <c r="I204">
        <v>1277.6710204999999</v>
      </c>
      <c r="J204">
        <v>1250.5081786999999</v>
      </c>
      <c r="K204">
        <v>1650</v>
      </c>
      <c r="L204">
        <v>0</v>
      </c>
      <c r="M204">
        <v>0</v>
      </c>
      <c r="N204">
        <v>1650</v>
      </c>
    </row>
    <row r="205" spans="1:14" x14ac:dyDescent="0.25">
      <c r="A205">
        <v>40.955373999999999</v>
      </c>
      <c r="B205" s="1">
        <f>DATE(2010,6,10) + TIME(22,55,44)</f>
        <v>40339.955370370371</v>
      </c>
      <c r="C205">
        <v>80</v>
      </c>
      <c r="D205">
        <v>79.867523192999997</v>
      </c>
      <c r="E205">
        <v>50</v>
      </c>
      <c r="F205">
        <v>14.998274802999999</v>
      </c>
      <c r="G205">
        <v>1373.6074219</v>
      </c>
      <c r="H205">
        <v>1363.4665527</v>
      </c>
      <c r="I205">
        <v>1277.6793213000001</v>
      </c>
      <c r="J205">
        <v>1250.5158690999999</v>
      </c>
      <c r="K205">
        <v>1650</v>
      </c>
      <c r="L205">
        <v>0</v>
      </c>
      <c r="M205">
        <v>0</v>
      </c>
      <c r="N205">
        <v>1650</v>
      </c>
    </row>
    <row r="206" spans="1:14" x14ac:dyDescent="0.25">
      <c r="A206">
        <v>41.556328999999998</v>
      </c>
      <c r="B206" s="1">
        <f>DATE(2010,6,11) + TIME(13,21,6)</f>
        <v>40340.556319444448</v>
      </c>
      <c r="C206">
        <v>80</v>
      </c>
      <c r="D206">
        <v>79.867607117000006</v>
      </c>
      <c r="E206">
        <v>50</v>
      </c>
      <c r="F206">
        <v>14.998287201</v>
      </c>
      <c r="G206">
        <v>1373.5413818</v>
      </c>
      <c r="H206">
        <v>1363.4050293</v>
      </c>
      <c r="I206">
        <v>1277.6878661999999</v>
      </c>
      <c r="J206">
        <v>1250.5238036999999</v>
      </c>
      <c r="K206">
        <v>1650</v>
      </c>
      <c r="L206">
        <v>0</v>
      </c>
      <c r="M206">
        <v>0</v>
      </c>
      <c r="N206">
        <v>1650</v>
      </c>
    </row>
    <row r="207" spans="1:14" x14ac:dyDescent="0.25">
      <c r="A207">
        <v>42.166072999999997</v>
      </c>
      <c r="B207" s="1">
        <f>DATE(2010,6,12) + TIME(3,59,8)</f>
        <v>40341.166064814817</v>
      </c>
      <c r="C207">
        <v>80</v>
      </c>
      <c r="D207">
        <v>79.867691039999997</v>
      </c>
      <c r="E207">
        <v>50</v>
      </c>
      <c r="F207">
        <v>14.998300552</v>
      </c>
      <c r="G207">
        <v>1373.4753418</v>
      </c>
      <c r="H207">
        <v>1363.3435059000001</v>
      </c>
      <c r="I207">
        <v>1277.6964111</v>
      </c>
      <c r="J207">
        <v>1250.5317382999999</v>
      </c>
      <c r="K207">
        <v>1650</v>
      </c>
      <c r="L207">
        <v>0</v>
      </c>
      <c r="M207">
        <v>0</v>
      </c>
      <c r="N207">
        <v>1650</v>
      </c>
    </row>
    <row r="208" spans="1:14" x14ac:dyDescent="0.25">
      <c r="A208">
        <v>42.785384999999998</v>
      </c>
      <c r="B208" s="1">
        <f>DATE(2010,6,12) + TIME(18,50,57)</f>
        <v>40341.785381944443</v>
      </c>
      <c r="C208">
        <v>80</v>
      </c>
      <c r="D208">
        <v>79.867774963000002</v>
      </c>
      <c r="E208">
        <v>50</v>
      </c>
      <c r="F208">
        <v>14.998312950000001</v>
      </c>
      <c r="G208">
        <v>1373.4091797000001</v>
      </c>
      <c r="H208">
        <v>1363.2821045000001</v>
      </c>
      <c r="I208">
        <v>1277.7052002</v>
      </c>
      <c r="J208">
        <v>1250.5397949000001</v>
      </c>
      <c r="K208">
        <v>1650</v>
      </c>
      <c r="L208">
        <v>0</v>
      </c>
      <c r="M208">
        <v>0</v>
      </c>
      <c r="N208">
        <v>1650</v>
      </c>
    </row>
    <row r="209" spans="1:14" x14ac:dyDescent="0.25">
      <c r="A209">
        <v>43.415320999999999</v>
      </c>
      <c r="B209" s="1">
        <f>DATE(2010,6,13) + TIME(9,58,3)</f>
        <v>40342.415312500001</v>
      </c>
      <c r="C209">
        <v>80</v>
      </c>
      <c r="D209">
        <v>79.867866516000007</v>
      </c>
      <c r="E209">
        <v>50</v>
      </c>
      <c r="F209">
        <v>14.998326302000001</v>
      </c>
      <c r="G209">
        <v>1373.3430175999999</v>
      </c>
      <c r="H209">
        <v>1363.2204589999999</v>
      </c>
      <c r="I209">
        <v>1277.7142334</v>
      </c>
      <c r="J209">
        <v>1250.5480957</v>
      </c>
      <c r="K209">
        <v>1650</v>
      </c>
      <c r="L209">
        <v>0</v>
      </c>
      <c r="M209">
        <v>0</v>
      </c>
      <c r="N209">
        <v>1650</v>
      </c>
    </row>
    <row r="210" spans="1:14" x14ac:dyDescent="0.25">
      <c r="A210">
        <v>44.057229</v>
      </c>
      <c r="B210" s="1">
        <f>DATE(2010,6,14) + TIME(1,22,24)</f>
        <v>40343.057222222225</v>
      </c>
      <c r="C210">
        <v>80</v>
      </c>
      <c r="D210">
        <v>79.867958068999997</v>
      </c>
      <c r="E210">
        <v>50</v>
      </c>
      <c r="F210">
        <v>14.998339653</v>
      </c>
      <c r="G210">
        <v>1373.2766113</v>
      </c>
      <c r="H210">
        <v>1363.1586914</v>
      </c>
      <c r="I210">
        <v>1277.7233887</v>
      </c>
      <c r="J210">
        <v>1250.5566406</v>
      </c>
      <c r="K210">
        <v>1650</v>
      </c>
      <c r="L210">
        <v>0</v>
      </c>
      <c r="M210">
        <v>0</v>
      </c>
      <c r="N210">
        <v>1650</v>
      </c>
    </row>
    <row r="211" spans="1:14" x14ac:dyDescent="0.25">
      <c r="A211">
        <v>44.711055999999999</v>
      </c>
      <c r="B211" s="1">
        <f>DATE(2010,6,14) + TIME(17,3,55)</f>
        <v>40343.711053240739</v>
      </c>
      <c r="C211">
        <v>80</v>
      </c>
      <c r="D211">
        <v>79.868049622000001</v>
      </c>
      <c r="E211">
        <v>50</v>
      </c>
      <c r="F211">
        <v>14.998352050999999</v>
      </c>
      <c r="G211">
        <v>1373.2098389</v>
      </c>
      <c r="H211">
        <v>1363.0966797000001</v>
      </c>
      <c r="I211">
        <v>1277.7327881000001</v>
      </c>
      <c r="J211">
        <v>1250.5653076000001</v>
      </c>
      <c r="K211">
        <v>1650</v>
      </c>
      <c r="L211">
        <v>0</v>
      </c>
      <c r="M211">
        <v>0</v>
      </c>
      <c r="N211">
        <v>1650</v>
      </c>
    </row>
    <row r="212" spans="1:14" x14ac:dyDescent="0.25">
      <c r="A212">
        <v>45.375979999999998</v>
      </c>
      <c r="B212" s="1">
        <f>DATE(2010,6,15) + TIME(9,1,24)</f>
        <v>40344.375972222224</v>
      </c>
      <c r="C212">
        <v>80</v>
      </c>
      <c r="D212">
        <v>79.868148804</v>
      </c>
      <c r="E212">
        <v>50</v>
      </c>
      <c r="F212">
        <v>14.998365401999999</v>
      </c>
      <c r="G212">
        <v>1373.1428223</v>
      </c>
      <c r="H212">
        <v>1363.0344238</v>
      </c>
      <c r="I212">
        <v>1277.7424315999999</v>
      </c>
      <c r="J212">
        <v>1250.5740966999999</v>
      </c>
      <c r="K212">
        <v>1650</v>
      </c>
      <c r="L212">
        <v>0</v>
      </c>
      <c r="M212">
        <v>0</v>
      </c>
      <c r="N212">
        <v>1650</v>
      </c>
    </row>
    <row r="213" spans="1:14" x14ac:dyDescent="0.25">
      <c r="A213">
        <v>45.713099999999997</v>
      </c>
      <c r="B213" s="1">
        <f>DATE(2010,6,15) + TIME(17,6,51)</f>
        <v>40344.713090277779</v>
      </c>
      <c r="C213">
        <v>80</v>
      </c>
      <c r="D213">
        <v>79.868179321</v>
      </c>
      <c r="E213">
        <v>50</v>
      </c>
      <c r="F213">
        <v>14.998373985000001</v>
      </c>
      <c r="G213">
        <v>1373.0749512</v>
      </c>
      <c r="H213">
        <v>1362.9714355000001</v>
      </c>
      <c r="I213">
        <v>1277.7518310999999</v>
      </c>
      <c r="J213">
        <v>1250.5827637</v>
      </c>
      <c r="K213">
        <v>1650</v>
      </c>
      <c r="L213">
        <v>0</v>
      </c>
      <c r="M213">
        <v>0</v>
      </c>
      <c r="N213">
        <v>1650</v>
      </c>
    </row>
    <row r="214" spans="1:14" x14ac:dyDescent="0.25">
      <c r="A214">
        <v>46.050220000000003</v>
      </c>
      <c r="B214" s="1">
        <f>DATE(2010,6,16) + TIME(1,12,19)</f>
        <v>40345.050219907411</v>
      </c>
      <c r="C214">
        <v>80</v>
      </c>
      <c r="D214">
        <v>79.868225097999996</v>
      </c>
      <c r="E214">
        <v>50</v>
      </c>
      <c r="F214">
        <v>14.998381615</v>
      </c>
      <c r="G214">
        <v>1373.0407714999999</v>
      </c>
      <c r="H214">
        <v>1362.9395752</v>
      </c>
      <c r="I214">
        <v>1277.7569579999999</v>
      </c>
      <c r="J214">
        <v>1250.5874022999999</v>
      </c>
      <c r="K214">
        <v>1650</v>
      </c>
      <c r="L214">
        <v>0</v>
      </c>
      <c r="M214">
        <v>0</v>
      </c>
      <c r="N214">
        <v>1650</v>
      </c>
    </row>
    <row r="215" spans="1:14" x14ac:dyDescent="0.25">
      <c r="A215">
        <v>46.387340000000002</v>
      </c>
      <c r="B215" s="1">
        <f>DATE(2010,6,16) + TIME(9,17,46)</f>
        <v>40345.387337962966</v>
      </c>
      <c r="C215">
        <v>80</v>
      </c>
      <c r="D215">
        <v>79.868270874000004</v>
      </c>
      <c r="E215">
        <v>50</v>
      </c>
      <c r="F215">
        <v>14.998389244</v>
      </c>
      <c r="G215">
        <v>1373.0072021000001</v>
      </c>
      <c r="H215">
        <v>1362.9084473</v>
      </c>
      <c r="I215">
        <v>1277.7619629000001</v>
      </c>
      <c r="J215">
        <v>1250.5920410000001</v>
      </c>
      <c r="K215">
        <v>1650</v>
      </c>
      <c r="L215">
        <v>0</v>
      </c>
      <c r="M215">
        <v>0</v>
      </c>
      <c r="N215">
        <v>1650</v>
      </c>
    </row>
    <row r="216" spans="1:14" x14ac:dyDescent="0.25">
      <c r="A216">
        <v>46.724460000000001</v>
      </c>
      <c r="B216" s="1">
        <f>DATE(2010,6,16) + TIME(17,23,13)</f>
        <v>40345.724456018521</v>
      </c>
      <c r="C216">
        <v>80</v>
      </c>
      <c r="D216">
        <v>79.868316649999997</v>
      </c>
      <c r="E216">
        <v>50</v>
      </c>
      <c r="F216">
        <v>14.99839592</v>
      </c>
      <c r="G216">
        <v>1372.9738769999999</v>
      </c>
      <c r="H216">
        <v>1362.8775635</v>
      </c>
      <c r="I216">
        <v>1277.7669678</v>
      </c>
      <c r="J216">
        <v>1250.5966797000001</v>
      </c>
      <c r="K216">
        <v>1650</v>
      </c>
      <c r="L216">
        <v>0</v>
      </c>
      <c r="M216">
        <v>0</v>
      </c>
      <c r="N216">
        <v>1650</v>
      </c>
    </row>
    <row r="217" spans="1:14" x14ac:dyDescent="0.25">
      <c r="A217">
        <v>47.061579999999999</v>
      </c>
      <c r="B217" s="1">
        <f>DATE(2010,6,17) + TIME(1,28,40)</f>
        <v>40346.061574074076</v>
      </c>
      <c r="C217">
        <v>80</v>
      </c>
      <c r="D217">
        <v>79.868362426999994</v>
      </c>
      <c r="E217">
        <v>50</v>
      </c>
      <c r="F217">
        <v>14.998402596</v>
      </c>
      <c r="G217">
        <v>1372.9407959</v>
      </c>
      <c r="H217">
        <v>1362.8468018000001</v>
      </c>
      <c r="I217">
        <v>1277.7720947</v>
      </c>
      <c r="J217">
        <v>1250.6013184000001</v>
      </c>
      <c r="K217">
        <v>1650</v>
      </c>
      <c r="L217">
        <v>0</v>
      </c>
      <c r="M217">
        <v>0</v>
      </c>
      <c r="N217">
        <v>1650</v>
      </c>
    </row>
    <row r="218" spans="1:14" x14ac:dyDescent="0.25">
      <c r="A218">
        <v>47.398699999999998</v>
      </c>
      <c r="B218" s="1">
        <f>DATE(2010,6,17) + TIME(9,34,7)</f>
        <v>40346.398692129631</v>
      </c>
      <c r="C218">
        <v>80</v>
      </c>
      <c r="D218">
        <v>79.868408203000001</v>
      </c>
      <c r="E218">
        <v>50</v>
      </c>
      <c r="F218">
        <v>14.998410225000001</v>
      </c>
      <c r="G218">
        <v>1372.9078368999999</v>
      </c>
      <c r="H218">
        <v>1362.8162841999999</v>
      </c>
      <c r="I218">
        <v>1277.7770995999999</v>
      </c>
      <c r="J218">
        <v>1250.6060791</v>
      </c>
      <c r="K218">
        <v>1650</v>
      </c>
      <c r="L218">
        <v>0</v>
      </c>
      <c r="M218">
        <v>0</v>
      </c>
      <c r="N218">
        <v>1650</v>
      </c>
    </row>
    <row r="219" spans="1:14" x14ac:dyDescent="0.25">
      <c r="A219">
        <v>47.735819999999997</v>
      </c>
      <c r="B219" s="1">
        <f>DATE(2010,6,17) + TIME(17,39,34)</f>
        <v>40346.735810185186</v>
      </c>
      <c r="C219">
        <v>80</v>
      </c>
      <c r="D219">
        <v>79.868453978999995</v>
      </c>
      <c r="E219">
        <v>50</v>
      </c>
      <c r="F219">
        <v>14.998416901000001</v>
      </c>
      <c r="G219">
        <v>1372.8752440999999</v>
      </c>
      <c r="H219">
        <v>1362.7860106999999</v>
      </c>
      <c r="I219">
        <v>1277.7822266000001</v>
      </c>
      <c r="J219">
        <v>1250.6107178</v>
      </c>
      <c r="K219">
        <v>1650</v>
      </c>
      <c r="L219">
        <v>0</v>
      </c>
      <c r="M219">
        <v>0</v>
      </c>
      <c r="N219">
        <v>1650</v>
      </c>
    </row>
    <row r="220" spans="1:14" x14ac:dyDescent="0.25">
      <c r="A220">
        <v>48.410060000000001</v>
      </c>
      <c r="B220" s="1">
        <f>DATE(2010,6,18) + TIME(9,50,29)</f>
        <v>40347.410057870373</v>
      </c>
      <c r="C220">
        <v>80</v>
      </c>
      <c r="D220">
        <v>79.868568420000003</v>
      </c>
      <c r="E220">
        <v>50</v>
      </c>
      <c r="F220">
        <v>14.998427391</v>
      </c>
      <c r="G220">
        <v>1372.8435059000001</v>
      </c>
      <c r="H220">
        <v>1362.7567139</v>
      </c>
      <c r="I220">
        <v>1277.7875977000001</v>
      </c>
      <c r="J220">
        <v>1250.6157227000001</v>
      </c>
      <c r="K220">
        <v>1650</v>
      </c>
      <c r="L220">
        <v>0</v>
      </c>
      <c r="M220">
        <v>0</v>
      </c>
      <c r="N220">
        <v>1650</v>
      </c>
    </row>
    <row r="221" spans="1:14" x14ac:dyDescent="0.25">
      <c r="A221">
        <v>49.084344999999999</v>
      </c>
      <c r="B221" s="1">
        <f>DATE(2010,6,19) + TIME(2,1,27)</f>
        <v>40348.084340277775</v>
      </c>
      <c r="C221">
        <v>80</v>
      </c>
      <c r="D221">
        <v>79.868667603000006</v>
      </c>
      <c r="E221">
        <v>50</v>
      </c>
      <c r="F221">
        <v>14.998438835</v>
      </c>
      <c r="G221">
        <v>1372.7795410000001</v>
      </c>
      <c r="H221">
        <v>1362.6975098</v>
      </c>
      <c r="I221">
        <v>1277.7977295000001</v>
      </c>
      <c r="J221">
        <v>1250.6251221</v>
      </c>
      <c r="K221">
        <v>1650</v>
      </c>
      <c r="L221">
        <v>0</v>
      </c>
      <c r="M221">
        <v>0</v>
      </c>
      <c r="N221">
        <v>1650</v>
      </c>
    </row>
    <row r="222" spans="1:14" x14ac:dyDescent="0.25">
      <c r="A222">
        <v>49.762383</v>
      </c>
      <c r="B222" s="1">
        <f>DATE(2010,6,19) + TIME(18,17,49)</f>
        <v>40348.762372685182</v>
      </c>
      <c r="C222">
        <v>80</v>
      </c>
      <c r="D222">
        <v>79.868766785000005</v>
      </c>
      <c r="E222">
        <v>50</v>
      </c>
      <c r="F222">
        <v>14.998450279</v>
      </c>
      <c r="G222">
        <v>1372.7161865</v>
      </c>
      <c r="H222">
        <v>1362.6389160000001</v>
      </c>
      <c r="I222">
        <v>1277.8079834</v>
      </c>
      <c r="J222">
        <v>1250.6345214999999</v>
      </c>
      <c r="K222">
        <v>1650</v>
      </c>
      <c r="L222">
        <v>0</v>
      </c>
      <c r="M222">
        <v>0</v>
      </c>
      <c r="N222">
        <v>1650</v>
      </c>
    </row>
    <row r="223" spans="1:14" x14ac:dyDescent="0.25">
      <c r="A223">
        <v>50.445188999999999</v>
      </c>
      <c r="B223" s="1">
        <f>DATE(2010,6,20) + TIME(10,41,4)</f>
        <v>40349.445185185185</v>
      </c>
      <c r="C223">
        <v>80</v>
      </c>
      <c r="D223">
        <v>79.868865967000005</v>
      </c>
      <c r="E223">
        <v>50</v>
      </c>
      <c r="F223">
        <v>14.998462676999999</v>
      </c>
      <c r="G223">
        <v>1372.6533202999999</v>
      </c>
      <c r="H223">
        <v>1362.5806885</v>
      </c>
      <c r="I223">
        <v>1277.8183594</v>
      </c>
      <c r="J223">
        <v>1250.644043</v>
      </c>
      <c r="K223">
        <v>1650</v>
      </c>
      <c r="L223">
        <v>0</v>
      </c>
      <c r="M223">
        <v>0</v>
      </c>
      <c r="N223">
        <v>1650</v>
      </c>
    </row>
    <row r="224" spans="1:14" x14ac:dyDescent="0.25">
      <c r="A224">
        <v>51.133800999999998</v>
      </c>
      <c r="B224" s="1">
        <f>DATE(2010,6,21) + TIME(3,12,40)</f>
        <v>40350.133796296293</v>
      </c>
      <c r="C224">
        <v>80</v>
      </c>
      <c r="D224">
        <v>79.868965149000005</v>
      </c>
      <c r="E224">
        <v>50</v>
      </c>
      <c r="F224">
        <v>14.998475075</v>
      </c>
      <c r="G224">
        <v>1372.5908202999999</v>
      </c>
      <c r="H224">
        <v>1362.5228271000001</v>
      </c>
      <c r="I224">
        <v>1277.8288574000001</v>
      </c>
      <c r="J224">
        <v>1250.6535644999999</v>
      </c>
      <c r="K224">
        <v>1650</v>
      </c>
      <c r="L224">
        <v>0</v>
      </c>
      <c r="M224">
        <v>0</v>
      </c>
      <c r="N224">
        <v>1650</v>
      </c>
    </row>
    <row r="225" spans="1:14" x14ac:dyDescent="0.25">
      <c r="A225">
        <v>51.829275000000003</v>
      </c>
      <c r="B225" s="1">
        <f>DATE(2010,6,21) + TIME(19,54,9)</f>
        <v>40350.829270833332</v>
      </c>
      <c r="C225">
        <v>80</v>
      </c>
      <c r="D225">
        <v>79.869071959999999</v>
      </c>
      <c r="E225">
        <v>50</v>
      </c>
      <c r="F225">
        <v>14.998486519</v>
      </c>
      <c r="G225">
        <v>1372.5285644999999</v>
      </c>
      <c r="H225">
        <v>1362.465332</v>
      </c>
      <c r="I225">
        <v>1277.8394774999999</v>
      </c>
      <c r="J225">
        <v>1250.6633300999999</v>
      </c>
      <c r="K225">
        <v>1650</v>
      </c>
      <c r="L225">
        <v>0</v>
      </c>
      <c r="M225">
        <v>0</v>
      </c>
      <c r="N225">
        <v>1650</v>
      </c>
    </row>
    <row r="226" spans="1:14" x14ac:dyDescent="0.25">
      <c r="A226">
        <v>52.532707000000002</v>
      </c>
      <c r="B226" s="1">
        <f>DATE(2010,6,22) + TIME(12,47,5)</f>
        <v>40351.532696759263</v>
      </c>
      <c r="C226">
        <v>80</v>
      </c>
      <c r="D226">
        <v>79.869171143000003</v>
      </c>
      <c r="E226">
        <v>50</v>
      </c>
      <c r="F226">
        <v>14.998498916999999</v>
      </c>
      <c r="G226">
        <v>1372.4664307</v>
      </c>
      <c r="H226">
        <v>1362.4079589999999</v>
      </c>
      <c r="I226">
        <v>1277.8503418</v>
      </c>
      <c r="J226">
        <v>1250.6733397999999</v>
      </c>
      <c r="K226">
        <v>1650</v>
      </c>
      <c r="L226">
        <v>0</v>
      </c>
      <c r="M226">
        <v>0</v>
      </c>
      <c r="N226">
        <v>1650</v>
      </c>
    </row>
    <row r="227" spans="1:14" x14ac:dyDescent="0.25">
      <c r="A227">
        <v>53.245328999999998</v>
      </c>
      <c r="B227" s="1">
        <f>DATE(2010,6,23) + TIME(5,53,16)</f>
        <v>40352.245324074072</v>
      </c>
      <c r="C227">
        <v>80</v>
      </c>
      <c r="D227">
        <v>79.869277953999998</v>
      </c>
      <c r="E227">
        <v>50</v>
      </c>
      <c r="F227">
        <v>14.998511314</v>
      </c>
      <c r="G227">
        <v>1372.4044189000001</v>
      </c>
      <c r="H227">
        <v>1362.3507079999999</v>
      </c>
      <c r="I227">
        <v>1277.8613281</v>
      </c>
      <c r="J227">
        <v>1250.6833495999999</v>
      </c>
      <c r="K227">
        <v>1650</v>
      </c>
      <c r="L227">
        <v>0</v>
      </c>
      <c r="M227">
        <v>0</v>
      </c>
      <c r="N227">
        <v>1650</v>
      </c>
    </row>
    <row r="228" spans="1:14" x14ac:dyDescent="0.25">
      <c r="A228">
        <v>53.968499000000001</v>
      </c>
      <c r="B228" s="1">
        <f>DATE(2010,6,23) + TIME(23,14,38)</f>
        <v>40352.968495370369</v>
      </c>
      <c r="C228">
        <v>80</v>
      </c>
      <c r="D228">
        <v>79.869377135999997</v>
      </c>
      <c r="E228">
        <v>50</v>
      </c>
      <c r="F228">
        <v>14.998523712000001</v>
      </c>
      <c r="G228">
        <v>1372.3422852000001</v>
      </c>
      <c r="H228">
        <v>1362.293457</v>
      </c>
      <c r="I228">
        <v>1277.8724365</v>
      </c>
      <c r="J228">
        <v>1250.6936035000001</v>
      </c>
      <c r="K228">
        <v>1650</v>
      </c>
      <c r="L228">
        <v>0</v>
      </c>
      <c r="M228">
        <v>0</v>
      </c>
      <c r="N228">
        <v>1650</v>
      </c>
    </row>
    <row r="229" spans="1:14" x14ac:dyDescent="0.25">
      <c r="A229">
        <v>54.703163000000004</v>
      </c>
      <c r="B229" s="1">
        <f>DATE(2010,6,24) + TIME(16,52,33)</f>
        <v>40353.703159722223</v>
      </c>
      <c r="C229">
        <v>80</v>
      </c>
      <c r="D229">
        <v>79.869483947999996</v>
      </c>
      <c r="E229">
        <v>50</v>
      </c>
      <c r="F229">
        <v>14.99853611</v>
      </c>
      <c r="G229">
        <v>1372.2801514</v>
      </c>
      <c r="H229">
        <v>1362.2360839999999</v>
      </c>
      <c r="I229">
        <v>1277.8839111</v>
      </c>
      <c r="J229">
        <v>1250.7041016000001</v>
      </c>
      <c r="K229">
        <v>1650</v>
      </c>
      <c r="L229">
        <v>0</v>
      </c>
      <c r="M229">
        <v>0</v>
      </c>
      <c r="N229">
        <v>1650</v>
      </c>
    </row>
    <row r="230" spans="1:14" x14ac:dyDescent="0.25">
      <c r="A230">
        <v>55.450665999999998</v>
      </c>
      <c r="B230" s="1">
        <f>DATE(2010,6,25) + TIME(10,48,57)</f>
        <v>40354.450659722221</v>
      </c>
      <c r="C230">
        <v>80</v>
      </c>
      <c r="D230">
        <v>79.869598389000004</v>
      </c>
      <c r="E230">
        <v>50</v>
      </c>
      <c r="F230">
        <v>14.998549461</v>
      </c>
      <c r="G230">
        <v>1372.2177733999999</v>
      </c>
      <c r="H230">
        <v>1362.1785889</v>
      </c>
      <c r="I230">
        <v>1277.8956298999999</v>
      </c>
      <c r="J230">
        <v>1250.7148437999999</v>
      </c>
      <c r="K230">
        <v>1650</v>
      </c>
      <c r="L230">
        <v>0</v>
      </c>
      <c r="M230">
        <v>0</v>
      </c>
      <c r="N230">
        <v>1650</v>
      </c>
    </row>
    <row r="231" spans="1:14" x14ac:dyDescent="0.25">
      <c r="A231">
        <v>56.212764999999997</v>
      </c>
      <c r="B231" s="1">
        <f>DATE(2010,6,26) + TIME(5,6,22)</f>
        <v>40355.212754629632</v>
      </c>
      <c r="C231">
        <v>80</v>
      </c>
      <c r="D231">
        <v>79.869705199999999</v>
      </c>
      <c r="E231">
        <v>50</v>
      </c>
      <c r="F231">
        <v>14.998561859</v>
      </c>
      <c r="G231">
        <v>1372.1550293</v>
      </c>
      <c r="H231">
        <v>1362.1207274999999</v>
      </c>
      <c r="I231">
        <v>1277.9075928</v>
      </c>
      <c r="J231">
        <v>1250.7257079999999</v>
      </c>
      <c r="K231">
        <v>1650</v>
      </c>
      <c r="L231">
        <v>0</v>
      </c>
      <c r="M231">
        <v>0</v>
      </c>
      <c r="N231">
        <v>1650</v>
      </c>
    </row>
    <row r="232" spans="1:14" x14ac:dyDescent="0.25">
      <c r="A232">
        <v>56.988061999999999</v>
      </c>
      <c r="B232" s="1">
        <f>DATE(2010,6,26) + TIME(23,42,48)</f>
        <v>40355.988055555557</v>
      </c>
      <c r="C232">
        <v>80</v>
      </c>
      <c r="D232">
        <v>79.869819641000007</v>
      </c>
      <c r="E232">
        <v>50</v>
      </c>
      <c r="F232">
        <v>14.998574257</v>
      </c>
      <c r="G232">
        <v>1372.0919189000001</v>
      </c>
      <c r="H232">
        <v>1362.0626221</v>
      </c>
      <c r="I232">
        <v>1277.9197998</v>
      </c>
      <c r="J232">
        <v>1250.7369385</v>
      </c>
      <c r="K232">
        <v>1650</v>
      </c>
      <c r="L232">
        <v>0</v>
      </c>
      <c r="M232">
        <v>0</v>
      </c>
      <c r="N232">
        <v>1650</v>
      </c>
    </row>
    <row r="233" spans="1:14" x14ac:dyDescent="0.25">
      <c r="A233">
        <v>57.377170999999997</v>
      </c>
      <c r="B233" s="1">
        <f>DATE(2010,6,27) + TIME(9,3,7)</f>
        <v>40356.377164351848</v>
      </c>
      <c r="C233">
        <v>80</v>
      </c>
      <c r="D233">
        <v>79.869865417</v>
      </c>
      <c r="E233">
        <v>50</v>
      </c>
      <c r="F233">
        <v>14.998582839999999</v>
      </c>
      <c r="G233">
        <v>1372.0280762</v>
      </c>
      <c r="H233">
        <v>1362.0036620999999</v>
      </c>
      <c r="I233">
        <v>1277.9320068</v>
      </c>
      <c r="J233">
        <v>1250.7480469</v>
      </c>
      <c r="K233">
        <v>1650</v>
      </c>
      <c r="L233">
        <v>0</v>
      </c>
      <c r="M233">
        <v>0</v>
      </c>
      <c r="N233">
        <v>1650</v>
      </c>
    </row>
    <row r="234" spans="1:14" x14ac:dyDescent="0.25">
      <c r="A234">
        <v>57.766280999999999</v>
      </c>
      <c r="B234" s="1">
        <f>DATE(2010,6,27) + TIME(18,23,26)</f>
        <v>40356.766273148147</v>
      </c>
      <c r="C234">
        <v>80</v>
      </c>
      <c r="D234">
        <v>79.869918823000006</v>
      </c>
      <c r="E234">
        <v>50</v>
      </c>
      <c r="F234">
        <v>14.998590469</v>
      </c>
      <c r="G234">
        <v>1371.9960937999999</v>
      </c>
      <c r="H234">
        <v>1361.9742432</v>
      </c>
      <c r="I234">
        <v>1277.9384766000001</v>
      </c>
      <c r="J234">
        <v>1250.7539062000001</v>
      </c>
      <c r="K234">
        <v>1650</v>
      </c>
      <c r="L234">
        <v>0</v>
      </c>
      <c r="M234">
        <v>0</v>
      </c>
      <c r="N234">
        <v>1650</v>
      </c>
    </row>
    <row r="235" spans="1:14" x14ac:dyDescent="0.25">
      <c r="A235">
        <v>58.155391000000002</v>
      </c>
      <c r="B235" s="1">
        <f>DATE(2010,6,28) + TIME(3,43,45)</f>
        <v>40357.155381944445</v>
      </c>
      <c r="C235">
        <v>80</v>
      </c>
      <c r="D235">
        <v>79.869972228999998</v>
      </c>
      <c r="E235">
        <v>50</v>
      </c>
      <c r="F235">
        <v>14.998598099000001</v>
      </c>
      <c r="G235">
        <v>1371.9647216999999</v>
      </c>
      <c r="H235">
        <v>1361.9453125</v>
      </c>
      <c r="I235">
        <v>1277.9448242000001</v>
      </c>
      <c r="J235">
        <v>1250.7597656</v>
      </c>
      <c r="K235">
        <v>1650</v>
      </c>
      <c r="L235">
        <v>0</v>
      </c>
      <c r="M235">
        <v>0</v>
      </c>
      <c r="N235">
        <v>1650</v>
      </c>
    </row>
    <row r="236" spans="1:14" x14ac:dyDescent="0.25">
      <c r="A236">
        <v>58.544499999999999</v>
      </c>
      <c r="B236" s="1">
        <f>DATE(2010,6,28) + TIME(13,4,4)</f>
        <v>40357.544490740744</v>
      </c>
      <c r="C236">
        <v>80</v>
      </c>
      <c r="D236">
        <v>79.870025635000005</v>
      </c>
      <c r="E236">
        <v>50</v>
      </c>
      <c r="F236">
        <v>14.998604774</v>
      </c>
      <c r="G236">
        <v>1371.9335937999999</v>
      </c>
      <c r="H236">
        <v>1361.916626</v>
      </c>
      <c r="I236">
        <v>1277.9511719</v>
      </c>
      <c r="J236">
        <v>1250.765625</v>
      </c>
      <c r="K236">
        <v>1650</v>
      </c>
      <c r="L236">
        <v>0</v>
      </c>
      <c r="M236">
        <v>0</v>
      </c>
      <c r="N236">
        <v>1650</v>
      </c>
    </row>
    <row r="237" spans="1:14" x14ac:dyDescent="0.25">
      <c r="A237">
        <v>58.933610000000002</v>
      </c>
      <c r="B237" s="1">
        <f>DATE(2010,6,28) + TIME(22,24,23)</f>
        <v>40357.933599537035</v>
      </c>
      <c r="C237">
        <v>80</v>
      </c>
      <c r="D237">
        <v>79.870079040999997</v>
      </c>
      <c r="E237">
        <v>50</v>
      </c>
      <c r="F237">
        <v>14.99861145</v>
      </c>
      <c r="G237">
        <v>1371.9025879000001</v>
      </c>
      <c r="H237">
        <v>1361.8880615</v>
      </c>
      <c r="I237">
        <v>1277.9576416</v>
      </c>
      <c r="J237">
        <v>1250.7714844</v>
      </c>
      <c r="K237">
        <v>1650</v>
      </c>
      <c r="L237">
        <v>0</v>
      </c>
      <c r="M237">
        <v>0</v>
      </c>
      <c r="N237">
        <v>1650</v>
      </c>
    </row>
    <row r="238" spans="1:14" x14ac:dyDescent="0.25">
      <c r="A238">
        <v>59.322719999999997</v>
      </c>
      <c r="B238" s="1">
        <f>DATE(2010,6,29) + TIME(7,44,42)</f>
        <v>40358.322708333333</v>
      </c>
      <c r="C238">
        <v>80</v>
      </c>
      <c r="D238">
        <v>79.870132446</v>
      </c>
      <c r="E238">
        <v>50</v>
      </c>
      <c r="F238">
        <v>14.998618126</v>
      </c>
      <c r="G238">
        <v>1371.8718262</v>
      </c>
      <c r="H238">
        <v>1361.8597411999999</v>
      </c>
      <c r="I238">
        <v>1277.9641113</v>
      </c>
      <c r="J238">
        <v>1250.7773437999999</v>
      </c>
      <c r="K238">
        <v>1650</v>
      </c>
      <c r="L238">
        <v>0</v>
      </c>
      <c r="M238">
        <v>0</v>
      </c>
      <c r="N238">
        <v>1650</v>
      </c>
    </row>
    <row r="239" spans="1:14" x14ac:dyDescent="0.25">
      <c r="A239">
        <v>60.100938999999997</v>
      </c>
      <c r="B239" s="1">
        <f>DATE(2010,6,30) + TIME(2,25,21)</f>
        <v>40359.100937499999</v>
      </c>
      <c r="C239">
        <v>80</v>
      </c>
      <c r="D239">
        <v>79.870262146000002</v>
      </c>
      <c r="E239">
        <v>50</v>
      </c>
      <c r="F239">
        <v>14.998628616</v>
      </c>
      <c r="G239">
        <v>1371.8419189000001</v>
      </c>
      <c r="H239">
        <v>1361.8322754000001</v>
      </c>
      <c r="I239">
        <v>1277.9709473</v>
      </c>
      <c r="J239">
        <v>1250.7835693</v>
      </c>
      <c r="K239">
        <v>1650</v>
      </c>
      <c r="L239">
        <v>0</v>
      </c>
      <c r="M239">
        <v>0</v>
      </c>
      <c r="N239">
        <v>1650</v>
      </c>
    </row>
    <row r="240" spans="1:14" x14ac:dyDescent="0.25">
      <c r="A240">
        <v>60.879294000000002</v>
      </c>
      <c r="B240" s="1">
        <f>DATE(2010,6,30) + TIME(21,6,11)</f>
        <v>40359.879293981481</v>
      </c>
      <c r="C240">
        <v>80</v>
      </c>
      <c r="D240">
        <v>79.870384216000005</v>
      </c>
      <c r="E240">
        <v>50</v>
      </c>
      <c r="F240">
        <v>14.99864006</v>
      </c>
      <c r="G240">
        <v>1371.7814940999999</v>
      </c>
      <c r="H240">
        <v>1361.7767334</v>
      </c>
      <c r="I240">
        <v>1277.9837646000001</v>
      </c>
      <c r="J240">
        <v>1250.7954102000001</v>
      </c>
      <c r="K240">
        <v>1650</v>
      </c>
      <c r="L240">
        <v>0</v>
      </c>
      <c r="M240">
        <v>0</v>
      </c>
      <c r="N240">
        <v>1650</v>
      </c>
    </row>
    <row r="241" spans="1:14" x14ac:dyDescent="0.25">
      <c r="A241">
        <v>61</v>
      </c>
      <c r="B241" s="1">
        <f>DATE(2010,7,1) + TIME(0,0,0)</f>
        <v>40360</v>
      </c>
      <c r="C241">
        <v>80</v>
      </c>
      <c r="D241">
        <v>79.870391846000004</v>
      </c>
      <c r="E241">
        <v>50</v>
      </c>
      <c r="F241">
        <v>14.998643875000001</v>
      </c>
      <c r="G241">
        <v>1371.7224120999999</v>
      </c>
      <c r="H241">
        <v>1361.7224120999999</v>
      </c>
      <c r="I241">
        <v>1277.9957274999999</v>
      </c>
      <c r="J241">
        <v>1250.8061522999999</v>
      </c>
      <c r="K241">
        <v>1650</v>
      </c>
      <c r="L241">
        <v>0</v>
      </c>
      <c r="M241">
        <v>0</v>
      </c>
      <c r="N241">
        <v>1650</v>
      </c>
    </row>
    <row r="242" spans="1:14" x14ac:dyDescent="0.25">
      <c r="A242">
        <v>61.782577000000003</v>
      </c>
      <c r="B242" s="1">
        <f>DATE(2010,7,1) + TIME(18,46,54)</f>
        <v>40360.782569444447</v>
      </c>
      <c r="C242">
        <v>80</v>
      </c>
      <c r="D242">
        <v>79.870521545000003</v>
      </c>
      <c r="E242">
        <v>50</v>
      </c>
      <c r="F242">
        <v>14.998654366</v>
      </c>
      <c r="G242">
        <v>1371.7121582</v>
      </c>
      <c r="H242">
        <v>1361.7128906</v>
      </c>
      <c r="I242">
        <v>1277.9989014</v>
      </c>
      <c r="J242">
        <v>1250.8092041</v>
      </c>
      <c r="K242">
        <v>1650</v>
      </c>
      <c r="L242">
        <v>0</v>
      </c>
      <c r="M242">
        <v>0</v>
      </c>
      <c r="N242">
        <v>1650</v>
      </c>
    </row>
    <row r="243" spans="1:14" x14ac:dyDescent="0.25">
      <c r="A243">
        <v>62.571547000000002</v>
      </c>
      <c r="B243" s="1">
        <f>DATE(2010,7,2) + TIME(13,43,1)</f>
        <v>40361.571539351855</v>
      </c>
      <c r="C243">
        <v>80</v>
      </c>
      <c r="D243">
        <v>79.870635985999996</v>
      </c>
      <c r="E243">
        <v>50</v>
      </c>
      <c r="F243">
        <v>14.99866581</v>
      </c>
      <c r="G243">
        <v>1371.6530762</v>
      </c>
      <c r="H243">
        <v>1361.6585693</v>
      </c>
      <c r="I243">
        <v>1278.0120850000001</v>
      </c>
      <c r="J243">
        <v>1250.8211670000001</v>
      </c>
      <c r="K243">
        <v>1650</v>
      </c>
      <c r="L243">
        <v>0</v>
      </c>
      <c r="M243">
        <v>0</v>
      </c>
      <c r="N243">
        <v>1650</v>
      </c>
    </row>
    <row r="244" spans="1:14" x14ac:dyDescent="0.25">
      <c r="A244">
        <v>63.367289999999997</v>
      </c>
      <c r="B244" s="1">
        <f>DATE(2010,7,3) + TIME(8,48,53)</f>
        <v>40362.367280092592</v>
      </c>
      <c r="C244">
        <v>80</v>
      </c>
      <c r="D244">
        <v>79.870758057000003</v>
      </c>
      <c r="E244">
        <v>50</v>
      </c>
      <c r="F244">
        <v>14.998678206999999</v>
      </c>
      <c r="G244">
        <v>1371.5938721</v>
      </c>
      <c r="H244">
        <v>1361.604126</v>
      </c>
      <c r="I244">
        <v>1278.0255127</v>
      </c>
      <c r="J244">
        <v>1250.833374</v>
      </c>
      <c r="K244">
        <v>1650</v>
      </c>
      <c r="L244">
        <v>0</v>
      </c>
      <c r="M244">
        <v>0</v>
      </c>
      <c r="N244">
        <v>1650</v>
      </c>
    </row>
    <row r="245" spans="1:14" x14ac:dyDescent="0.25">
      <c r="A245">
        <v>64.171071999999995</v>
      </c>
      <c r="B245" s="1">
        <f>DATE(2010,7,4) + TIME(4,6,20)</f>
        <v>40363.171064814815</v>
      </c>
      <c r="C245">
        <v>80</v>
      </c>
      <c r="D245">
        <v>79.870872497999997</v>
      </c>
      <c r="E245">
        <v>50</v>
      </c>
      <c r="F245">
        <v>14.998690605</v>
      </c>
      <c r="G245">
        <v>1371.5347899999999</v>
      </c>
      <c r="H245">
        <v>1361.5499268000001</v>
      </c>
      <c r="I245">
        <v>1278.0390625</v>
      </c>
      <c r="J245">
        <v>1250.8458252</v>
      </c>
      <c r="K245">
        <v>1650</v>
      </c>
      <c r="L245">
        <v>0</v>
      </c>
      <c r="M245">
        <v>0</v>
      </c>
      <c r="N245">
        <v>1650</v>
      </c>
    </row>
    <row r="246" spans="1:14" x14ac:dyDescent="0.25">
      <c r="A246">
        <v>64.984191999999993</v>
      </c>
      <c r="B246" s="1">
        <f>DATE(2010,7,4) + TIME(23,37,14)</f>
        <v>40363.984189814815</v>
      </c>
      <c r="C246">
        <v>80</v>
      </c>
      <c r="D246">
        <v>79.870994568</v>
      </c>
      <c r="E246">
        <v>50</v>
      </c>
      <c r="F246">
        <v>14.998703002999999</v>
      </c>
      <c r="G246">
        <v>1371.4759521000001</v>
      </c>
      <c r="H246">
        <v>1361.4958495999999</v>
      </c>
      <c r="I246">
        <v>1278.0529785000001</v>
      </c>
      <c r="J246">
        <v>1250.8583983999999</v>
      </c>
      <c r="K246">
        <v>1650</v>
      </c>
      <c r="L246">
        <v>0</v>
      </c>
      <c r="M246">
        <v>0</v>
      </c>
      <c r="N246">
        <v>1650</v>
      </c>
    </row>
    <row r="247" spans="1:14" x14ac:dyDescent="0.25">
      <c r="A247">
        <v>65.808372000000006</v>
      </c>
      <c r="B247" s="1">
        <f>DATE(2010,7,5) + TIME(19,24,3)</f>
        <v>40364.808368055557</v>
      </c>
      <c r="C247">
        <v>80</v>
      </c>
      <c r="D247">
        <v>79.871116638000004</v>
      </c>
      <c r="E247">
        <v>50</v>
      </c>
      <c r="F247">
        <v>14.998715401</v>
      </c>
      <c r="G247">
        <v>1371.4169922000001</v>
      </c>
      <c r="H247">
        <v>1361.4417725000001</v>
      </c>
      <c r="I247">
        <v>1278.0671387</v>
      </c>
      <c r="J247">
        <v>1250.8712158000001</v>
      </c>
      <c r="K247">
        <v>1650</v>
      </c>
      <c r="L247">
        <v>0</v>
      </c>
      <c r="M247">
        <v>0</v>
      </c>
      <c r="N247">
        <v>1650</v>
      </c>
    </row>
    <row r="248" spans="1:14" x14ac:dyDescent="0.25">
      <c r="A248">
        <v>66.644718999999995</v>
      </c>
      <c r="B248" s="1">
        <f>DATE(2010,7,6) + TIME(15,28,23)</f>
        <v>40365.64471064815</v>
      </c>
      <c r="C248">
        <v>80</v>
      </c>
      <c r="D248">
        <v>79.871246338000006</v>
      </c>
      <c r="E248">
        <v>50</v>
      </c>
      <c r="F248">
        <v>14.998727798000001</v>
      </c>
      <c r="G248">
        <v>1371.3580322</v>
      </c>
      <c r="H248">
        <v>1361.3875731999999</v>
      </c>
      <c r="I248">
        <v>1278.081543</v>
      </c>
      <c r="J248">
        <v>1250.8842772999999</v>
      </c>
      <c r="K248">
        <v>1650</v>
      </c>
      <c r="L248">
        <v>0</v>
      </c>
      <c r="M248">
        <v>0</v>
      </c>
      <c r="N248">
        <v>1650</v>
      </c>
    </row>
    <row r="249" spans="1:14" x14ac:dyDescent="0.25">
      <c r="A249">
        <v>67.494611000000006</v>
      </c>
      <c r="B249" s="1">
        <f>DATE(2010,7,7) + TIME(11,52,14)</f>
        <v>40366.494606481479</v>
      </c>
      <c r="C249">
        <v>80</v>
      </c>
      <c r="D249">
        <v>79.871368407999995</v>
      </c>
      <c r="E249">
        <v>50</v>
      </c>
      <c r="F249">
        <v>14.998741150000001</v>
      </c>
      <c r="G249">
        <v>1371.2987060999999</v>
      </c>
      <c r="H249">
        <v>1361.3332519999999</v>
      </c>
      <c r="I249">
        <v>1278.0963135</v>
      </c>
      <c r="J249">
        <v>1250.8977050999999</v>
      </c>
      <c r="K249">
        <v>1650</v>
      </c>
      <c r="L249">
        <v>0</v>
      </c>
      <c r="M249">
        <v>0</v>
      </c>
      <c r="N249">
        <v>1650</v>
      </c>
    </row>
    <row r="250" spans="1:14" x14ac:dyDescent="0.25">
      <c r="A250">
        <v>68.352384000000001</v>
      </c>
      <c r="B250" s="1">
        <f>DATE(2010,7,8) + TIME(8,27,25)</f>
        <v>40367.352372685185</v>
      </c>
      <c r="C250">
        <v>80</v>
      </c>
      <c r="D250">
        <v>79.871498107999997</v>
      </c>
      <c r="E250">
        <v>50</v>
      </c>
      <c r="F250">
        <v>14.998753548</v>
      </c>
      <c r="G250">
        <v>1371.2392577999999</v>
      </c>
      <c r="H250">
        <v>1361.2786865</v>
      </c>
      <c r="I250">
        <v>1278.1114502</v>
      </c>
      <c r="J250">
        <v>1250.9113769999999</v>
      </c>
      <c r="K250">
        <v>1650</v>
      </c>
      <c r="L250">
        <v>0</v>
      </c>
      <c r="M250">
        <v>0</v>
      </c>
      <c r="N250">
        <v>1650</v>
      </c>
    </row>
    <row r="251" spans="1:14" x14ac:dyDescent="0.25">
      <c r="A251">
        <v>69.218372000000002</v>
      </c>
      <c r="B251" s="1">
        <f>DATE(2010,7,9) + TIME(5,14,27)</f>
        <v>40368.218368055554</v>
      </c>
      <c r="C251">
        <v>80</v>
      </c>
      <c r="D251">
        <v>79.871627808</v>
      </c>
      <c r="E251">
        <v>50</v>
      </c>
      <c r="F251">
        <v>14.998766899</v>
      </c>
      <c r="G251">
        <v>1371.1799315999999</v>
      </c>
      <c r="H251">
        <v>1361.2242432</v>
      </c>
      <c r="I251">
        <v>1278.1268310999999</v>
      </c>
      <c r="J251">
        <v>1250.925293</v>
      </c>
      <c r="K251">
        <v>1650</v>
      </c>
      <c r="L251">
        <v>0</v>
      </c>
      <c r="M251">
        <v>0</v>
      </c>
      <c r="N251">
        <v>1650</v>
      </c>
    </row>
    <row r="252" spans="1:14" x14ac:dyDescent="0.25">
      <c r="A252">
        <v>70.093926999999994</v>
      </c>
      <c r="B252" s="1">
        <f>DATE(2010,7,10) + TIME(2,15,15)</f>
        <v>40369.093923611108</v>
      </c>
      <c r="C252">
        <v>80</v>
      </c>
      <c r="D252">
        <v>79.871757506999998</v>
      </c>
      <c r="E252">
        <v>50</v>
      </c>
      <c r="F252">
        <v>14.998781204</v>
      </c>
      <c r="G252">
        <v>1371.1206055</v>
      </c>
      <c r="H252">
        <v>1361.1699219</v>
      </c>
      <c r="I252">
        <v>1278.1424560999999</v>
      </c>
      <c r="J252">
        <v>1250.9394531</v>
      </c>
      <c r="K252">
        <v>1650</v>
      </c>
      <c r="L252">
        <v>0</v>
      </c>
      <c r="M252">
        <v>0</v>
      </c>
      <c r="N252">
        <v>1650</v>
      </c>
    </row>
    <row r="253" spans="1:14" x14ac:dyDescent="0.25">
      <c r="A253">
        <v>70.975260000000006</v>
      </c>
      <c r="B253" s="1">
        <f>DATE(2010,7,10) + TIME(23,24,22)</f>
        <v>40369.975254629629</v>
      </c>
      <c r="C253">
        <v>80</v>
      </c>
      <c r="D253">
        <v>79.871887207</v>
      </c>
      <c r="E253">
        <v>50</v>
      </c>
      <c r="F253">
        <v>14.998794556</v>
      </c>
      <c r="G253">
        <v>1371.0614014</v>
      </c>
      <c r="H253">
        <v>1361.1156006000001</v>
      </c>
      <c r="I253">
        <v>1278.1583252</v>
      </c>
      <c r="J253">
        <v>1250.9539795000001</v>
      </c>
      <c r="K253">
        <v>1650</v>
      </c>
      <c r="L253">
        <v>0</v>
      </c>
      <c r="M253">
        <v>0</v>
      </c>
      <c r="N253">
        <v>1650</v>
      </c>
    </row>
    <row r="254" spans="1:14" x14ac:dyDescent="0.25">
      <c r="A254">
        <v>71.856775999999996</v>
      </c>
      <c r="B254" s="1">
        <f>DATE(2010,7,11) + TIME(20,33,45)</f>
        <v>40370.856770833336</v>
      </c>
      <c r="C254">
        <v>80</v>
      </c>
      <c r="D254">
        <v>79.872024535999998</v>
      </c>
      <c r="E254">
        <v>50</v>
      </c>
      <c r="F254">
        <v>14.998808861000001</v>
      </c>
      <c r="G254">
        <v>1371.0024414</v>
      </c>
      <c r="H254">
        <v>1361.0615233999999</v>
      </c>
      <c r="I254">
        <v>1278.1745605000001</v>
      </c>
      <c r="J254">
        <v>1250.9686279</v>
      </c>
      <c r="K254">
        <v>1650</v>
      </c>
      <c r="L254">
        <v>0</v>
      </c>
      <c r="M254">
        <v>0</v>
      </c>
      <c r="N254">
        <v>1650</v>
      </c>
    </row>
    <row r="255" spans="1:14" x14ac:dyDescent="0.25">
      <c r="A255">
        <v>72.739947999999998</v>
      </c>
      <c r="B255" s="1">
        <f>DATE(2010,7,12) + TIME(17,45,31)</f>
        <v>40371.739942129629</v>
      </c>
      <c r="C255">
        <v>80</v>
      </c>
      <c r="D255">
        <v>79.872154236</v>
      </c>
      <c r="E255">
        <v>50</v>
      </c>
      <c r="F255">
        <v>14.998823165999999</v>
      </c>
      <c r="G255">
        <v>1370.9440918</v>
      </c>
      <c r="H255">
        <v>1361.0080565999999</v>
      </c>
      <c r="I255">
        <v>1278.190918</v>
      </c>
      <c r="J255">
        <v>1250.9832764</v>
      </c>
      <c r="K255">
        <v>1650</v>
      </c>
      <c r="L255">
        <v>0</v>
      </c>
      <c r="M255">
        <v>0</v>
      </c>
      <c r="N255">
        <v>1650</v>
      </c>
    </row>
    <row r="256" spans="1:14" x14ac:dyDescent="0.25">
      <c r="A256">
        <v>73.626084000000006</v>
      </c>
      <c r="B256" s="1">
        <f>DATE(2010,7,13) + TIME(15,1,33)</f>
        <v>40372.626076388886</v>
      </c>
      <c r="C256">
        <v>80</v>
      </c>
      <c r="D256">
        <v>79.872283936000002</v>
      </c>
      <c r="E256">
        <v>50</v>
      </c>
      <c r="F256">
        <v>14.998838425000001</v>
      </c>
      <c r="G256">
        <v>1370.8862305</v>
      </c>
      <c r="H256">
        <v>1360.9552002</v>
      </c>
      <c r="I256">
        <v>1278.2073975000001</v>
      </c>
      <c r="J256">
        <v>1250.9981689000001</v>
      </c>
      <c r="K256">
        <v>1650</v>
      </c>
      <c r="L256">
        <v>0</v>
      </c>
      <c r="M256">
        <v>0</v>
      </c>
      <c r="N256">
        <v>1650</v>
      </c>
    </row>
    <row r="257" spans="1:14" x14ac:dyDescent="0.25">
      <c r="A257">
        <v>74.516409999999993</v>
      </c>
      <c r="B257" s="1">
        <f>DATE(2010,7,14) + TIME(12,23,37)</f>
        <v>40373.516400462962</v>
      </c>
      <c r="C257">
        <v>80</v>
      </c>
      <c r="D257">
        <v>79.872421265</v>
      </c>
      <c r="E257">
        <v>50</v>
      </c>
      <c r="F257">
        <v>14.998853683</v>
      </c>
      <c r="G257">
        <v>1370.8288574000001</v>
      </c>
      <c r="H257">
        <v>1360.9025879000001</v>
      </c>
      <c r="I257">
        <v>1278.2241211</v>
      </c>
      <c r="J257">
        <v>1251.0133057</v>
      </c>
      <c r="K257">
        <v>1650</v>
      </c>
      <c r="L257">
        <v>0</v>
      </c>
      <c r="M257">
        <v>0</v>
      </c>
      <c r="N257">
        <v>1650</v>
      </c>
    </row>
    <row r="258" spans="1:14" x14ac:dyDescent="0.25">
      <c r="A258">
        <v>75.412338000000005</v>
      </c>
      <c r="B258" s="1">
        <f>DATE(2010,7,15) + TIME(9,53,45)</f>
        <v>40374.412326388891</v>
      </c>
      <c r="C258">
        <v>80</v>
      </c>
      <c r="D258">
        <v>79.872550963999998</v>
      </c>
      <c r="E258">
        <v>50</v>
      </c>
      <c r="F258">
        <v>14.998869896</v>
      </c>
      <c r="G258">
        <v>1370.7718506000001</v>
      </c>
      <c r="H258">
        <v>1360.8503418</v>
      </c>
      <c r="I258">
        <v>1278.2410889</v>
      </c>
      <c r="J258">
        <v>1251.0285644999999</v>
      </c>
      <c r="K258">
        <v>1650</v>
      </c>
      <c r="L258">
        <v>0</v>
      </c>
      <c r="M258">
        <v>0</v>
      </c>
      <c r="N258">
        <v>1650</v>
      </c>
    </row>
    <row r="259" spans="1:14" x14ac:dyDescent="0.25">
      <c r="A259">
        <v>76.315262000000004</v>
      </c>
      <c r="B259" s="1">
        <f>DATE(2010,7,16) + TIME(7,33,58)</f>
        <v>40375.315254629626</v>
      </c>
      <c r="C259">
        <v>80</v>
      </c>
      <c r="D259">
        <v>79.872688292999996</v>
      </c>
      <c r="E259">
        <v>50</v>
      </c>
      <c r="F259">
        <v>14.998886108000001</v>
      </c>
      <c r="G259">
        <v>1370.7150879000001</v>
      </c>
      <c r="H259">
        <v>1360.7983397999999</v>
      </c>
      <c r="I259">
        <v>1278.2581786999999</v>
      </c>
      <c r="J259">
        <v>1251.0440673999999</v>
      </c>
      <c r="K259">
        <v>1650</v>
      </c>
      <c r="L259">
        <v>0</v>
      </c>
      <c r="M259">
        <v>0</v>
      </c>
      <c r="N259">
        <v>1650</v>
      </c>
    </row>
    <row r="260" spans="1:14" x14ac:dyDescent="0.25">
      <c r="A260">
        <v>77.226624999999999</v>
      </c>
      <c r="B260" s="1">
        <f>DATE(2010,7,17) + TIME(5,26,20)</f>
        <v>40376.226620370369</v>
      </c>
      <c r="C260">
        <v>80</v>
      </c>
      <c r="D260">
        <v>79.872825622999997</v>
      </c>
      <c r="E260">
        <v>50</v>
      </c>
      <c r="F260">
        <v>14.998904228000001</v>
      </c>
      <c r="G260">
        <v>1370.6584473</v>
      </c>
      <c r="H260">
        <v>1360.746582</v>
      </c>
      <c r="I260">
        <v>1278.2757568</v>
      </c>
      <c r="J260">
        <v>1251.0598144999999</v>
      </c>
      <c r="K260">
        <v>1650</v>
      </c>
      <c r="L260">
        <v>0</v>
      </c>
      <c r="M260">
        <v>0</v>
      </c>
      <c r="N260">
        <v>1650</v>
      </c>
    </row>
    <row r="261" spans="1:14" x14ac:dyDescent="0.25">
      <c r="A261">
        <v>78.145228000000003</v>
      </c>
      <c r="B261" s="1">
        <f>DATE(2010,7,18) + TIME(3,29,7)</f>
        <v>40377.145219907405</v>
      </c>
      <c r="C261">
        <v>80</v>
      </c>
      <c r="D261">
        <v>79.872962951999995</v>
      </c>
      <c r="E261">
        <v>50</v>
      </c>
      <c r="F261">
        <v>14.998923302</v>
      </c>
      <c r="G261">
        <v>1370.6019286999999</v>
      </c>
      <c r="H261">
        <v>1360.6948242000001</v>
      </c>
      <c r="I261">
        <v>1278.2935791</v>
      </c>
      <c r="J261">
        <v>1251.0758057</v>
      </c>
      <c r="K261">
        <v>1650</v>
      </c>
      <c r="L261">
        <v>0</v>
      </c>
      <c r="M261">
        <v>0</v>
      </c>
      <c r="N261">
        <v>1650</v>
      </c>
    </row>
    <row r="262" spans="1:14" x14ac:dyDescent="0.25">
      <c r="A262">
        <v>79.067836999999997</v>
      </c>
      <c r="B262" s="1">
        <f>DATE(2010,7,19) + TIME(1,37,41)</f>
        <v>40378.067835648151</v>
      </c>
      <c r="C262">
        <v>80</v>
      </c>
      <c r="D262">
        <v>79.873100281000006</v>
      </c>
      <c r="E262">
        <v>50</v>
      </c>
      <c r="F262">
        <v>14.998943328999999</v>
      </c>
      <c r="G262">
        <v>1370.5455322</v>
      </c>
      <c r="H262">
        <v>1360.6431885</v>
      </c>
      <c r="I262">
        <v>1278.3116454999999</v>
      </c>
      <c r="J262">
        <v>1251.0921631000001</v>
      </c>
      <c r="K262">
        <v>1650</v>
      </c>
      <c r="L262">
        <v>0</v>
      </c>
      <c r="M262">
        <v>0</v>
      </c>
      <c r="N262">
        <v>1650</v>
      </c>
    </row>
    <row r="263" spans="1:14" x14ac:dyDescent="0.25">
      <c r="A263">
        <v>79.995969000000002</v>
      </c>
      <c r="B263" s="1">
        <f>DATE(2010,7,19) + TIME(23,54,11)</f>
        <v>40378.99596064815</v>
      </c>
      <c r="C263">
        <v>80</v>
      </c>
      <c r="D263">
        <v>79.873237610000004</v>
      </c>
      <c r="E263">
        <v>50</v>
      </c>
      <c r="F263">
        <v>14.998965263000001</v>
      </c>
      <c r="G263">
        <v>1370.4893798999999</v>
      </c>
      <c r="H263">
        <v>1360.5919189000001</v>
      </c>
      <c r="I263">
        <v>1278.3300781</v>
      </c>
      <c r="J263">
        <v>1251.1086425999999</v>
      </c>
      <c r="K263">
        <v>1650</v>
      </c>
      <c r="L263">
        <v>0</v>
      </c>
      <c r="M263">
        <v>0</v>
      </c>
      <c r="N263">
        <v>1650</v>
      </c>
    </row>
    <row r="264" spans="1:14" x14ac:dyDescent="0.25">
      <c r="A264">
        <v>80.931121000000005</v>
      </c>
      <c r="B264" s="1">
        <f>DATE(2010,7,20) + TIME(22,20,48)</f>
        <v>40379.931111111109</v>
      </c>
      <c r="C264">
        <v>80</v>
      </c>
      <c r="D264">
        <v>79.873382567999997</v>
      </c>
      <c r="E264">
        <v>50</v>
      </c>
      <c r="F264">
        <v>14.998988152000001</v>
      </c>
      <c r="G264">
        <v>1370.4335937999999</v>
      </c>
      <c r="H264">
        <v>1360.5407714999999</v>
      </c>
      <c r="I264">
        <v>1278.3487548999999</v>
      </c>
      <c r="J264">
        <v>1251.1253661999999</v>
      </c>
      <c r="K264">
        <v>1650</v>
      </c>
      <c r="L264">
        <v>0</v>
      </c>
      <c r="M264">
        <v>0</v>
      </c>
      <c r="N264">
        <v>1650</v>
      </c>
    </row>
    <row r="265" spans="1:14" x14ac:dyDescent="0.25">
      <c r="A265">
        <v>81.874796000000003</v>
      </c>
      <c r="B265" s="1">
        <f>DATE(2010,7,21) + TIME(20,59,42)</f>
        <v>40380.874791666669</v>
      </c>
      <c r="C265">
        <v>80</v>
      </c>
      <c r="D265">
        <v>79.873519896999994</v>
      </c>
      <c r="E265">
        <v>50</v>
      </c>
      <c r="F265">
        <v>14.999014854</v>
      </c>
      <c r="G265">
        <v>1370.3779297000001</v>
      </c>
      <c r="H265">
        <v>1360.4898682</v>
      </c>
      <c r="I265">
        <v>1278.3677978999999</v>
      </c>
      <c r="J265">
        <v>1251.1424560999999</v>
      </c>
      <c r="K265">
        <v>1650</v>
      </c>
      <c r="L265">
        <v>0</v>
      </c>
      <c r="M265">
        <v>0</v>
      </c>
      <c r="N265">
        <v>1650</v>
      </c>
    </row>
    <row r="266" spans="1:14" x14ac:dyDescent="0.25">
      <c r="A266">
        <v>82.828548999999995</v>
      </c>
      <c r="B266" s="1">
        <f>DATE(2010,7,22) + TIME(19,53,6)</f>
        <v>40381.828541666669</v>
      </c>
      <c r="C266">
        <v>80</v>
      </c>
      <c r="D266">
        <v>79.873664856000005</v>
      </c>
      <c r="E266">
        <v>50</v>
      </c>
      <c r="F266">
        <v>14.999043465</v>
      </c>
      <c r="G266">
        <v>1370.3222656</v>
      </c>
      <c r="H266">
        <v>1360.4389647999999</v>
      </c>
      <c r="I266">
        <v>1278.3870850000001</v>
      </c>
      <c r="J266">
        <v>1251.1597899999999</v>
      </c>
      <c r="K266">
        <v>1650</v>
      </c>
      <c r="L266">
        <v>0</v>
      </c>
      <c r="M266">
        <v>0</v>
      </c>
      <c r="N266">
        <v>1650</v>
      </c>
    </row>
    <row r="267" spans="1:14" x14ac:dyDescent="0.25">
      <c r="A267">
        <v>83.793959999999998</v>
      </c>
      <c r="B267" s="1">
        <f>DATE(2010,7,23) + TIME(19,3,18)</f>
        <v>40382.793958333335</v>
      </c>
      <c r="C267">
        <v>80</v>
      </c>
      <c r="D267">
        <v>79.873809813999998</v>
      </c>
      <c r="E267">
        <v>50</v>
      </c>
      <c r="F267">
        <v>14.99907589</v>
      </c>
      <c r="G267">
        <v>1370.2666016000001</v>
      </c>
      <c r="H267">
        <v>1360.3880615</v>
      </c>
      <c r="I267">
        <v>1278.4069824000001</v>
      </c>
      <c r="J267">
        <v>1251.1774902</v>
      </c>
      <c r="K267">
        <v>1650</v>
      </c>
      <c r="L267">
        <v>0</v>
      </c>
      <c r="M267">
        <v>0</v>
      </c>
      <c r="N267">
        <v>1650</v>
      </c>
    </row>
    <row r="268" spans="1:14" x14ac:dyDescent="0.25">
      <c r="A268">
        <v>84.770931000000004</v>
      </c>
      <c r="B268" s="1">
        <f>DATE(2010,7,24) + TIME(18,30,8)</f>
        <v>40383.770925925928</v>
      </c>
      <c r="C268">
        <v>80</v>
      </c>
      <c r="D268">
        <v>79.873954772999994</v>
      </c>
      <c r="E268">
        <v>50</v>
      </c>
      <c r="F268">
        <v>14.999112129</v>
      </c>
      <c r="G268">
        <v>1370.2109375</v>
      </c>
      <c r="H268">
        <v>1360.3370361</v>
      </c>
      <c r="I268">
        <v>1278.427124</v>
      </c>
      <c r="J268">
        <v>1251.1955565999999</v>
      </c>
      <c r="K268">
        <v>1650</v>
      </c>
      <c r="L268">
        <v>0</v>
      </c>
      <c r="M268">
        <v>0</v>
      </c>
      <c r="N268">
        <v>1650</v>
      </c>
    </row>
    <row r="269" spans="1:14" x14ac:dyDescent="0.25">
      <c r="A269">
        <v>85.748926999999995</v>
      </c>
      <c r="B269" s="1">
        <f>DATE(2010,7,25) + TIME(17,58,27)</f>
        <v>40384.748923611114</v>
      </c>
      <c r="C269">
        <v>80</v>
      </c>
      <c r="D269">
        <v>79.874107361</v>
      </c>
      <c r="E269">
        <v>50</v>
      </c>
      <c r="F269">
        <v>14.999154090999999</v>
      </c>
      <c r="G269">
        <v>1370.1550293</v>
      </c>
      <c r="H269">
        <v>1360.2860106999999</v>
      </c>
      <c r="I269">
        <v>1278.447876</v>
      </c>
      <c r="J269">
        <v>1251.2141113</v>
      </c>
      <c r="K269">
        <v>1650</v>
      </c>
      <c r="L269">
        <v>0</v>
      </c>
      <c r="M269">
        <v>0</v>
      </c>
      <c r="N269">
        <v>1650</v>
      </c>
    </row>
    <row r="270" spans="1:14" x14ac:dyDescent="0.25">
      <c r="A270">
        <v>86.239221000000001</v>
      </c>
      <c r="B270" s="1">
        <f>DATE(2010,7,26) + TIME(5,44,28)</f>
        <v>40385.239212962966</v>
      </c>
      <c r="C270">
        <v>80</v>
      </c>
      <c r="D270">
        <v>79.874168396000002</v>
      </c>
      <c r="E270">
        <v>50</v>
      </c>
      <c r="F270">
        <v>14.999184608</v>
      </c>
      <c r="G270">
        <v>1370.0992432</v>
      </c>
      <c r="H270">
        <v>1360.2348632999999</v>
      </c>
      <c r="I270">
        <v>1278.4685059000001</v>
      </c>
      <c r="J270">
        <v>1251.2324219</v>
      </c>
      <c r="K270">
        <v>1650</v>
      </c>
      <c r="L270">
        <v>0</v>
      </c>
      <c r="M270">
        <v>0</v>
      </c>
      <c r="N270">
        <v>1650</v>
      </c>
    </row>
    <row r="271" spans="1:14" x14ac:dyDescent="0.25">
      <c r="A271">
        <v>86.729515000000006</v>
      </c>
      <c r="B271" s="1">
        <f>DATE(2010,7,26) + TIME(17,30,30)</f>
        <v>40385.729513888888</v>
      </c>
      <c r="C271">
        <v>80</v>
      </c>
      <c r="D271">
        <v>79.874237061000002</v>
      </c>
      <c r="E271">
        <v>50</v>
      </c>
      <c r="F271">
        <v>14.999215125999999</v>
      </c>
      <c r="G271">
        <v>1370.0712891000001</v>
      </c>
      <c r="H271">
        <v>1360.2092285000001</v>
      </c>
      <c r="I271">
        <v>1278.4792480000001</v>
      </c>
      <c r="J271">
        <v>1251.2420654</v>
      </c>
      <c r="K271">
        <v>1650</v>
      </c>
      <c r="L271">
        <v>0</v>
      </c>
      <c r="M271">
        <v>0</v>
      </c>
      <c r="N271">
        <v>1650</v>
      </c>
    </row>
    <row r="272" spans="1:14" x14ac:dyDescent="0.25">
      <c r="A272">
        <v>87.219808</v>
      </c>
      <c r="B272" s="1">
        <f>DATE(2010,7,27) + TIME(5,16,31)</f>
        <v>40386.21980324074</v>
      </c>
      <c r="C272">
        <v>80</v>
      </c>
      <c r="D272">
        <v>79.874305724999999</v>
      </c>
      <c r="E272">
        <v>50</v>
      </c>
      <c r="F272">
        <v>14.999245644</v>
      </c>
      <c r="G272">
        <v>1370.0438231999999</v>
      </c>
      <c r="H272">
        <v>1360.184082</v>
      </c>
      <c r="I272">
        <v>1278.4899902</v>
      </c>
      <c r="J272">
        <v>1251.2515868999999</v>
      </c>
      <c r="K272">
        <v>1650</v>
      </c>
      <c r="L272">
        <v>0</v>
      </c>
      <c r="M272">
        <v>0</v>
      </c>
      <c r="N272">
        <v>1650</v>
      </c>
    </row>
    <row r="273" spans="1:14" x14ac:dyDescent="0.25">
      <c r="A273">
        <v>87.710102000000006</v>
      </c>
      <c r="B273" s="1">
        <f>DATE(2010,7,27) + TIME(17,2,32)</f>
        <v>40386.710092592592</v>
      </c>
      <c r="C273">
        <v>80</v>
      </c>
      <c r="D273">
        <v>79.87437439</v>
      </c>
      <c r="E273">
        <v>50</v>
      </c>
      <c r="F273">
        <v>14.999278069000001</v>
      </c>
      <c r="G273">
        <v>1370.0164795000001</v>
      </c>
      <c r="H273">
        <v>1360.1590576000001</v>
      </c>
      <c r="I273">
        <v>1278.5007324000001</v>
      </c>
      <c r="J273">
        <v>1251.2612305</v>
      </c>
      <c r="K273">
        <v>1650</v>
      </c>
      <c r="L273">
        <v>0</v>
      </c>
      <c r="M273">
        <v>0</v>
      </c>
      <c r="N273">
        <v>1650</v>
      </c>
    </row>
    <row r="274" spans="1:14" x14ac:dyDescent="0.25">
      <c r="A274">
        <v>88.200395999999998</v>
      </c>
      <c r="B274" s="1">
        <f>DATE(2010,7,28) + TIME(4,48,34)</f>
        <v>40387.20039351852</v>
      </c>
      <c r="C274">
        <v>80</v>
      </c>
      <c r="D274">
        <v>79.874450683999996</v>
      </c>
      <c r="E274">
        <v>50</v>
      </c>
      <c r="F274">
        <v>14.999312400999999</v>
      </c>
      <c r="G274">
        <v>1369.9892577999999</v>
      </c>
      <c r="H274">
        <v>1360.1341553</v>
      </c>
      <c r="I274">
        <v>1278.5115966999999</v>
      </c>
      <c r="J274">
        <v>1251.270874</v>
      </c>
      <c r="K274">
        <v>1650</v>
      </c>
      <c r="L274">
        <v>0</v>
      </c>
      <c r="M274">
        <v>0</v>
      </c>
      <c r="N274">
        <v>1650</v>
      </c>
    </row>
    <row r="275" spans="1:14" x14ac:dyDescent="0.25">
      <c r="A275">
        <v>88.690689000000006</v>
      </c>
      <c r="B275" s="1">
        <f>DATE(2010,7,28) + TIME(16,34,35)</f>
        <v>40387.690682870372</v>
      </c>
      <c r="C275">
        <v>80</v>
      </c>
      <c r="D275">
        <v>79.874519348000007</v>
      </c>
      <c r="E275">
        <v>50</v>
      </c>
      <c r="F275">
        <v>14.999347687</v>
      </c>
      <c r="G275">
        <v>1369.9622803</v>
      </c>
      <c r="H275">
        <v>1360.109375</v>
      </c>
      <c r="I275">
        <v>1278.5225829999999</v>
      </c>
      <c r="J275">
        <v>1251.2805175999999</v>
      </c>
      <c r="K275">
        <v>1650</v>
      </c>
      <c r="L275">
        <v>0</v>
      </c>
      <c r="M275">
        <v>0</v>
      </c>
      <c r="N275">
        <v>1650</v>
      </c>
    </row>
    <row r="276" spans="1:14" x14ac:dyDescent="0.25">
      <c r="A276">
        <v>89.180982999999998</v>
      </c>
      <c r="B276" s="1">
        <f>DATE(2010,7,29) + TIME(4,20,36)</f>
        <v>40388.180972222224</v>
      </c>
      <c r="C276">
        <v>80</v>
      </c>
      <c r="D276">
        <v>79.874595642000003</v>
      </c>
      <c r="E276">
        <v>50</v>
      </c>
      <c r="F276">
        <v>14.999385834</v>
      </c>
      <c r="G276">
        <v>1369.9353027</v>
      </c>
      <c r="H276">
        <v>1360.0847168</v>
      </c>
      <c r="I276">
        <v>1278.5335693</v>
      </c>
      <c r="J276">
        <v>1251.2902832</v>
      </c>
      <c r="K276">
        <v>1650</v>
      </c>
      <c r="L276">
        <v>0</v>
      </c>
      <c r="M276">
        <v>0</v>
      </c>
      <c r="N276">
        <v>1650</v>
      </c>
    </row>
    <row r="277" spans="1:14" x14ac:dyDescent="0.25">
      <c r="A277">
        <v>89.671277000000003</v>
      </c>
      <c r="B277" s="1">
        <f>DATE(2010,7,29) + TIME(16,6,38)</f>
        <v>40388.671273148146</v>
      </c>
      <c r="C277">
        <v>80</v>
      </c>
      <c r="D277">
        <v>79.874664307000003</v>
      </c>
      <c r="E277">
        <v>50</v>
      </c>
      <c r="F277">
        <v>14.999426842</v>
      </c>
      <c r="G277">
        <v>1369.9084473</v>
      </c>
      <c r="H277">
        <v>1360.0601807</v>
      </c>
      <c r="I277">
        <v>1278.5445557</v>
      </c>
      <c r="J277">
        <v>1251.3000488</v>
      </c>
      <c r="K277">
        <v>1650</v>
      </c>
      <c r="L277">
        <v>0</v>
      </c>
      <c r="M277">
        <v>0</v>
      </c>
      <c r="N277">
        <v>1650</v>
      </c>
    </row>
    <row r="278" spans="1:14" x14ac:dyDescent="0.25">
      <c r="A278">
        <v>90.161569999999998</v>
      </c>
      <c r="B278" s="1">
        <f>DATE(2010,7,30) + TIME(3,52,39)</f>
        <v>40389.161562499998</v>
      </c>
      <c r="C278">
        <v>80</v>
      </c>
      <c r="D278">
        <v>79.874740600999999</v>
      </c>
      <c r="E278">
        <v>50</v>
      </c>
      <c r="F278">
        <v>14.999470711000001</v>
      </c>
      <c r="G278">
        <v>1369.8818358999999</v>
      </c>
      <c r="H278">
        <v>1360.0357666</v>
      </c>
      <c r="I278">
        <v>1278.5556641000001</v>
      </c>
      <c r="J278">
        <v>1251.3099365</v>
      </c>
      <c r="K278">
        <v>1650</v>
      </c>
      <c r="L278">
        <v>0</v>
      </c>
      <c r="M278">
        <v>0</v>
      </c>
      <c r="N278">
        <v>1650</v>
      </c>
    </row>
    <row r="279" spans="1:14" x14ac:dyDescent="0.25">
      <c r="A279">
        <v>90.651864000000003</v>
      </c>
      <c r="B279" s="1">
        <f>DATE(2010,7,30) + TIME(15,38,41)</f>
        <v>40389.651863425926</v>
      </c>
      <c r="C279">
        <v>80</v>
      </c>
      <c r="D279">
        <v>79.874816894999995</v>
      </c>
      <c r="E279">
        <v>50</v>
      </c>
      <c r="F279">
        <v>14.999517441</v>
      </c>
      <c r="G279">
        <v>1369.8552245999999</v>
      </c>
      <c r="H279">
        <v>1360.0114745999999</v>
      </c>
      <c r="I279">
        <v>1278.5668945</v>
      </c>
      <c r="J279">
        <v>1251.3199463000001</v>
      </c>
      <c r="K279">
        <v>1650</v>
      </c>
      <c r="L279">
        <v>0</v>
      </c>
      <c r="M279">
        <v>0</v>
      </c>
      <c r="N279">
        <v>1650</v>
      </c>
    </row>
    <row r="280" spans="1:14" x14ac:dyDescent="0.25">
      <c r="A280">
        <v>91.142157999999995</v>
      </c>
      <c r="B280" s="1">
        <f>DATE(2010,7,31) + TIME(3,24,42)</f>
        <v>40390.142152777778</v>
      </c>
      <c r="C280">
        <v>80</v>
      </c>
      <c r="D280">
        <v>79.874885559000006</v>
      </c>
      <c r="E280">
        <v>50</v>
      </c>
      <c r="F280">
        <v>14.999567032</v>
      </c>
      <c r="G280">
        <v>1369.8288574000001</v>
      </c>
      <c r="H280">
        <v>1359.9873047000001</v>
      </c>
      <c r="I280">
        <v>1278.578125</v>
      </c>
      <c r="J280">
        <v>1251.3298339999999</v>
      </c>
      <c r="K280">
        <v>1650</v>
      </c>
      <c r="L280">
        <v>0</v>
      </c>
      <c r="M280">
        <v>0</v>
      </c>
      <c r="N280">
        <v>1650</v>
      </c>
    </row>
    <row r="281" spans="1:14" x14ac:dyDescent="0.25">
      <c r="A281">
        <v>92</v>
      </c>
      <c r="B281" s="1">
        <f>DATE(2010,8,1) + TIME(0,0,0)</f>
        <v>40391</v>
      </c>
      <c r="C281">
        <v>80</v>
      </c>
      <c r="D281">
        <v>79.875030518000003</v>
      </c>
      <c r="E281">
        <v>50</v>
      </c>
      <c r="F281">
        <v>14.999644279</v>
      </c>
      <c r="G281">
        <v>1369.8028564000001</v>
      </c>
      <c r="H281">
        <v>1359.9636230000001</v>
      </c>
      <c r="I281">
        <v>1278.5895995999999</v>
      </c>
      <c r="J281">
        <v>1251.3400879000001</v>
      </c>
      <c r="K281">
        <v>1650</v>
      </c>
      <c r="L281">
        <v>0</v>
      </c>
      <c r="M281">
        <v>0</v>
      </c>
      <c r="N281">
        <v>1650</v>
      </c>
    </row>
    <row r="282" spans="1:14" x14ac:dyDescent="0.25">
      <c r="A282">
        <v>92.980587</v>
      </c>
      <c r="B282" s="1">
        <f>DATE(2010,8,1) + TIME(23,32,2)</f>
        <v>40391.980578703704</v>
      </c>
      <c r="C282">
        <v>80</v>
      </c>
      <c r="D282">
        <v>79.875183105000005</v>
      </c>
      <c r="E282">
        <v>50</v>
      </c>
      <c r="F282">
        <v>14.999745368999999</v>
      </c>
      <c r="G282">
        <v>1369.7574463000001</v>
      </c>
      <c r="H282">
        <v>1359.9221190999999</v>
      </c>
      <c r="I282">
        <v>1278.6094971</v>
      </c>
      <c r="J282">
        <v>1251.3577881000001</v>
      </c>
      <c r="K282">
        <v>1650</v>
      </c>
      <c r="L282">
        <v>0</v>
      </c>
      <c r="M282">
        <v>0</v>
      </c>
      <c r="N282">
        <v>1650</v>
      </c>
    </row>
    <row r="283" spans="1:14" x14ac:dyDescent="0.25">
      <c r="A283">
        <v>93.970496999999995</v>
      </c>
      <c r="B283" s="1">
        <f>DATE(2010,8,2) + TIME(23,17,30)</f>
        <v>40392.970486111109</v>
      </c>
      <c r="C283">
        <v>80</v>
      </c>
      <c r="D283">
        <v>79.875335692999997</v>
      </c>
      <c r="E283">
        <v>50</v>
      </c>
      <c r="F283">
        <v>14.9998703</v>
      </c>
      <c r="G283">
        <v>1369.7056885</v>
      </c>
      <c r="H283">
        <v>1359.8747559000001</v>
      </c>
      <c r="I283">
        <v>1278.6324463000001</v>
      </c>
      <c r="J283">
        <v>1251.3781738</v>
      </c>
      <c r="K283">
        <v>1650</v>
      </c>
      <c r="L283">
        <v>0</v>
      </c>
      <c r="M283">
        <v>0</v>
      </c>
      <c r="N283">
        <v>1650</v>
      </c>
    </row>
    <row r="284" spans="1:14" x14ac:dyDescent="0.25">
      <c r="A284">
        <v>94.970550000000003</v>
      </c>
      <c r="B284" s="1">
        <f>DATE(2010,8,3) + TIME(23,17,35)</f>
        <v>40393.970543981479</v>
      </c>
      <c r="C284">
        <v>80</v>
      </c>
      <c r="D284">
        <v>79.875488281000003</v>
      </c>
      <c r="E284">
        <v>50</v>
      </c>
      <c r="F284">
        <v>15.000020027</v>
      </c>
      <c r="G284">
        <v>1369.6538086</v>
      </c>
      <c r="H284">
        <v>1359.8272704999999</v>
      </c>
      <c r="I284">
        <v>1278.6560059000001</v>
      </c>
      <c r="J284">
        <v>1251.3989257999999</v>
      </c>
      <c r="K284">
        <v>1650</v>
      </c>
      <c r="L284">
        <v>0</v>
      </c>
      <c r="M284">
        <v>0</v>
      </c>
      <c r="N284">
        <v>1650</v>
      </c>
    </row>
    <row r="285" spans="1:14" x14ac:dyDescent="0.25">
      <c r="A285">
        <v>95.982363000000007</v>
      </c>
      <c r="B285" s="1">
        <f>DATE(2010,8,4) + TIME(23,34,36)</f>
        <v>40394.982361111113</v>
      </c>
      <c r="C285">
        <v>80</v>
      </c>
      <c r="D285">
        <v>79.875648498999993</v>
      </c>
      <c r="E285">
        <v>50</v>
      </c>
      <c r="F285">
        <v>15.000195503</v>
      </c>
      <c r="G285">
        <v>1369.6019286999999</v>
      </c>
      <c r="H285">
        <v>1359.7797852000001</v>
      </c>
      <c r="I285">
        <v>1278.6800536999999</v>
      </c>
      <c r="J285">
        <v>1251.4201660000001</v>
      </c>
      <c r="K285">
        <v>1650</v>
      </c>
      <c r="L285">
        <v>0</v>
      </c>
      <c r="M285">
        <v>0</v>
      </c>
      <c r="N285">
        <v>1650</v>
      </c>
    </row>
    <row r="286" spans="1:14" x14ac:dyDescent="0.25">
      <c r="A286">
        <v>97.007603000000003</v>
      </c>
      <c r="B286" s="1">
        <f>DATE(2010,8,6) + TIME(0,10,56)</f>
        <v>40396.007592592592</v>
      </c>
      <c r="C286">
        <v>80</v>
      </c>
      <c r="D286">
        <v>79.875801085999996</v>
      </c>
      <c r="E286">
        <v>50</v>
      </c>
      <c r="F286">
        <v>15.000402450999999</v>
      </c>
      <c r="G286">
        <v>1369.5498047000001</v>
      </c>
      <c r="H286">
        <v>1359.7321777</v>
      </c>
      <c r="I286">
        <v>1278.7047118999999</v>
      </c>
      <c r="J286">
        <v>1251.4420166</v>
      </c>
      <c r="K286">
        <v>1650</v>
      </c>
      <c r="L286">
        <v>0</v>
      </c>
      <c r="M286">
        <v>0</v>
      </c>
      <c r="N286">
        <v>1650</v>
      </c>
    </row>
    <row r="287" spans="1:14" x14ac:dyDescent="0.25">
      <c r="A287">
        <v>98.048130999999998</v>
      </c>
      <c r="B287" s="1">
        <f>DATE(2010,8,7) + TIME(1,9,18)</f>
        <v>40397.048125000001</v>
      </c>
      <c r="C287">
        <v>80</v>
      </c>
      <c r="D287">
        <v>79.875953674000002</v>
      </c>
      <c r="E287">
        <v>50</v>
      </c>
      <c r="F287">
        <v>15.000645638</v>
      </c>
      <c r="G287">
        <v>1369.4975586</v>
      </c>
      <c r="H287">
        <v>1359.6843262</v>
      </c>
      <c r="I287">
        <v>1278.7301024999999</v>
      </c>
      <c r="J287">
        <v>1251.4643555</v>
      </c>
      <c r="K287">
        <v>1650</v>
      </c>
      <c r="L287">
        <v>0</v>
      </c>
      <c r="M287">
        <v>0</v>
      </c>
      <c r="N287">
        <v>1650</v>
      </c>
    </row>
    <row r="288" spans="1:14" x14ac:dyDescent="0.25">
      <c r="A288">
        <v>98.571652999999998</v>
      </c>
      <c r="B288" s="1">
        <f>DATE(2010,8,7) + TIME(13,43,10)</f>
        <v>40397.571643518517</v>
      </c>
      <c r="C288">
        <v>80</v>
      </c>
      <c r="D288">
        <v>79.876022339000002</v>
      </c>
      <c r="E288">
        <v>50</v>
      </c>
      <c r="F288">
        <v>15.000828743</v>
      </c>
      <c r="G288">
        <v>1369.4445800999999</v>
      </c>
      <c r="H288">
        <v>1359.6358643000001</v>
      </c>
      <c r="I288">
        <v>1278.7558594</v>
      </c>
      <c r="J288">
        <v>1251.4869385</v>
      </c>
      <c r="K288">
        <v>1650</v>
      </c>
      <c r="L288">
        <v>0</v>
      </c>
      <c r="M288">
        <v>0</v>
      </c>
      <c r="N288">
        <v>1650</v>
      </c>
    </row>
    <row r="289" spans="1:14" x14ac:dyDescent="0.25">
      <c r="A289">
        <v>99.095174999999998</v>
      </c>
      <c r="B289" s="1">
        <f>DATE(2010,8,8) + TIME(2,17,3)</f>
        <v>40398.095173611109</v>
      </c>
      <c r="C289">
        <v>80</v>
      </c>
      <c r="D289">
        <v>79.876098632999998</v>
      </c>
      <c r="E289">
        <v>50</v>
      </c>
      <c r="F289">
        <v>15.001015663</v>
      </c>
      <c r="G289">
        <v>1369.4178466999999</v>
      </c>
      <c r="H289">
        <v>1359.6113281</v>
      </c>
      <c r="I289">
        <v>1278.7692870999999</v>
      </c>
      <c r="J289">
        <v>1251.4989014</v>
      </c>
      <c r="K289">
        <v>1650</v>
      </c>
      <c r="L289">
        <v>0</v>
      </c>
      <c r="M289">
        <v>0</v>
      </c>
      <c r="N289">
        <v>1650</v>
      </c>
    </row>
    <row r="290" spans="1:14" x14ac:dyDescent="0.25">
      <c r="A290">
        <v>99.618696999999997</v>
      </c>
      <c r="B290" s="1">
        <f>DATE(2010,8,8) + TIME(14,50,55)</f>
        <v>40398.618692129632</v>
      </c>
      <c r="C290">
        <v>80</v>
      </c>
      <c r="D290">
        <v>79.876174926999994</v>
      </c>
      <c r="E290">
        <v>50</v>
      </c>
      <c r="F290">
        <v>15.001207352</v>
      </c>
      <c r="G290">
        <v>1369.3916016000001</v>
      </c>
      <c r="H290">
        <v>1359.5874022999999</v>
      </c>
      <c r="I290">
        <v>1278.7827147999999</v>
      </c>
      <c r="J290">
        <v>1251.5107422000001</v>
      </c>
      <c r="K290">
        <v>1650</v>
      </c>
      <c r="L290">
        <v>0</v>
      </c>
      <c r="M290">
        <v>0</v>
      </c>
      <c r="N290">
        <v>1650</v>
      </c>
    </row>
    <row r="291" spans="1:14" x14ac:dyDescent="0.25">
      <c r="A291">
        <v>100.142219</v>
      </c>
      <c r="B291" s="1">
        <f>DATE(2010,8,9) + TIME(3,24,47)</f>
        <v>40399.142210648148</v>
      </c>
      <c r="C291">
        <v>80</v>
      </c>
      <c r="D291">
        <v>79.876251221000004</v>
      </c>
      <c r="E291">
        <v>50</v>
      </c>
      <c r="F291">
        <v>15.001408576999999</v>
      </c>
      <c r="G291">
        <v>1369.3654785000001</v>
      </c>
      <c r="H291">
        <v>1359.5634766000001</v>
      </c>
      <c r="I291">
        <v>1278.7962646000001</v>
      </c>
      <c r="J291">
        <v>1251.5225829999999</v>
      </c>
      <c r="K291">
        <v>1650</v>
      </c>
      <c r="L291">
        <v>0</v>
      </c>
      <c r="M291">
        <v>0</v>
      </c>
      <c r="N291">
        <v>1650</v>
      </c>
    </row>
    <row r="292" spans="1:14" x14ac:dyDescent="0.25">
      <c r="A292">
        <v>100.665741</v>
      </c>
      <c r="B292" s="1">
        <f>DATE(2010,8,9) + TIME(15,58,40)</f>
        <v>40399.66574074074</v>
      </c>
      <c r="C292">
        <v>80</v>
      </c>
      <c r="D292">
        <v>79.876327515</v>
      </c>
      <c r="E292">
        <v>50</v>
      </c>
      <c r="F292">
        <v>15.0016222</v>
      </c>
      <c r="G292">
        <v>1369.3394774999999</v>
      </c>
      <c r="H292">
        <v>1359.5395507999999</v>
      </c>
      <c r="I292">
        <v>1278.8099365</v>
      </c>
      <c r="J292">
        <v>1251.534668</v>
      </c>
      <c r="K292">
        <v>1650</v>
      </c>
      <c r="L292">
        <v>0</v>
      </c>
      <c r="M292">
        <v>0</v>
      </c>
      <c r="N292">
        <v>1650</v>
      </c>
    </row>
    <row r="293" spans="1:14" x14ac:dyDescent="0.25">
      <c r="A293">
        <v>101.189263</v>
      </c>
      <c r="B293" s="1">
        <f>DATE(2010,8,10) + TIME(4,32,32)</f>
        <v>40400.189259259256</v>
      </c>
      <c r="C293">
        <v>80</v>
      </c>
      <c r="D293">
        <v>79.876403808999996</v>
      </c>
      <c r="E293">
        <v>50</v>
      </c>
      <c r="F293">
        <v>15.001848220999999</v>
      </c>
      <c r="G293">
        <v>1369.3135986</v>
      </c>
      <c r="H293">
        <v>1359.5158690999999</v>
      </c>
      <c r="I293">
        <v>1278.8237305</v>
      </c>
      <c r="J293">
        <v>1251.5467529</v>
      </c>
      <c r="K293">
        <v>1650</v>
      </c>
      <c r="L293">
        <v>0</v>
      </c>
      <c r="M293">
        <v>0</v>
      </c>
      <c r="N293">
        <v>1650</v>
      </c>
    </row>
    <row r="294" spans="1:14" x14ac:dyDescent="0.25">
      <c r="A294">
        <v>101.712785</v>
      </c>
      <c r="B294" s="1">
        <f>DATE(2010,8,10) + TIME(17,6,24)</f>
        <v>40400.712777777779</v>
      </c>
      <c r="C294">
        <v>80</v>
      </c>
      <c r="D294">
        <v>79.876480103000006</v>
      </c>
      <c r="E294">
        <v>50</v>
      </c>
      <c r="F294">
        <v>15.0020895</v>
      </c>
      <c r="G294">
        <v>1369.2878418</v>
      </c>
      <c r="H294">
        <v>1359.4923096</v>
      </c>
      <c r="I294">
        <v>1278.8375243999999</v>
      </c>
      <c r="J294">
        <v>1251.5589600000001</v>
      </c>
      <c r="K294">
        <v>1650</v>
      </c>
      <c r="L294">
        <v>0</v>
      </c>
      <c r="M294">
        <v>0</v>
      </c>
      <c r="N294">
        <v>1650</v>
      </c>
    </row>
    <row r="295" spans="1:14" x14ac:dyDescent="0.25">
      <c r="A295">
        <v>102.236307</v>
      </c>
      <c r="B295" s="1">
        <f>DATE(2010,8,11) + TIME(5,40,16)</f>
        <v>40401.236296296294</v>
      </c>
      <c r="C295">
        <v>80</v>
      </c>
      <c r="D295">
        <v>79.876564025999997</v>
      </c>
      <c r="E295">
        <v>50</v>
      </c>
      <c r="F295">
        <v>15.002348899999999</v>
      </c>
      <c r="G295">
        <v>1369.2620850000001</v>
      </c>
      <c r="H295">
        <v>1359.46875</v>
      </c>
      <c r="I295">
        <v>1278.8515625</v>
      </c>
      <c r="J295">
        <v>1251.5712891000001</v>
      </c>
      <c r="K295">
        <v>1650</v>
      </c>
      <c r="L295">
        <v>0</v>
      </c>
      <c r="M295">
        <v>0</v>
      </c>
      <c r="N295">
        <v>1650</v>
      </c>
    </row>
    <row r="296" spans="1:14" x14ac:dyDescent="0.25">
      <c r="A296">
        <v>102.759828</v>
      </c>
      <c r="B296" s="1">
        <f>DATE(2010,8,11) + TIME(18,14,9)</f>
        <v>40401.759826388887</v>
      </c>
      <c r="C296">
        <v>80</v>
      </c>
      <c r="D296">
        <v>79.876640320000007</v>
      </c>
      <c r="E296">
        <v>50</v>
      </c>
      <c r="F296">
        <v>15.002625464999999</v>
      </c>
      <c r="G296">
        <v>1369.2365723</v>
      </c>
      <c r="H296">
        <v>1359.4453125</v>
      </c>
      <c r="I296">
        <v>1278.8656006000001</v>
      </c>
      <c r="J296">
        <v>1251.5836182</v>
      </c>
      <c r="K296">
        <v>1650</v>
      </c>
      <c r="L296">
        <v>0</v>
      </c>
      <c r="M296">
        <v>0</v>
      </c>
      <c r="N296">
        <v>1650</v>
      </c>
    </row>
    <row r="297" spans="1:14" x14ac:dyDescent="0.25">
      <c r="A297">
        <v>103.28335</v>
      </c>
      <c r="B297" s="1">
        <f>DATE(2010,8,12) + TIME(6,48,1)</f>
        <v>40402.28334490741</v>
      </c>
      <c r="C297">
        <v>80</v>
      </c>
      <c r="D297">
        <v>79.876716614000003</v>
      </c>
      <c r="E297">
        <v>50</v>
      </c>
      <c r="F297">
        <v>15.002923012</v>
      </c>
      <c r="G297">
        <v>1369.2110596</v>
      </c>
      <c r="H297">
        <v>1359.4219971</v>
      </c>
      <c r="I297">
        <v>1278.8798827999999</v>
      </c>
      <c r="J297">
        <v>1251.5960693</v>
      </c>
      <c r="K297">
        <v>1650</v>
      </c>
      <c r="L297">
        <v>0</v>
      </c>
      <c r="M297">
        <v>0</v>
      </c>
      <c r="N297">
        <v>1650</v>
      </c>
    </row>
    <row r="298" spans="1:14" x14ac:dyDescent="0.25">
      <c r="A298">
        <v>103.806872</v>
      </c>
      <c r="B298" s="1">
        <f>DATE(2010,8,12) + TIME(19,21,53)</f>
        <v>40402.806863425925</v>
      </c>
      <c r="C298">
        <v>80</v>
      </c>
      <c r="D298">
        <v>79.876792907999999</v>
      </c>
      <c r="E298">
        <v>50</v>
      </c>
      <c r="F298">
        <v>15.003241538999999</v>
      </c>
      <c r="G298">
        <v>1369.1856689000001</v>
      </c>
      <c r="H298">
        <v>1359.3986815999999</v>
      </c>
      <c r="I298">
        <v>1278.8941649999999</v>
      </c>
      <c r="J298">
        <v>1251.6086425999999</v>
      </c>
      <c r="K298">
        <v>1650</v>
      </c>
      <c r="L298">
        <v>0</v>
      </c>
      <c r="M298">
        <v>0</v>
      </c>
      <c r="N298">
        <v>1650</v>
      </c>
    </row>
    <row r="299" spans="1:14" x14ac:dyDescent="0.25">
      <c r="A299">
        <v>104.330394</v>
      </c>
      <c r="B299" s="1">
        <f>DATE(2010,8,13) + TIME(7,55,46)</f>
        <v>40403.330393518518</v>
      </c>
      <c r="C299">
        <v>80</v>
      </c>
      <c r="D299">
        <v>79.876876831000004</v>
      </c>
      <c r="E299">
        <v>50</v>
      </c>
      <c r="F299">
        <v>15.003582954000001</v>
      </c>
      <c r="G299">
        <v>1369.1604004000001</v>
      </c>
      <c r="H299">
        <v>1359.3756103999999</v>
      </c>
      <c r="I299">
        <v>1278.9085693</v>
      </c>
      <c r="J299">
        <v>1251.6213379000001</v>
      </c>
      <c r="K299">
        <v>1650</v>
      </c>
      <c r="L299">
        <v>0</v>
      </c>
      <c r="M299">
        <v>0</v>
      </c>
      <c r="N299">
        <v>1650</v>
      </c>
    </row>
    <row r="300" spans="1:14" x14ac:dyDescent="0.25">
      <c r="A300">
        <v>104.853916</v>
      </c>
      <c r="B300" s="1">
        <f>DATE(2010,8,13) + TIME(20,29,38)</f>
        <v>40403.853912037041</v>
      </c>
      <c r="C300">
        <v>80</v>
      </c>
      <c r="D300">
        <v>79.876953125</v>
      </c>
      <c r="E300">
        <v>50</v>
      </c>
      <c r="F300">
        <v>15.003950119000001</v>
      </c>
      <c r="G300">
        <v>1369.1352539</v>
      </c>
      <c r="H300">
        <v>1359.3525391000001</v>
      </c>
      <c r="I300">
        <v>1278.9230957</v>
      </c>
      <c r="J300">
        <v>1251.6341553</v>
      </c>
      <c r="K300">
        <v>1650</v>
      </c>
      <c r="L300">
        <v>0</v>
      </c>
      <c r="M300">
        <v>0</v>
      </c>
      <c r="N300">
        <v>1650</v>
      </c>
    </row>
    <row r="301" spans="1:14" x14ac:dyDescent="0.25">
      <c r="A301">
        <v>105.377438</v>
      </c>
      <c r="B301" s="1">
        <f>DATE(2010,8,14) + TIME(9,3,30)</f>
        <v>40404.377430555556</v>
      </c>
      <c r="C301">
        <v>80</v>
      </c>
      <c r="D301">
        <v>79.877029418999996</v>
      </c>
      <c r="E301">
        <v>50</v>
      </c>
      <c r="F301">
        <v>15.004343987</v>
      </c>
      <c r="G301">
        <v>1369.1102295000001</v>
      </c>
      <c r="H301">
        <v>1359.3294678</v>
      </c>
      <c r="I301">
        <v>1278.9378661999999</v>
      </c>
      <c r="J301">
        <v>1251.6469727000001</v>
      </c>
      <c r="K301">
        <v>1650</v>
      </c>
      <c r="L301">
        <v>0</v>
      </c>
      <c r="M301">
        <v>0</v>
      </c>
      <c r="N301">
        <v>1650</v>
      </c>
    </row>
    <row r="302" spans="1:14" x14ac:dyDescent="0.25">
      <c r="A302">
        <v>105.90096</v>
      </c>
      <c r="B302" s="1">
        <f>DATE(2010,8,14) + TIME(21,37,22)</f>
        <v>40404.900949074072</v>
      </c>
      <c r="C302">
        <v>80</v>
      </c>
      <c r="D302">
        <v>79.877113342000001</v>
      </c>
      <c r="E302">
        <v>50</v>
      </c>
      <c r="F302">
        <v>15.004766463999999</v>
      </c>
      <c r="G302">
        <v>1369.0852050999999</v>
      </c>
      <c r="H302">
        <v>1359.3066406</v>
      </c>
      <c r="I302">
        <v>1278.9526367000001</v>
      </c>
      <c r="J302">
        <v>1251.6600341999999</v>
      </c>
      <c r="K302">
        <v>1650</v>
      </c>
      <c r="L302">
        <v>0</v>
      </c>
      <c r="M302">
        <v>0</v>
      </c>
      <c r="N302">
        <v>1650</v>
      </c>
    </row>
    <row r="303" spans="1:14" x14ac:dyDescent="0.25">
      <c r="A303">
        <v>106.948004</v>
      </c>
      <c r="B303" s="1">
        <f>DATE(2010,8,15) + TIME(22,45,7)</f>
        <v>40405.947997685187</v>
      </c>
      <c r="C303">
        <v>80</v>
      </c>
      <c r="D303">
        <v>79.877281189000001</v>
      </c>
      <c r="E303">
        <v>50</v>
      </c>
      <c r="F303">
        <v>15.005466460999999</v>
      </c>
      <c r="G303">
        <v>1369.0607910000001</v>
      </c>
      <c r="H303">
        <v>1359.2843018000001</v>
      </c>
      <c r="I303">
        <v>1278.9677733999999</v>
      </c>
      <c r="J303">
        <v>1251.6734618999999</v>
      </c>
      <c r="K303">
        <v>1650</v>
      </c>
      <c r="L303">
        <v>0</v>
      </c>
      <c r="M303">
        <v>0</v>
      </c>
      <c r="N303">
        <v>1650</v>
      </c>
    </row>
    <row r="304" spans="1:14" x14ac:dyDescent="0.25">
      <c r="A304">
        <v>107.995355</v>
      </c>
      <c r="B304" s="1">
        <f>DATE(2010,8,16) + TIME(23,53,18)</f>
        <v>40406.995347222219</v>
      </c>
      <c r="C304">
        <v>80</v>
      </c>
      <c r="D304">
        <v>79.877449036000002</v>
      </c>
      <c r="E304">
        <v>50</v>
      </c>
      <c r="F304">
        <v>15.006360054</v>
      </c>
      <c r="G304">
        <v>1369.0114745999999</v>
      </c>
      <c r="H304">
        <v>1359.2392577999999</v>
      </c>
      <c r="I304">
        <v>1278.9978027</v>
      </c>
      <c r="J304">
        <v>1251.6998291</v>
      </c>
      <c r="K304">
        <v>1650</v>
      </c>
      <c r="L304">
        <v>0</v>
      </c>
      <c r="M304">
        <v>0</v>
      </c>
      <c r="N304">
        <v>1650</v>
      </c>
    </row>
    <row r="305" spans="1:14" x14ac:dyDescent="0.25">
      <c r="A305">
        <v>109.05579899999999</v>
      </c>
      <c r="B305" s="1">
        <f>DATE(2010,8,18) + TIME(1,20,21)</f>
        <v>40408.055798611109</v>
      </c>
      <c r="C305">
        <v>80</v>
      </c>
      <c r="D305">
        <v>79.877609253000003</v>
      </c>
      <c r="E305">
        <v>50</v>
      </c>
      <c r="F305">
        <v>15.007437705999999</v>
      </c>
      <c r="G305">
        <v>1368.9624022999999</v>
      </c>
      <c r="H305">
        <v>1359.1942139</v>
      </c>
      <c r="I305">
        <v>1279.0284423999999</v>
      </c>
      <c r="J305">
        <v>1251.7266846</v>
      </c>
      <c r="K305">
        <v>1650</v>
      </c>
      <c r="L305">
        <v>0</v>
      </c>
      <c r="M305">
        <v>0</v>
      </c>
      <c r="N305">
        <v>1650</v>
      </c>
    </row>
    <row r="306" spans="1:14" x14ac:dyDescent="0.25">
      <c r="A306">
        <v>110.131021</v>
      </c>
      <c r="B306" s="1">
        <f>DATE(2010,8,19) + TIME(3,8,40)</f>
        <v>40409.131018518521</v>
      </c>
      <c r="C306">
        <v>80</v>
      </c>
      <c r="D306">
        <v>79.877769470000004</v>
      </c>
      <c r="E306">
        <v>50</v>
      </c>
      <c r="F306">
        <v>15.008708953999999</v>
      </c>
      <c r="G306">
        <v>1368.9130858999999</v>
      </c>
      <c r="H306">
        <v>1359.1490478999999</v>
      </c>
      <c r="I306">
        <v>1279.0599365</v>
      </c>
      <c r="J306">
        <v>1251.7543945</v>
      </c>
      <c r="K306">
        <v>1650</v>
      </c>
      <c r="L306">
        <v>0</v>
      </c>
      <c r="M306">
        <v>0</v>
      </c>
      <c r="N306">
        <v>1650</v>
      </c>
    </row>
    <row r="307" spans="1:14" x14ac:dyDescent="0.25">
      <c r="A307">
        <v>111.22318</v>
      </c>
      <c r="B307" s="1">
        <f>DATE(2010,8,20) + TIME(5,21,22)</f>
        <v>40410.223171296297</v>
      </c>
      <c r="C307">
        <v>80</v>
      </c>
      <c r="D307">
        <v>79.877937317000004</v>
      </c>
      <c r="E307">
        <v>50</v>
      </c>
      <c r="F307">
        <v>15.010194778000001</v>
      </c>
      <c r="G307">
        <v>1368.8635254000001</v>
      </c>
      <c r="H307">
        <v>1359.1036377</v>
      </c>
      <c r="I307">
        <v>1279.0925293</v>
      </c>
      <c r="J307">
        <v>1251.7829589999999</v>
      </c>
      <c r="K307">
        <v>1650</v>
      </c>
      <c r="L307">
        <v>0</v>
      </c>
      <c r="M307">
        <v>0</v>
      </c>
      <c r="N307">
        <v>1650</v>
      </c>
    </row>
    <row r="308" spans="1:14" x14ac:dyDescent="0.25">
      <c r="A308">
        <v>111.769485</v>
      </c>
      <c r="B308" s="1">
        <f>DATE(2010,8,20) + TIME(18,28,3)</f>
        <v>40410.769479166665</v>
      </c>
      <c r="C308">
        <v>80</v>
      </c>
      <c r="D308">
        <v>79.878005981000001</v>
      </c>
      <c r="E308">
        <v>50</v>
      </c>
      <c r="F308">
        <v>15.011311531</v>
      </c>
      <c r="G308">
        <v>1368.8131103999999</v>
      </c>
      <c r="H308">
        <v>1359.0574951000001</v>
      </c>
      <c r="I308">
        <v>1279.1262207</v>
      </c>
      <c r="J308">
        <v>1251.8121338000001</v>
      </c>
      <c r="K308">
        <v>1650</v>
      </c>
      <c r="L308">
        <v>0</v>
      </c>
      <c r="M308">
        <v>0</v>
      </c>
      <c r="N308">
        <v>1650</v>
      </c>
    </row>
    <row r="309" spans="1:14" x14ac:dyDescent="0.25">
      <c r="A309">
        <v>112.31579000000001</v>
      </c>
      <c r="B309" s="1">
        <f>DATE(2010,8,21) + TIME(7,34,44)</f>
        <v>40411.315787037034</v>
      </c>
      <c r="C309">
        <v>80</v>
      </c>
      <c r="D309">
        <v>79.878082274999997</v>
      </c>
      <c r="E309">
        <v>50</v>
      </c>
      <c r="F309">
        <v>15.012431145000001</v>
      </c>
      <c r="G309">
        <v>1368.7878418</v>
      </c>
      <c r="H309">
        <v>1359.0341797000001</v>
      </c>
      <c r="I309">
        <v>1279.1435547000001</v>
      </c>
      <c r="J309">
        <v>1251.8273925999999</v>
      </c>
      <c r="K309">
        <v>1650</v>
      </c>
      <c r="L309">
        <v>0</v>
      </c>
      <c r="M309">
        <v>0</v>
      </c>
      <c r="N309">
        <v>1650</v>
      </c>
    </row>
    <row r="310" spans="1:14" x14ac:dyDescent="0.25">
      <c r="A310">
        <v>112.862095</v>
      </c>
      <c r="B310" s="1">
        <f>DATE(2010,8,21) + TIME(20,41,24)</f>
        <v>40411.862083333333</v>
      </c>
      <c r="C310">
        <v>80</v>
      </c>
      <c r="D310">
        <v>79.878158568999993</v>
      </c>
      <c r="E310">
        <v>50</v>
      </c>
      <c r="F310">
        <v>15.013577461000001</v>
      </c>
      <c r="G310">
        <v>1368.7629394999999</v>
      </c>
      <c r="H310">
        <v>1359.0113524999999</v>
      </c>
      <c r="I310">
        <v>1279.1608887</v>
      </c>
      <c r="J310">
        <v>1251.8427733999999</v>
      </c>
      <c r="K310">
        <v>1650</v>
      </c>
      <c r="L310">
        <v>0</v>
      </c>
      <c r="M310">
        <v>0</v>
      </c>
      <c r="N310">
        <v>1650</v>
      </c>
    </row>
    <row r="311" spans="1:14" x14ac:dyDescent="0.25">
      <c r="A311">
        <v>113.408399</v>
      </c>
      <c r="B311" s="1">
        <f>DATE(2010,8,22) + TIME(9,48,5)</f>
        <v>40412.408391203702</v>
      </c>
      <c r="C311">
        <v>80</v>
      </c>
      <c r="D311">
        <v>79.878242493000002</v>
      </c>
      <c r="E311">
        <v>50</v>
      </c>
      <c r="F311">
        <v>15.014767646999999</v>
      </c>
      <c r="G311">
        <v>1368.7381591999999</v>
      </c>
      <c r="H311">
        <v>1358.9886475000001</v>
      </c>
      <c r="I311">
        <v>1279.1784668</v>
      </c>
      <c r="J311">
        <v>1251.8582764</v>
      </c>
      <c r="K311">
        <v>1650</v>
      </c>
      <c r="L311">
        <v>0</v>
      </c>
      <c r="M311">
        <v>0</v>
      </c>
      <c r="N311">
        <v>1650</v>
      </c>
    </row>
    <row r="312" spans="1:14" x14ac:dyDescent="0.25">
      <c r="A312">
        <v>113.95470400000001</v>
      </c>
      <c r="B312" s="1">
        <f>DATE(2010,8,22) + TIME(22,54,46)</f>
        <v>40412.954699074071</v>
      </c>
      <c r="C312">
        <v>80</v>
      </c>
      <c r="D312">
        <v>79.878318786999998</v>
      </c>
      <c r="E312">
        <v>50</v>
      </c>
      <c r="F312">
        <v>15.016014099</v>
      </c>
      <c r="G312">
        <v>1368.713501</v>
      </c>
      <c r="H312">
        <v>1358.9659423999999</v>
      </c>
      <c r="I312">
        <v>1279.1962891000001</v>
      </c>
      <c r="J312">
        <v>1251.8739014</v>
      </c>
      <c r="K312">
        <v>1650</v>
      </c>
      <c r="L312">
        <v>0</v>
      </c>
      <c r="M312">
        <v>0</v>
      </c>
      <c r="N312">
        <v>1650</v>
      </c>
    </row>
    <row r="313" spans="1:14" x14ac:dyDescent="0.25">
      <c r="A313">
        <v>114.501009</v>
      </c>
      <c r="B313" s="1">
        <f>DATE(2010,8,23) + TIME(12,1,27)</f>
        <v>40413.501006944447</v>
      </c>
      <c r="C313">
        <v>80</v>
      </c>
      <c r="D313">
        <v>79.878402710000003</v>
      </c>
      <c r="E313">
        <v>50</v>
      </c>
      <c r="F313">
        <v>15.017328261999999</v>
      </c>
      <c r="G313">
        <v>1368.6889647999999</v>
      </c>
      <c r="H313">
        <v>1358.9433594</v>
      </c>
      <c r="I313">
        <v>1279.2142334</v>
      </c>
      <c r="J313">
        <v>1251.8897704999999</v>
      </c>
      <c r="K313">
        <v>1650</v>
      </c>
      <c r="L313">
        <v>0</v>
      </c>
      <c r="M313">
        <v>0</v>
      </c>
      <c r="N313">
        <v>1650</v>
      </c>
    </row>
    <row r="314" spans="1:14" x14ac:dyDescent="0.25">
      <c r="A314">
        <v>115.047314</v>
      </c>
      <c r="B314" s="1">
        <f>DATE(2010,8,24) + TIME(1,8,7)</f>
        <v>40414.047303240739</v>
      </c>
      <c r="C314">
        <v>80</v>
      </c>
      <c r="D314">
        <v>79.878479003999999</v>
      </c>
      <c r="E314">
        <v>50</v>
      </c>
      <c r="F314">
        <v>15.018719673</v>
      </c>
      <c r="G314">
        <v>1368.6644286999999</v>
      </c>
      <c r="H314">
        <v>1358.9208983999999</v>
      </c>
      <c r="I314">
        <v>1279.2322998</v>
      </c>
      <c r="J314">
        <v>1251.9057617000001</v>
      </c>
      <c r="K314">
        <v>1650</v>
      </c>
      <c r="L314">
        <v>0</v>
      </c>
      <c r="M314">
        <v>0</v>
      </c>
      <c r="N314">
        <v>1650</v>
      </c>
    </row>
    <row r="315" spans="1:14" x14ac:dyDescent="0.25">
      <c r="A315">
        <v>115.59361800000001</v>
      </c>
      <c r="B315" s="1">
        <f>DATE(2010,8,24) + TIME(14,14,48)</f>
        <v>40414.593611111108</v>
      </c>
      <c r="C315">
        <v>80</v>
      </c>
      <c r="D315">
        <v>79.878562927000004</v>
      </c>
      <c r="E315">
        <v>50</v>
      </c>
      <c r="F315">
        <v>15.020195961000001</v>
      </c>
      <c r="G315">
        <v>1368.6400146000001</v>
      </c>
      <c r="H315">
        <v>1358.8984375</v>
      </c>
      <c r="I315">
        <v>1279.2507324000001</v>
      </c>
      <c r="J315">
        <v>1251.921875</v>
      </c>
      <c r="K315">
        <v>1650</v>
      </c>
      <c r="L315">
        <v>0</v>
      </c>
      <c r="M315">
        <v>0</v>
      </c>
      <c r="N315">
        <v>1650</v>
      </c>
    </row>
    <row r="316" spans="1:14" x14ac:dyDescent="0.25">
      <c r="A316">
        <v>116.139923</v>
      </c>
      <c r="B316" s="1">
        <f>DATE(2010,8,25) + TIME(3,21,29)</f>
        <v>40415.139918981484</v>
      </c>
      <c r="C316">
        <v>80</v>
      </c>
      <c r="D316">
        <v>79.878639221</v>
      </c>
      <c r="E316">
        <v>50</v>
      </c>
      <c r="F316">
        <v>15.021765709</v>
      </c>
      <c r="G316">
        <v>1368.6157227000001</v>
      </c>
      <c r="H316">
        <v>1358.8760986</v>
      </c>
      <c r="I316">
        <v>1279.2691649999999</v>
      </c>
      <c r="J316">
        <v>1251.9382324000001</v>
      </c>
      <c r="K316">
        <v>1650</v>
      </c>
      <c r="L316">
        <v>0</v>
      </c>
      <c r="M316">
        <v>0</v>
      </c>
      <c r="N316">
        <v>1650</v>
      </c>
    </row>
    <row r="317" spans="1:14" x14ac:dyDescent="0.25">
      <c r="A317">
        <v>116.686228</v>
      </c>
      <c r="B317" s="1">
        <f>DATE(2010,8,25) + TIME(16,28,10)</f>
        <v>40415.686226851853</v>
      </c>
      <c r="C317">
        <v>80</v>
      </c>
      <c r="D317">
        <v>79.878723144999995</v>
      </c>
      <c r="E317">
        <v>50</v>
      </c>
      <c r="F317">
        <v>15.023434639</v>
      </c>
      <c r="G317">
        <v>1368.5914307</v>
      </c>
      <c r="H317">
        <v>1358.8538818</v>
      </c>
      <c r="I317">
        <v>1279.2879639</v>
      </c>
      <c r="J317">
        <v>1251.9548339999999</v>
      </c>
      <c r="K317">
        <v>1650</v>
      </c>
      <c r="L317">
        <v>0</v>
      </c>
      <c r="M317">
        <v>0</v>
      </c>
      <c r="N317">
        <v>1650</v>
      </c>
    </row>
    <row r="318" spans="1:14" x14ac:dyDescent="0.25">
      <c r="A318">
        <v>117.232533</v>
      </c>
      <c r="B318" s="1">
        <f>DATE(2010,8,26) + TIME(5,34,50)</f>
        <v>40416.232523148145</v>
      </c>
      <c r="C318">
        <v>80</v>
      </c>
      <c r="D318">
        <v>79.878807068</v>
      </c>
      <c r="E318">
        <v>50</v>
      </c>
      <c r="F318">
        <v>15.025212288000001</v>
      </c>
      <c r="G318">
        <v>1368.5672606999999</v>
      </c>
      <c r="H318">
        <v>1358.8316649999999</v>
      </c>
      <c r="I318">
        <v>1279.3068848</v>
      </c>
      <c r="J318">
        <v>1251.9715576000001</v>
      </c>
      <c r="K318">
        <v>1650</v>
      </c>
      <c r="L318">
        <v>0</v>
      </c>
      <c r="M318">
        <v>0</v>
      </c>
      <c r="N318">
        <v>1650</v>
      </c>
    </row>
    <row r="319" spans="1:14" x14ac:dyDescent="0.25">
      <c r="A319">
        <v>117.77883799999999</v>
      </c>
      <c r="B319" s="1">
        <f>DATE(2010,8,26) + TIME(18,41,31)</f>
        <v>40416.778831018521</v>
      </c>
      <c r="C319">
        <v>80</v>
      </c>
      <c r="D319">
        <v>79.878883361999996</v>
      </c>
      <c r="E319">
        <v>50</v>
      </c>
      <c r="F319">
        <v>15.027102470000001</v>
      </c>
      <c r="G319">
        <v>1368.5430908000001</v>
      </c>
      <c r="H319">
        <v>1358.8094481999999</v>
      </c>
      <c r="I319">
        <v>1279.3260498</v>
      </c>
      <c r="J319">
        <v>1251.9886475000001</v>
      </c>
      <c r="K319">
        <v>1650</v>
      </c>
      <c r="L319">
        <v>0</v>
      </c>
      <c r="M319">
        <v>0</v>
      </c>
      <c r="N319">
        <v>1650</v>
      </c>
    </row>
    <row r="320" spans="1:14" x14ac:dyDescent="0.25">
      <c r="A320">
        <v>118.325142</v>
      </c>
      <c r="B320" s="1">
        <f>DATE(2010,8,27) + TIME(7,48,12)</f>
        <v>40417.325138888889</v>
      </c>
      <c r="C320">
        <v>80</v>
      </c>
      <c r="D320">
        <v>79.878967285000002</v>
      </c>
      <c r="E320">
        <v>50</v>
      </c>
      <c r="F320">
        <v>15.029115677</v>
      </c>
      <c r="G320">
        <v>1368.519043</v>
      </c>
      <c r="H320">
        <v>1358.7873535000001</v>
      </c>
      <c r="I320">
        <v>1279.3454589999999</v>
      </c>
      <c r="J320">
        <v>1252.0057373</v>
      </c>
      <c r="K320">
        <v>1650</v>
      </c>
      <c r="L320">
        <v>0</v>
      </c>
      <c r="M320">
        <v>0</v>
      </c>
      <c r="N320">
        <v>1650</v>
      </c>
    </row>
    <row r="321" spans="1:14" x14ac:dyDescent="0.25">
      <c r="A321">
        <v>118.871447</v>
      </c>
      <c r="B321" s="1">
        <f>DATE(2010,8,27) + TIME(20,54,53)</f>
        <v>40417.871446759258</v>
      </c>
      <c r="C321">
        <v>80</v>
      </c>
      <c r="D321">
        <v>79.879051208000007</v>
      </c>
      <c r="E321">
        <v>50</v>
      </c>
      <c r="F321">
        <v>15.031257629000001</v>
      </c>
      <c r="G321">
        <v>1368.4951172000001</v>
      </c>
      <c r="H321">
        <v>1358.7653809000001</v>
      </c>
      <c r="I321">
        <v>1279.3649902</v>
      </c>
      <c r="J321">
        <v>1252.0231934000001</v>
      </c>
      <c r="K321">
        <v>1650</v>
      </c>
      <c r="L321">
        <v>0</v>
      </c>
      <c r="M321">
        <v>0</v>
      </c>
      <c r="N321">
        <v>1650</v>
      </c>
    </row>
    <row r="322" spans="1:14" x14ac:dyDescent="0.25">
      <c r="A322">
        <v>119.41775199999999</v>
      </c>
      <c r="B322" s="1">
        <f>DATE(2010,8,28) + TIME(10,1,33)</f>
        <v>40418.417743055557</v>
      </c>
      <c r="C322">
        <v>80</v>
      </c>
      <c r="D322">
        <v>79.879127502000003</v>
      </c>
      <c r="E322">
        <v>50</v>
      </c>
      <c r="F322">
        <v>15.033535957</v>
      </c>
      <c r="G322">
        <v>1368.4711914</v>
      </c>
      <c r="H322">
        <v>1358.7434082</v>
      </c>
      <c r="I322">
        <v>1279.3848877</v>
      </c>
      <c r="J322">
        <v>1252.0407714999999</v>
      </c>
      <c r="K322">
        <v>1650</v>
      </c>
      <c r="L322">
        <v>0</v>
      </c>
      <c r="M322">
        <v>0</v>
      </c>
      <c r="N322">
        <v>1650</v>
      </c>
    </row>
    <row r="323" spans="1:14" x14ac:dyDescent="0.25">
      <c r="A323">
        <v>120.510361</v>
      </c>
      <c r="B323" s="1">
        <f>DATE(2010,8,29) + TIME(12,14,55)</f>
        <v>40419.510358796295</v>
      </c>
      <c r="C323">
        <v>80</v>
      </c>
      <c r="D323">
        <v>79.879302979000002</v>
      </c>
      <c r="E323">
        <v>50</v>
      </c>
      <c r="F323">
        <v>15.037261963000001</v>
      </c>
      <c r="G323">
        <v>1368.4477539</v>
      </c>
      <c r="H323">
        <v>1358.7219238</v>
      </c>
      <c r="I323">
        <v>1279.4047852000001</v>
      </c>
      <c r="J323">
        <v>1252.0593262</v>
      </c>
      <c r="K323">
        <v>1650</v>
      </c>
      <c r="L323">
        <v>0</v>
      </c>
      <c r="M323">
        <v>0</v>
      </c>
      <c r="N323">
        <v>1650</v>
      </c>
    </row>
    <row r="324" spans="1:14" x14ac:dyDescent="0.25">
      <c r="A324">
        <v>121.607382</v>
      </c>
      <c r="B324" s="1">
        <f>DATE(2010,8,30) + TIME(14,34,37)</f>
        <v>40420.607372685183</v>
      </c>
      <c r="C324">
        <v>80</v>
      </c>
      <c r="D324">
        <v>79.879470824999999</v>
      </c>
      <c r="E324">
        <v>50</v>
      </c>
      <c r="F324">
        <v>15.041985512</v>
      </c>
      <c r="G324">
        <v>1368.4006348</v>
      </c>
      <c r="H324">
        <v>1358.6785889</v>
      </c>
      <c r="I324">
        <v>1279.4453125</v>
      </c>
      <c r="J324">
        <v>1252.0952147999999</v>
      </c>
      <c r="K324">
        <v>1650</v>
      </c>
      <c r="L324">
        <v>0</v>
      </c>
      <c r="M324">
        <v>0</v>
      </c>
      <c r="N324">
        <v>1650</v>
      </c>
    </row>
    <row r="325" spans="1:14" x14ac:dyDescent="0.25">
      <c r="A325">
        <v>122.72055899999999</v>
      </c>
      <c r="B325" s="1">
        <f>DATE(2010,8,31) + TIME(17,17,36)</f>
        <v>40421.720555555556</v>
      </c>
      <c r="C325">
        <v>80</v>
      </c>
      <c r="D325">
        <v>79.879638671999999</v>
      </c>
      <c r="E325">
        <v>50</v>
      </c>
      <c r="F325">
        <v>15.047629356</v>
      </c>
      <c r="G325">
        <v>1368.3533935999999</v>
      </c>
      <c r="H325">
        <v>1358.6352539</v>
      </c>
      <c r="I325">
        <v>1279.4869385</v>
      </c>
      <c r="J325">
        <v>1252.1324463000001</v>
      </c>
      <c r="K325">
        <v>1650</v>
      </c>
      <c r="L325">
        <v>0</v>
      </c>
      <c r="M325">
        <v>0</v>
      </c>
      <c r="N325">
        <v>1650</v>
      </c>
    </row>
    <row r="326" spans="1:14" x14ac:dyDescent="0.25">
      <c r="A326">
        <v>123</v>
      </c>
      <c r="B326" s="1">
        <f>DATE(2010,9,1) + TIME(0,0,0)</f>
        <v>40422</v>
      </c>
      <c r="C326">
        <v>80</v>
      </c>
      <c r="D326">
        <v>79.879669188999998</v>
      </c>
      <c r="E326">
        <v>50</v>
      </c>
      <c r="F326">
        <v>15.050151825</v>
      </c>
      <c r="G326">
        <v>1368.3060303</v>
      </c>
      <c r="H326">
        <v>1358.5916748</v>
      </c>
      <c r="I326">
        <v>1279.5303954999999</v>
      </c>
      <c r="J326">
        <v>1252.1693115</v>
      </c>
      <c r="K326">
        <v>1650</v>
      </c>
      <c r="L326">
        <v>0</v>
      </c>
      <c r="M326">
        <v>0</v>
      </c>
      <c r="N326">
        <v>1650</v>
      </c>
    </row>
    <row r="327" spans="1:14" x14ac:dyDescent="0.25">
      <c r="A327">
        <v>123.565668</v>
      </c>
      <c r="B327" s="1">
        <f>DATE(2010,9,1) + TIME(13,34,33)</f>
        <v>40422.565659722219</v>
      </c>
      <c r="C327">
        <v>80</v>
      </c>
      <c r="D327">
        <v>79.879753113000007</v>
      </c>
      <c r="E327">
        <v>50</v>
      </c>
      <c r="F327">
        <v>15.054335593999999</v>
      </c>
      <c r="G327">
        <v>1368.2929687999999</v>
      </c>
      <c r="H327">
        <v>1358.5795897999999</v>
      </c>
      <c r="I327">
        <v>1279.5418701000001</v>
      </c>
      <c r="J327">
        <v>1252.1809082</v>
      </c>
      <c r="K327">
        <v>1650</v>
      </c>
      <c r="L327">
        <v>0</v>
      </c>
      <c r="M327">
        <v>0</v>
      </c>
      <c r="N327">
        <v>1650</v>
      </c>
    </row>
    <row r="328" spans="1:14" x14ac:dyDescent="0.25">
      <c r="A328">
        <v>124.13133500000001</v>
      </c>
      <c r="B328" s="1">
        <f>DATE(2010,9,2) + TIME(3,9,7)</f>
        <v>40423.131331018521</v>
      </c>
      <c r="C328">
        <v>80</v>
      </c>
      <c r="D328">
        <v>79.879837035999998</v>
      </c>
      <c r="E328">
        <v>50</v>
      </c>
      <c r="F328">
        <v>15.058596611</v>
      </c>
      <c r="G328">
        <v>1368.269043</v>
      </c>
      <c r="H328">
        <v>1358.5574951000001</v>
      </c>
      <c r="I328">
        <v>1279.5643310999999</v>
      </c>
      <c r="J328">
        <v>1252.2014160000001</v>
      </c>
      <c r="K328">
        <v>1650</v>
      </c>
      <c r="L328">
        <v>0</v>
      </c>
      <c r="M328">
        <v>0</v>
      </c>
      <c r="N328">
        <v>1650</v>
      </c>
    </row>
    <row r="329" spans="1:14" x14ac:dyDescent="0.25">
      <c r="A329">
        <v>124.697003</v>
      </c>
      <c r="B329" s="1">
        <f>DATE(2010,9,2) + TIME(16,43,41)</f>
        <v>40423.697002314817</v>
      </c>
      <c r="C329">
        <v>80</v>
      </c>
      <c r="D329">
        <v>79.879913329999994</v>
      </c>
      <c r="E329">
        <v>50</v>
      </c>
      <c r="F329">
        <v>15.062994957000001</v>
      </c>
      <c r="G329">
        <v>1368.2449951000001</v>
      </c>
      <c r="H329">
        <v>1358.5354004000001</v>
      </c>
      <c r="I329">
        <v>1279.5872803</v>
      </c>
      <c r="J329">
        <v>1252.2224120999999</v>
      </c>
      <c r="K329">
        <v>1650</v>
      </c>
      <c r="L329">
        <v>0</v>
      </c>
      <c r="M329">
        <v>0</v>
      </c>
      <c r="N329">
        <v>1650</v>
      </c>
    </row>
    <row r="330" spans="1:14" x14ac:dyDescent="0.25">
      <c r="A330">
        <v>125.262671</v>
      </c>
      <c r="B330" s="1">
        <f>DATE(2010,9,3) + TIME(6,18,14)</f>
        <v>40424.262662037036</v>
      </c>
      <c r="C330">
        <v>80</v>
      </c>
      <c r="D330">
        <v>79.879997252999999</v>
      </c>
      <c r="E330">
        <v>50</v>
      </c>
      <c r="F330">
        <v>15.067577362</v>
      </c>
      <c r="G330">
        <v>1368.2209473</v>
      </c>
      <c r="H330">
        <v>1358.5133057</v>
      </c>
      <c r="I330">
        <v>1279.6104736</v>
      </c>
      <c r="J330">
        <v>1252.2436522999999</v>
      </c>
      <c r="K330">
        <v>1650</v>
      </c>
      <c r="L330">
        <v>0</v>
      </c>
      <c r="M330">
        <v>0</v>
      </c>
      <c r="N330">
        <v>1650</v>
      </c>
    </row>
    <row r="331" spans="1:14" x14ac:dyDescent="0.25">
      <c r="A331">
        <v>125.828338</v>
      </c>
      <c r="B331" s="1">
        <f>DATE(2010,9,3) + TIME(19,52,48)</f>
        <v>40424.828333333331</v>
      </c>
      <c r="C331">
        <v>80</v>
      </c>
      <c r="D331">
        <v>79.880081176999994</v>
      </c>
      <c r="E331">
        <v>50</v>
      </c>
      <c r="F331">
        <v>15.07238102</v>
      </c>
      <c r="G331">
        <v>1368.1970214999999</v>
      </c>
      <c r="H331">
        <v>1358.4912108999999</v>
      </c>
      <c r="I331">
        <v>1279.6341553</v>
      </c>
      <c r="J331">
        <v>1252.2651367000001</v>
      </c>
      <c r="K331">
        <v>1650</v>
      </c>
      <c r="L331">
        <v>0</v>
      </c>
      <c r="M331">
        <v>0</v>
      </c>
      <c r="N331">
        <v>1650</v>
      </c>
    </row>
    <row r="332" spans="1:14" x14ac:dyDescent="0.25">
      <c r="A332">
        <v>126.394006</v>
      </c>
      <c r="B332" s="1">
        <f>DATE(2010,9,4) + TIME(9,27,22)</f>
        <v>40425.394004629627</v>
      </c>
      <c r="C332">
        <v>80</v>
      </c>
      <c r="D332">
        <v>79.880165099999999</v>
      </c>
      <c r="E332">
        <v>50</v>
      </c>
      <c r="F332">
        <v>15.07743454</v>
      </c>
      <c r="G332">
        <v>1368.1732178</v>
      </c>
      <c r="H332">
        <v>1358.4692382999999</v>
      </c>
      <c r="I332">
        <v>1279.6579589999999</v>
      </c>
      <c r="J332">
        <v>1252.2871094</v>
      </c>
      <c r="K332">
        <v>1650</v>
      </c>
      <c r="L332">
        <v>0</v>
      </c>
      <c r="M332">
        <v>0</v>
      </c>
      <c r="N332">
        <v>1650</v>
      </c>
    </row>
    <row r="333" spans="1:14" x14ac:dyDescent="0.25">
      <c r="A333">
        <v>126.959673</v>
      </c>
      <c r="B333" s="1">
        <f>DATE(2010,9,4) + TIME(23,1,55)</f>
        <v>40425.959664351853</v>
      </c>
      <c r="C333">
        <v>80</v>
      </c>
      <c r="D333">
        <v>79.880249023000005</v>
      </c>
      <c r="E333">
        <v>50</v>
      </c>
      <c r="F333">
        <v>15.082766532999999</v>
      </c>
      <c r="G333">
        <v>1368.1494141000001</v>
      </c>
      <c r="H333">
        <v>1358.4473877</v>
      </c>
      <c r="I333">
        <v>1279.6821289</v>
      </c>
      <c r="J333">
        <v>1252.3093262</v>
      </c>
      <c r="K333">
        <v>1650</v>
      </c>
      <c r="L333">
        <v>0</v>
      </c>
      <c r="M333">
        <v>0</v>
      </c>
      <c r="N333">
        <v>1650</v>
      </c>
    </row>
    <row r="334" spans="1:14" x14ac:dyDescent="0.25">
      <c r="A334">
        <v>127.525341</v>
      </c>
      <c r="B334" s="1">
        <f>DATE(2010,9,5) + TIME(12,36,29)</f>
        <v>40426.525335648148</v>
      </c>
      <c r="C334">
        <v>80</v>
      </c>
      <c r="D334">
        <v>79.880332946999999</v>
      </c>
      <c r="E334">
        <v>50</v>
      </c>
      <c r="F334">
        <v>15.08839798</v>
      </c>
      <c r="G334">
        <v>1368.1256103999999</v>
      </c>
      <c r="H334">
        <v>1358.4254149999999</v>
      </c>
      <c r="I334">
        <v>1279.7066649999999</v>
      </c>
      <c r="J334">
        <v>1252.3320312000001</v>
      </c>
      <c r="K334">
        <v>1650</v>
      </c>
      <c r="L334">
        <v>0</v>
      </c>
      <c r="M334">
        <v>0</v>
      </c>
      <c r="N334">
        <v>1650</v>
      </c>
    </row>
    <row r="335" spans="1:14" x14ac:dyDescent="0.25">
      <c r="A335">
        <v>128.09025099999999</v>
      </c>
      <c r="B335" s="1">
        <f>DATE(2010,9,6) + TIME(2,9,57)</f>
        <v>40427.090243055558</v>
      </c>
      <c r="C335">
        <v>80</v>
      </c>
      <c r="D335">
        <v>79.880409240999995</v>
      </c>
      <c r="E335">
        <v>50</v>
      </c>
      <c r="F335">
        <v>15.094347000000001</v>
      </c>
      <c r="G335">
        <v>1368.1019286999999</v>
      </c>
      <c r="H335">
        <v>1358.4035644999999</v>
      </c>
      <c r="I335">
        <v>1279.7315673999999</v>
      </c>
      <c r="J335">
        <v>1252.3549805</v>
      </c>
      <c r="K335">
        <v>1650</v>
      </c>
      <c r="L335">
        <v>0</v>
      </c>
      <c r="M335">
        <v>0</v>
      </c>
      <c r="N335">
        <v>1650</v>
      </c>
    </row>
    <row r="336" spans="1:14" x14ac:dyDescent="0.25">
      <c r="A336">
        <v>128.654157</v>
      </c>
      <c r="B336" s="1">
        <f>DATE(2010,9,6) + TIME(15,41,59)</f>
        <v>40427.65415509259</v>
      </c>
      <c r="C336">
        <v>80</v>
      </c>
      <c r="D336">
        <v>79.880493164000001</v>
      </c>
      <c r="E336">
        <v>50</v>
      </c>
      <c r="F336">
        <v>15.100629807000001</v>
      </c>
      <c r="G336">
        <v>1368.0783690999999</v>
      </c>
      <c r="H336">
        <v>1358.3818358999999</v>
      </c>
      <c r="I336">
        <v>1279.7567139</v>
      </c>
      <c r="J336">
        <v>1252.378418</v>
      </c>
      <c r="K336">
        <v>1650</v>
      </c>
      <c r="L336">
        <v>0</v>
      </c>
      <c r="M336">
        <v>0</v>
      </c>
      <c r="N336">
        <v>1650</v>
      </c>
    </row>
    <row r="337" spans="1:14" x14ac:dyDescent="0.25">
      <c r="A337">
        <v>129.21723299999999</v>
      </c>
      <c r="B337" s="1">
        <f>DATE(2010,9,7) + TIME(5,12,48)</f>
        <v>40428.217222222222</v>
      </c>
      <c r="C337">
        <v>80</v>
      </c>
      <c r="D337">
        <v>79.880577087000006</v>
      </c>
      <c r="E337">
        <v>50</v>
      </c>
      <c r="F337">
        <v>15.107266426000001</v>
      </c>
      <c r="G337">
        <v>1368.0548096</v>
      </c>
      <c r="H337">
        <v>1358.3602295000001</v>
      </c>
      <c r="I337">
        <v>1279.7822266000001</v>
      </c>
      <c r="J337">
        <v>1252.4022216999999</v>
      </c>
      <c r="K337">
        <v>1650</v>
      </c>
      <c r="L337">
        <v>0</v>
      </c>
      <c r="M337">
        <v>0</v>
      </c>
      <c r="N337">
        <v>1650</v>
      </c>
    </row>
    <row r="338" spans="1:14" x14ac:dyDescent="0.25">
      <c r="A338">
        <v>129.77963800000001</v>
      </c>
      <c r="B338" s="1">
        <f>DATE(2010,9,7) + TIME(18,42,40)</f>
        <v>40428.779629629629</v>
      </c>
      <c r="C338">
        <v>80</v>
      </c>
      <c r="D338">
        <v>79.880661011000001</v>
      </c>
      <c r="E338">
        <v>50</v>
      </c>
      <c r="F338">
        <v>15.114276886000001</v>
      </c>
      <c r="G338">
        <v>1368.0313721</v>
      </c>
      <c r="H338">
        <v>1358.3386230000001</v>
      </c>
      <c r="I338">
        <v>1279.8079834</v>
      </c>
      <c r="J338">
        <v>1252.4263916</v>
      </c>
      <c r="K338">
        <v>1650</v>
      </c>
      <c r="L338">
        <v>0</v>
      </c>
      <c r="M338">
        <v>0</v>
      </c>
      <c r="N338">
        <v>1650</v>
      </c>
    </row>
    <row r="339" spans="1:14" x14ac:dyDescent="0.25">
      <c r="A339">
        <v>130.34154000000001</v>
      </c>
      <c r="B339" s="1">
        <f>DATE(2010,9,8) + TIME(8,11,49)</f>
        <v>40429.341539351852</v>
      </c>
      <c r="C339">
        <v>80</v>
      </c>
      <c r="D339">
        <v>79.880744934000006</v>
      </c>
      <c r="E339">
        <v>50</v>
      </c>
      <c r="F339">
        <v>15.121682166999999</v>
      </c>
      <c r="G339">
        <v>1368.0080565999999</v>
      </c>
      <c r="H339">
        <v>1358.3170166</v>
      </c>
      <c r="I339">
        <v>1279.8341064000001</v>
      </c>
      <c r="J339">
        <v>1252.4509277</v>
      </c>
      <c r="K339">
        <v>1650</v>
      </c>
      <c r="L339">
        <v>0</v>
      </c>
      <c r="M339">
        <v>0</v>
      </c>
      <c r="N339">
        <v>1650</v>
      </c>
    </row>
    <row r="340" spans="1:14" x14ac:dyDescent="0.25">
      <c r="A340">
        <v>131.46467999999999</v>
      </c>
      <c r="B340" s="1">
        <f>DATE(2010,9,9) + TIME(11,9,8)</f>
        <v>40430.464675925927</v>
      </c>
      <c r="C340">
        <v>80</v>
      </c>
      <c r="D340">
        <v>79.880920410000002</v>
      </c>
      <c r="E340">
        <v>50</v>
      </c>
      <c r="F340">
        <v>15.13365078</v>
      </c>
      <c r="G340">
        <v>1367.9852295000001</v>
      </c>
      <c r="H340">
        <v>1358.2960204999999</v>
      </c>
      <c r="I340">
        <v>1279.8596190999999</v>
      </c>
      <c r="J340">
        <v>1252.4772949000001</v>
      </c>
      <c r="K340">
        <v>1650</v>
      </c>
      <c r="L340">
        <v>0</v>
      </c>
      <c r="M340">
        <v>0</v>
      </c>
      <c r="N340">
        <v>1650</v>
      </c>
    </row>
    <row r="341" spans="1:14" x14ac:dyDescent="0.25">
      <c r="A341">
        <v>132.59252799999999</v>
      </c>
      <c r="B341" s="1">
        <f>DATE(2010,9,10) + TIME(14,13,14)</f>
        <v>40431.592523148145</v>
      </c>
      <c r="C341">
        <v>80</v>
      </c>
      <c r="D341">
        <v>79.881088257000002</v>
      </c>
      <c r="E341">
        <v>50</v>
      </c>
      <c r="F341">
        <v>15.148726462999999</v>
      </c>
      <c r="G341">
        <v>1367.9392089999999</v>
      </c>
      <c r="H341">
        <v>1358.2535399999999</v>
      </c>
      <c r="I341">
        <v>1279.9134521000001</v>
      </c>
      <c r="J341">
        <v>1252.5275879000001</v>
      </c>
      <c r="K341">
        <v>1650</v>
      </c>
      <c r="L341">
        <v>0</v>
      </c>
      <c r="M341">
        <v>0</v>
      </c>
      <c r="N341">
        <v>1650</v>
      </c>
    </row>
    <row r="342" spans="1:14" x14ac:dyDescent="0.25">
      <c r="A342">
        <v>133.737866</v>
      </c>
      <c r="B342" s="1">
        <f>DATE(2010,9,11) + TIME(17,42,31)</f>
        <v>40432.737858796296</v>
      </c>
      <c r="C342">
        <v>80</v>
      </c>
      <c r="D342">
        <v>79.881263732999997</v>
      </c>
      <c r="E342">
        <v>50</v>
      </c>
      <c r="F342">
        <v>15.166577339</v>
      </c>
      <c r="G342">
        <v>1367.8929443</v>
      </c>
      <c r="H342">
        <v>1358.2108154</v>
      </c>
      <c r="I342">
        <v>1279.96875</v>
      </c>
      <c r="J342">
        <v>1252.5803223</v>
      </c>
      <c r="K342">
        <v>1650</v>
      </c>
      <c r="L342">
        <v>0</v>
      </c>
      <c r="M342">
        <v>0</v>
      </c>
      <c r="N342">
        <v>1650</v>
      </c>
    </row>
    <row r="343" spans="1:14" x14ac:dyDescent="0.25">
      <c r="A343">
        <v>134.31855200000001</v>
      </c>
      <c r="B343" s="1">
        <f>DATE(2010,9,12) + TIME(7,38,42)</f>
        <v>40433.318541666667</v>
      </c>
      <c r="C343">
        <v>80</v>
      </c>
      <c r="D343">
        <v>79.881340026999993</v>
      </c>
      <c r="E343">
        <v>50</v>
      </c>
      <c r="F343">
        <v>15.180110931</v>
      </c>
      <c r="G343">
        <v>1367.8459473</v>
      </c>
      <c r="H343">
        <v>1358.1674805</v>
      </c>
      <c r="I343">
        <v>1280.0281981999999</v>
      </c>
      <c r="J343">
        <v>1252.6339111</v>
      </c>
      <c r="K343">
        <v>1650</v>
      </c>
      <c r="L343">
        <v>0</v>
      </c>
      <c r="M343">
        <v>0</v>
      </c>
      <c r="N343">
        <v>1650</v>
      </c>
    </row>
    <row r="344" spans="1:14" x14ac:dyDescent="0.25">
      <c r="A344">
        <v>134.89465899999999</v>
      </c>
      <c r="B344" s="1">
        <f>DATE(2010,9,12) + TIME(21,28,18)</f>
        <v>40433.894652777781</v>
      </c>
      <c r="C344">
        <v>80</v>
      </c>
      <c r="D344">
        <v>79.881416321000003</v>
      </c>
      <c r="E344">
        <v>50</v>
      </c>
      <c r="F344">
        <v>15.193439484000001</v>
      </c>
      <c r="G344">
        <v>1367.8218993999999</v>
      </c>
      <c r="H344">
        <v>1358.1451416</v>
      </c>
      <c r="I344">
        <v>1280.0581055</v>
      </c>
      <c r="J344">
        <v>1252.6640625</v>
      </c>
      <c r="K344">
        <v>1650</v>
      </c>
      <c r="L344">
        <v>0</v>
      </c>
      <c r="M344">
        <v>0</v>
      </c>
      <c r="N344">
        <v>1650</v>
      </c>
    </row>
    <row r="345" spans="1:14" x14ac:dyDescent="0.25">
      <c r="A345">
        <v>135.47044299999999</v>
      </c>
      <c r="B345" s="1">
        <f>DATE(2010,9,13) + TIME(11,17,26)</f>
        <v>40434.470439814817</v>
      </c>
      <c r="C345">
        <v>80</v>
      </c>
      <c r="D345">
        <v>79.881500243999994</v>
      </c>
      <c r="E345">
        <v>50</v>
      </c>
      <c r="F345">
        <v>15.206889153000001</v>
      </c>
      <c r="G345">
        <v>1367.7984618999999</v>
      </c>
      <c r="H345">
        <v>1358.1235352000001</v>
      </c>
      <c r="I345">
        <v>1280.0881348</v>
      </c>
      <c r="J345">
        <v>1252.6943358999999</v>
      </c>
      <c r="K345">
        <v>1650</v>
      </c>
      <c r="L345">
        <v>0</v>
      </c>
      <c r="M345">
        <v>0</v>
      </c>
      <c r="N345">
        <v>1650</v>
      </c>
    </row>
    <row r="346" spans="1:14" x14ac:dyDescent="0.25">
      <c r="A346">
        <v>136.04559499999999</v>
      </c>
      <c r="B346" s="1">
        <f>DATE(2010,9,14) + TIME(1,5,39)</f>
        <v>40435.045590277776</v>
      </c>
      <c r="C346">
        <v>80</v>
      </c>
      <c r="D346">
        <v>79.881576538000004</v>
      </c>
      <c r="E346">
        <v>50</v>
      </c>
      <c r="F346">
        <v>15.220647811999999</v>
      </c>
      <c r="G346">
        <v>1367.7750243999999</v>
      </c>
      <c r="H346">
        <v>1358.1018065999999</v>
      </c>
      <c r="I346">
        <v>1280.1186522999999</v>
      </c>
      <c r="J346">
        <v>1252.7250977000001</v>
      </c>
      <c r="K346">
        <v>1650</v>
      </c>
      <c r="L346">
        <v>0</v>
      </c>
      <c r="M346">
        <v>0</v>
      </c>
      <c r="N346">
        <v>1650</v>
      </c>
    </row>
    <row r="347" spans="1:14" x14ac:dyDescent="0.25">
      <c r="A347">
        <v>136.62011899999999</v>
      </c>
      <c r="B347" s="1">
        <f>DATE(2010,9,14) + TIME(14,52,58)</f>
        <v>40435.620115740741</v>
      </c>
      <c r="C347">
        <v>80</v>
      </c>
      <c r="D347">
        <v>79.881660460999996</v>
      </c>
      <c r="E347">
        <v>50</v>
      </c>
      <c r="F347">
        <v>15.234856605999999</v>
      </c>
      <c r="G347">
        <v>1367.7517089999999</v>
      </c>
      <c r="H347">
        <v>1358.0803223</v>
      </c>
      <c r="I347">
        <v>1280.1496582</v>
      </c>
      <c r="J347">
        <v>1252.7563477000001</v>
      </c>
      <c r="K347">
        <v>1650</v>
      </c>
      <c r="L347">
        <v>0</v>
      </c>
      <c r="M347">
        <v>0</v>
      </c>
      <c r="N347">
        <v>1650</v>
      </c>
    </row>
    <row r="348" spans="1:14" x14ac:dyDescent="0.25">
      <c r="A348">
        <v>137.19402500000001</v>
      </c>
      <c r="B348" s="1">
        <f>DATE(2010,9,15) + TIME(4,39,23)</f>
        <v>40436.194016203706</v>
      </c>
      <c r="C348">
        <v>80</v>
      </c>
      <c r="D348">
        <v>79.881744385000005</v>
      </c>
      <c r="E348">
        <v>50</v>
      </c>
      <c r="F348">
        <v>15.249623299</v>
      </c>
      <c r="G348">
        <v>1367.7285156</v>
      </c>
      <c r="H348">
        <v>1358.0587158000001</v>
      </c>
      <c r="I348">
        <v>1280.1812743999999</v>
      </c>
      <c r="J348">
        <v>1252.7882079999999</v>
      </c>
      <c r="K348">
        <v>1650</v>
      </c>
      <c r="L348">
        <v>0</v>
      </c>
      <c r="M348">
        <v>0</v>
      </c>
      <c r="N348">
        <v>1650</v>
      </c>
    </row>
    <row r="349" spans="1:14" x14ac:dyDescent="0.25">
      <c r="A349">
        <v>137.76735099999999</v>
      </c>
      <c r="B349" s="1">
        <f>DATE(2010,9,15) + TIME(18,24,59)</f>
        <v>40436.76734953704</v>
      </c>
      <c r="C349">
        <v>80</v>
      </c>
      <c r="D349">
        <v>79.881828307999996</v>
      </c>
      <c r="E349">
        <v>50</v>
      </c>
      <c r="F349">
        <v>15.265032767999999</v>
      </c>
      <c r="G349">
        <v>1367.7053223</v>
      </c>
      <c r="H349">
        <v>1358.0372314000001</v>
      </c>
      <c r="I349">
        <v>1280.2131348</v>
      </c>
      <c r="J349">
        <v>1252.8208007999999</v>
      </c>
      <c r="K349">
        <v>1650</v>
      </c>
      <c r="L349">
        <v>0</v>
      </c>
      <c r="M349">
        <v>0</v>
      </c>
      <c r="N349">
        <v>1650</v>
      </c>
    </row>
    <row r="350" spans="1:14" x14ac:dyDescent="0.25">
      <c r="A350">
        <v>138.340158</v>
      </c>
      <c r="B350" s="1">
        <f>DATE(2010,9,16) + TIME(8,9,49)</f>
        <v>40437.340150462966</v>
      </c>
      <c r="C350">
        <v>80</v>
      </c>
      <c r="D350">
        <v>79.881912231000001</v>
      </c>
      <c r="E350">
        <v>50</v>
      </c>
      <c r="F350">
        <v>15.281152725</v>
      </c>
      <c r="G350">
        <v>1367.682251</v>
      </c>
      <c r="H350">
        <v>1358.0158690999999</v>
      </c>
      <c r="I350">
        <v>1280.2456055</v>
      </c>
      <c r="J350">
        <v>1252.8538818</v>
      </c>
      <c r="K350">
        <v>1650</v>
      </c>
      <c r="L350">
        <v>0</v>
      </c>
      <c r="M350">
        <v>0</v>
      </c>
      <c r="N350">
        <v>1650</v>
      </c>
    </row>
    <row r="351" spans="1:14" x14ac:dyDescent="0.25">
      <c r="A351">
        <v>138.912522</v>
      </c>
      <c r="B351" s="1">
        <f>DATE(2010,9,16) + TIME(21,54,1)</f>
        <v>40437.912511574075</v>
      </c>
      <c r="C351">
        <v>80</v>
      </c>
      <c r="D351">
        <v>79.881996154999996</v>
      </c>
      <c r="E351">
        <v>50</v>
      </c>
      <c r="F351">
        <v>15.298044205</v>
      </c>
      <c r="G351">
        <v>1367.6591797000001</v>
      </c>
      <c r="H351">
        <v>1357.9945068</v>
      </c>
      <c r="I351">
        <v>1280.2784423999999</v>
      </c>
      <c r="J351">
        <v>1252.8878173999999</v>
      </c>
      <c r="K351">
        <v>1650</v>
      </c>
      <c r="L351">
        <v>0</v>
      </c>
      <c r="M351">
        <v>0</v>
      </c>
      <c r="N351">
        <v>1650</v>
      </c>
    </row>
    <row r="352" spans="1:14" x14ac:dyDescent="0.25">
      <c r="A352">
        <v>139.48453499999999</v>
      </c>
      <c r="B352" s="1">
        <f>DATE(2010,9,17) + TIME(11,37,43)</f>
        <v>40438.484525462962</v>
      </c>
      <c r="C352">
        <v>80</v>
      </c>
      <c r="D352">
        <v>79.882080078000001</v>
      </c>
      <c r="E352">
        <v>50</v>
      </c>
      <c r="F352">
        <v>15.315760612</v>
      </c>
      <c r="G352">
        <v>1367.6361084</v>
      </c>
      <c r="H352">
        <v>1357.9731445</v>
      </c>
      <c r="I352">
        <v>1280.3117675999999</v>
      </c>
      <c r="J352">
        <v>1252.9223632999999</v>
      </c>
      <c r="K352">
        <v>1650</v>
      </c>
      <c r="L352">
        <v>0</v>
      </c>
      <c r="M352">
        <v>0</v>
      </c>
      <c r="N352">
        <v>1650</v>
      </c>
    </row>
    <row r="353" spans="1:14" x14ac:dyDescent="0.25">
      <c r="A353">
        <v>140.05630600000001</v>
      </c>
      <c r="B353" s="1">
        <f>DATE(2010,9,18) + TIME(1,21,4)</f>
        <v>40439.056296296294</v>
      </c>
      <c r="C353">
        <v>80</v>
      </c>
      <c r="D353">
        <v>79.882164001000007</v>
      </c>
      <c r="E353">
        <v>50</v>
      </c>
      <c r="F353">
        <v>15.334352493000001</v>
      </c>
      <c r="G353">
        <v>1367.6131591999999</v>
      </c>
      <c r="H353">
        <v>1357.9519043</v>
      </c>
      <c r="I353">
        <v>1280.3455810999999</v>
      </c>
      <c r="J353">
        <v>1252.9576416</v>
      </c>
      <c r="K353">
        <v>1650</v>
      </c>
      <c r="L353">
        <v>0</v>
      </c>
      <c r="M353">
        <v>0</v>
      </c>
      <c r="N353">
        <v>1650</v>
      </c>
    </row>
    <row r="354" spans="1:14" x14ac:dyDescent="0.25">
      <c r="A354">
        <v>141.19960399999999</v>
      </c>
      <c r="B354" s="1">
        <f>DATE(2010,9,19) + TIME(4,47,25)</f>
        <v>40440.199594907404</v>
      </c>
      <c r="C354">
        <v>80</v>
      </c>
      <c r="D354">
        <v>79.882339478000006</v>
      </c>
      <c r="E354">
        <v>50</v>
      </c>
      <c r="F354">
        <v>15.364099503</v>
      </c>
      <c r="G354">
        <v>1367.5905762</v>
      </c>
      <c r="H354">
        <v>1357.9309082</v>
      </c>
      <c r="I354">
        <v>1280.3773193</v>
      </c>
      <c r="J354">
        <v>1252.9969481999999</v>
      </c>
      <c r="K354">
        <v>1650</v>
      </c>
      <c r="L354">
        <v>0</v>
      </c>
      <c r="M354">
        <v>0</v>
      </c>
      <c r="N354">
        <v>1650</v>
      </c>
    </row>
    <row r="355" spans="1:14" x14ac:dyDescent="0.25">
      <c r="A355">
        <v>142.343447</v>
      </c>
      <c r="B355" s="1">
        <f>DATE(2010,9,20) + TIME(8,14,33)</f>
        <v>40441.3434375</v>
      </c>
      <c r="C355">
        <v>80</v>
      </c>
      <c r="D355">
        <v>79.882507324000002</v>
      </c>
      <c r="E355">
        <v>50</v>
      </c>
      <c r="F355">
        <v>15.401248932</v>
      </c>
      <c r="G355">
        <v>1367.5451660000001</v>
      </c>
      <c r="H355">
        <v>1357.8887939000001</v>
      </c>
      <c r="I355">
        <v>1280.4476318</v>
      </c>
      <c r="J355">
        <v>1253.0693358999999</v>
      </c>
      <c r="K355">
        <v>1650</v>
      </c>
      <c r="L355">
        <v>0</v>
      </c>
      <c r="M355">
        <v>0</v>
      </c>
      <c r="N355">
        <v>1650</v>
      </c>
    </row>
    <row r="356" spans="1:14" x14ac:dyDescent="0.25">
      <c r="A356">
        <v>143.50284600000001</v>
      </c>
      <c r="B356" s="1">
        <f>DATE(2010,9,21) + TIME(12,4,5)</f>
        <v>40442.502835648149</v>
      </c>
      <c r="C356">
        <v>80</v>
      </c>
      <c r="D356">
        <v>79.882675171000002</v>
      </c>
      <c r="E356">
        <v>50</v>
      </c>
      <c r="F356">
        <v>15.444727898</v>
      </c>
      <c r="G356">
        <v>1367.4996338000001</v>
      </c>
      <c r="H356">
        <v>1357.8465576000001</v>
      </c>
      <c r="I356">
        <v>1280.5195312000001</v>
      </c>
      <c r="J356">
        <v>1253.1461182</v>
      </c>
      <c r="K356">
        <v>1650</v>
      </c>
      <c r="L356">
        <v>0</v>
      </c>
      <c r="M356">
        <v>0</v>
      </c>
      <c r="N356">
        <v>1650</v>
      </c>
    </row>
    <row r="357" spans="1:14" x14ac:dyDescent="0.25">
      <c r="A357">
        <v>144.091386</v>
      </c>
      <c r="B357" s="1">
        <f>DATE(2010,9,22) + TIME(2,11,35)</f>
        <v>40443.091377314813</v>
      </c>
      <c r="C357">
        <v>80</v>
      </c>
      <c r="D357">
        <v>79.882751464999998</v>
      </c>
      <c r="E357">
        <v>50</v>
      </c>
      <c r="F357">
        <v>15.477441788</v>
      </c>
      <c r="G357">
        <v>1367.4534911999999</v>
      </c>
      <c r="H357">
        <v>1357.8037108999999</v>
      </c>
      <c r="I357">
        <v>1280.5983887</v>
      </c>
      <c r="J357">
        <v>1253.2227783000001</v>
      </c>
      <c r="K357">
        <v>1650</v>
      </c>
      <c r="L357">
        <v>0</v>
      </c>
      <c r="M357">
        <v>0</v>
      </c>
      <c r="N357">
        <v>1650</v>
      </c>
    </row>
    <row r="358" spans="1:14" x14ac:dyDescent="0.25">
      <c r="A358">
        <v>145.24331799999999</v>
      </c>
      <c r="B358" s="1">
        <f>DATE(2010,9,23) + TIME(5,50,22)</f>
        <v>40444.243310185186</v>
      </c>
      <c r="C358">
        <v>80</v>
      </c>
      <c r="D358">
        <v>79.882926940999994</v>
      </c>
      <c r="E358">
        <v>50</v>
      </c>
      <c r="F358">
        <v>15.525575637999999</v>
      </c>
      <c r="G358">
        <v>1367.4299315999999</v>
      </c>
      <c r="H358">
        <v>1357.7818603999999</v>
      </c>
      <c r="I358">
        <v>1280.6325684000001</v>
      </c>
      <c r="J358">
        <v>1253.2725829999999</v>
      </c>
      <c r="K358">
        <v>1650</v>
      </c>
      <c r="L358">
        <v>0</v>
      </c>
      <c r="M358">
        <v>0</v>
      </c>
      <c r="N358">
        <v>1650</v>
      </c>
    </row>
    <row r="359" spans="1:14" x14ac:dyDescent="0.25">
      <c r="A359">
        <v>145.827562</v>
      </c>
      <c r="B359" s="1">
        <f>DATE(2010,9,23) + TIME(19,51,41)</f>
        <v>40444.827557870369</v>
      </c>
      <c r="C359">
        <v>80</v>
      </c>
      <c r="D359">
        <v>79.883003235000004</v>
      </c>
      <c r="E359">
        <v>50</v>
      </c>
      <c r="F359">
        <v>15.56235981</v>
      </c>
      <c r="G359">
        <v>1367.3845214999999</v>
      </c>
      <c r="H359">
        <v>1357.739624</v>
      </c>
      <c r="I359">
        <v>1280.7149658000001</v>
      </c>
      <c r="J359">
        <v>1253.3536377</v>
      </c>
      <c r="K359">
        <v>1650</v>
      </c>
      <c r="L359">
        <v>0</v>
      </c>
      <c r="M359">
        <v>0</v>
      </c>
      <c r="N359">
        <v>1650</v>
      </c>
    </row>
    <row r="360" spans="1:14" x14ac:dyDescent="0.25">
      <c r="A360">
        <v>146.96493000000001</v>
      </c>
      <c r="B360" s="1">
        <f>DATE(2010,9,24) + TIME(23,9,29)</f>
        <v>40445.964918981481</v>
      </c>
      <c r="C360">
        <v>80</v>
      </c>
      <c r="D360">
        <v>79.883171082000004</v>
      </c>
      <c r="E360">
        <v>50</v>
      </c>
      <c r="F360">
        <v>15.616576195</v>
      </c>
      <c r="G360">
        <v>1367.3612060999999</v>
      </c>
      <c r="H360">
        <v>1357.7180175999999</v>
      </c>
      <c r="I360">
        <v>1280.7498779</v>
      </c>
      <c r="J360">
        <v>1253.4069824000001</v>
      </c>
      <c r="K360">
        <v>1650</v>
      </c>
      <c r="L360">
        <v>0</v>
      </c>
      <c r="M360">
        <v>0</v>
      </c>
      <c r="N360">
        <v>1650</v>
      </c>
    </row>
    <row r="361" spans="1:14" x14ac:dyDescent="0.25">
      <c r="A361">
        <v>148.12671800000001</v>
      </c>
      <c r="B361" s="1">
        <f>DATE(2010,9,26) + TIME(3,2,28)</f>
        <v>40447.126712962963</v>
      </c>
      <c r="C361">
        <v>80</v>
      </c>
      <c r="D361">
        <v>79.883346558</v>
      </c>
      <c r="E361">
        <v>50</v>
      </c>
      <c r="F361">
        <v>15.679722785999999</v>
      </c>
      <c r="G361">
        <v>1367.3166504000001</v>
      </c>
      <c r="H361">
        <v>1357.6765137</v>
      </c>
      <c r="I361">
        <v>1280.8299560999999</v>
      </c>
      <c r="J361">
        <v>1253.4990233999999</v>
      </c>
      <c r="K361">
        <v>1650</v>
      </c>
      <c r="L361">
        <v>0</v>
      </c>
      <c r="M361">
        <v>0</v>
      </c>
      <c r="N361">
        <v>1650</v>
      </c>
    </row>
    <row r="362" spans="1:14" x14ac:dyDescent="0.25">
      <c r="A362">
        <v>149.29184900000001</v>
      </c>
      <c r="B362" s="1">
        <f>DATE(2010,9,27) + TIME(7,0,15)</f>
        <v>40448.29184027778</v>
      </c>
      <c r="C362">
        <v>80</v>
      </c>
      <c r="D362">
        <v>79.883514403999996</v>
      </c>
      <c r="E362">
        <v>50</v>
      </c>
      <c r="F362">
        <v>15.750887871</v>
      </c>
      <c r="G362">
        <v>1367.270874</v>
      </c>
      <c r="H362">
        <v>1357.6339111</v>
      </c>
      <c r="I362">
        <v>1280.9138184000001</v>
      </c>
      <c r="J362">
        <v>1253.5980225000001</v>
      </c>
      <c r="K362">
        <v>1650</v>
      </c>
      <c r="L362">
        <v>0</v>
      </c>
      <c r="M362">
        <v>0</v>
      </c>
      <c r="N362">
        <v>1650</v>
      </c>
    </row>
    <row r="363" spans="1:14" x14ac:dyDescent="0.25">
      <c r="A363">
        <v>150.46338700000001</v>
      </c>
      <c r="B363" s="1">
        <f>DATE(2010,9,28) + TIME(11,7,16)</f>
        <v>40449.463379629633</v>
      </c>
      <c r="C363">
        <v>80</v>
      </c>
      <c r="D363">
        <v>79.883682250999996</v>
      </c>
      <c r="E363">
        <v>50</v>
      </c>
      <c r="F363">
        <v>15.829883575</v>
      </c>
      <c r="G363">
        <v>1367.2250977000001</v>
      </c>
      <c r="H363">
        <v>1357.5913086</v>
      </c>
      <c r="I363">
        <v>1281</v>
      </c>
      <c r="J363">
        <v>1253.7023925999999</v>
      </c>
      <c r="K363">
        <v>1650</v>
      </c>
      <c r="L363">
        <v>0</v>
      </c>
      <c r="M363">
        <v>0</v>
      </c>
      <c r="N363">
        <v>1650</v>
      </c>
    </row>
    <row r="364" spans="1:14" x14ac:dyDescent="0.25">
      <c r="A364">
        <v>151.05229600000001</v>
      </c>
      <c r="B364" s="1">
        <f>DATE(2010,9,29) + TIME(1,15,18)</f>
        <v>40450.052291666667</v>
      </c>
      <c r="C364">
        <v>80</v>
      </c>
      <c r="D364">
        <v>79.883758545000006</v>
      </c>
      <c r="E364">
        <v>50</v>
      </c>
      <c r="F364">
        <v>15.887365341000001</v>
      </c>
      <c r="G364">
        <v>1367.1791992000001</v>
      </c>
      <c r="H364">
        <v>1357.5483397999999</v>
      </c>
      <c r="I364">
        <v>1281.0963135</v>
      </c>
      <c r="J364">
        <v>1253.8040771000001</v>
      </c>
      <c r="K364">
        <v>1650</v>
      </c>
      <c r="L364">
        <v>0</v>
      </c>
      <c r="M364">
        <v>0</v>
      </c>
      <c r="N364">
        <v>1650</v>
      </c>
    </row>
    <row r="365" spans="1:14" x14ac:dyDescent="0.25">
      <c r="A365">
        <v>151.64120500000001</v>
      </c>
      <c r="B365" s="1">
        <f>DATE(2010,9,29) + TIME(15,23,20)</f>
        <v>40450.641203703701</v>
      </c>
      <c r="C365">
        <v>80</v>
      </c>
      <c r="D365">
        <v>79.883834839000002</v>
      </c>
      <c r="E365">
        <v>50</v>
      </c>
      <c r="F365">
        <v>15.94301033</v>
      </c>
      <c r="G365">
        <v>1367.1556396000001</v>
      </c>
      <c r="H365">
        <v>1357.5263672000001</v>
      </c>
      <c r="I365">
        <v>1281.1405029</v>
      </c>
      <c r="J365">
        <v>1253.8651123</v>
      </c>
      <c r="K365">
        <v>1650</v>
      </c>
      <c r="L365">
        <v>0</v>
      </c>
      <c r="M365">
        <v>0</v>
      </c>
      <c r="N365">
        <v>1650</v>
      </c>
    </row>
    <row r="366" spans="1:14" x14ac:dyDescent="0.25">
      <c r="A366">
        <v>152.23011399999999</v>
      </c>
      <c r="B366" s="1">
        <f>DATE(2010,9,30) + TIME(5,31,21)</f>
        <v>40451.230104166665</v>
      </c>
      <c r="C366">
        <v>80</v>
      </c>
      <c r="D366">
        <v>79.883918761999993</v>
      </c>
      <c r="E366">
        <v>50</v>
      </c>
      <c r="F366">
        <v>15.998097420000001</v>
      </c>
      <c r="G366">
        <v>1367.1325684000001</v>
      </c>
      <c r="H366">
        <v>1357.5048827999999</v>
      </c>
      <c r="I366">
        <v>1281.1857910000001</v>
      </c>
      <c r="J366">
        <v>1253.9267577999999</v>
      </c>
      <c r="K366">
        <v>1650</v>
      </c>
      <c r="L366">
        <v>0</v>
      </c>
      <c r="M366">
        <v>0</v>
      </c>
      <c r="N366">
        <v>1650</v>
      </c>
    </row>
    <row r="367" spans="1:14" x14ac:dyDescent="0.25">
      <c r="A367">
        <v>153</v>
      </c>
      <c r="B367" s="1">
        <f>DATE(2010,10,1) + TIME(0,0,0)</f>
        <v>40452</v>
      </c>
      <c r="C367">
        <v>80</v>
      </c>
      <c r="D367">
        <v>79.884025574000006</v>
      </c>
      <c r="E367">
        <v>50</v>
      </c>
      <c r="F367">
        <v>16.064004898</v>
      </c>
      <c r="G367">
        <v>1367.1096190999999</v>
      </c>
      <c r="H367">
        <v>1357.4833983999999</v>
      </c>
      <c r="I367">
        <v>1281.2290039</v>
      </c>
      <c r="J367">
        <v>1253.9921875</v>
      </c>
      <c r="K367">
        <v>1650</v>
      </c>
      <c r="L367">
        <v>0</v>
      </c>
      <c r="M367">
        <v>0</v>
      </c>
      <c r="N367">
        <v>1650</v>
      </c>
    </row>
    <row r="368" spans="1:14" x14ac:dyDescent="0.25">
      <c r="A368">
        <v>153.588909</v>
      </c>
      <c r="B368" s="1">
        <f>DATE(2010,10,1) + TIME(14,8,1)</f>
        <v>40452.588900462964</v>
      </c>
      <c r="C368">
        <v>80</v>
      </c>
      <c r="D368">
        <v>79.884109496999997</v>
      </c>
      <c r="E368">
        <v>50</v>
      </c>
      <c r="F368">
        <v>16.122755050999999</v>
      </c>
      <c r="G368">
        <v>1367.0795897999999</v>
      </c>
      <c r="H368">
        <v>1357.4553223</v>
      </c>
      <c r="I368">
        <v>1281.2944336</v>
      </c>
      <c r="J368">
        <v>1254.0711670000001</v>
      </c>
      <c r="K368">
        <v>1650</v>
      </c>
      <c r="L368">
        <v>0</v>
      </c>
      <c r="M368">
        <v>0</v>
      </c>
      <c r="N368">
        <v>1650</v>
      </c>
    </row>
    <row r="369" spans="1:14" x14ac:dyDescent="0.25">
      <c r="A369">
        <v>154.17308700000001</v>
      </c>
      <c r="B369" s="1">
        <f>DATE(2010,10,2) + TIME(4,9,14)</f>
        <v>40453.173078703701</v>
      </c>
      <c r="C369">
        <v>80</v>
      </c>
      <c r="D369">
        <v>79.884193420000003</v>
      </c>
      <c r="E369">
        <v>50</v>
      </c>
      <c r="F369">
        <v>16.182001113999998</v>
      </c>
      <c r="G369">
        <v>1367.0563964999999</v>
      </c>
      <c r="H369">
        <v>1357.4335937999999</v>
      </c>
      <c r="I369">
        <v>1281.3424072</v>
      </c>
      <c r="J369">
        <v>1254.1369629000001</v>
      </c>
      <c r="K369">
        <v>1650</v>
      </c>
      <c r="L369">
        <v>0</v>
      </c>
      <c r="M369">
        <v>0</v>
      </c>
      <c r="N369">
        <v>1650</v>
      </c>
    </row>
    <row r="370" spans="1:14" x14ac:dyDescent="0.25">
      <c r="A370">
        <v>154.75726499999999</v>
      </c>
      <c r="B370" s="1">
        <f>DATE(2010,10,2) + TIME(18,10,27)</f>
        <v>40453.757256944446</v>
      </c>
      <c r="C370">
        <v>80</v>
      </c>
      <c r="D370">
        <v>79.884277343999997</v>
      </c>
      <c r="E370">
        <v>50</v>
      </c>
      <c r="F370">
        <v>16.242492676000001</v>
      </c>
      <c r="G370">
        <v>1367.0335693</v>
      </c>
      <c r="H370">
        <v>1357.4122314000001</v>
      </c>
      <c r="I370">
        <v>1281.3905029</v>
      </c>
      <c r="J370">
        <v>1254.2036132999999</v>
      </c>
      <c r="K370">
        <v>1650</v>
      </c>
      <c r="L370">
        <v>0</v>
      </c>
      <c r="M370">
        <v>0</v>
      </c>
      <c r="N370">
        <v>1650</v>
      </c>
    </row>
    <row r="371" spans="1:14" x14ac:dyDescent="0.25">
      <c r="A371">
        <v>155.341443</v>
      </c>
      <c r="B371" s="1">
        <f>DATE(2010,10,3) + TIME(8,11,40)</f>
        <v>40454.341435185182</v>
      </c>
      <c r="C371">
        <v>80</v>
      </c>
      <c r="D371">
        <v>79.884361267000003</v>
      </c>
      <c r="E371">
        <v>50</v>
      </c>
      <c r="F371">
        <v>16.304582595999999</v>
      </c>
      <c r="G371">
        <v>1367.0107422000001</v>
      </c>
      <c r="H371">
        <v>1357.3909911999999</v>
      </c>
      <c r="I371">
        <v>1281.4393310999999</v>
      </c>
      <c r="J371">
        <v>1254.2716064000001</v>
      </c>
      <c r="K371">
        <v>1650</v>
      </c>
      <c r="L371">
        <v>0</v>
      </c>
      <c r="M371">
        <v>0</v>
      </c>
      <c r="N371">
        <v>1650</v>
      </c>
    </row>
    <row r="372" spans="1:14" x14ac:dyDescent="0.25">
      <c r="A372">
        <v>155.92562100000001</v>
      </c>
      <c r="B372" s="1">
        <f>DATE(2010,10,3) + TIME(22,12,53)</f>
        <v>40454.925613425927</v>
      </c>
      <c r="C372">
        <v>80</v>
      </c>
      <c r="D372">
        <v>79.884445189999994</v>
      </c>
      <c r="E372">
        <v>50</v>
      </c>
      <c r="F372">
        <v>16.368524551</v>
      </c>
      <c r="G372">
        <v>1366.9880370999999</v>
      </c>
      <c r="H372">
        <v>1357.3696289</v>
      </c>
      <c r="I372">
        <v>1281.4888916</v>
      </c>
      <c r="J372">
        <v>1254.3410644999999</v>
      </c>
      <c r="K372">
        <v>1650</v>
      </c>
      <c r="L372">
        <v>0</v>
      </c>
      <c r="M372">
        <v>0</v>
      </c>
      <c r="N372">
        <v>1650</v>
      </c>
    </row>
    <row r="373" spans="1:14" x14ac:dyDescent="0.25">
      <c r="A373">
        <v>156.50979899999999</v>
      </c>
      <c r="B373" s="1">
        <f>DATE(2010,10,4) + TIME(12,14,6)</f>
        <v>40455.509791666664</v>
      </c>
      <c r="C373">
        <v>80</v>
      </c>
      <c r="D373">
        <v>79.884529114000003</v>
      </c>
      <c r="E373">
        <v>50</v>
      </c>
      <c r="F373">
        <v>16.434501648000001</v>
      </c>
      <c r="G373">
        <v>1366.965332</v>
      </c>
      <c r="H373">
        <v>1357.3482666</v>
      </c>
      <c r="I373">
        <v>1281.5390625</v>
      </c>
      <c r="J373">
        <v>1254.4121094</v>
      </c>
      <c r="K373">
        <v>1650</v>
      </c>
      <c r="L373">
        <v>0</v>
      </c>
      <c r="M373">
        <v>0</v>
      </c>
      <c r="N373">
        <v>1650</v>
      </c>
    </row>
    <row r="374" spans="1:14" x14ac:dyDescent="0.25">
      <c r="A374">
        <v>157.093977</v>
      </c>
      <c r="B374" s="1">
        <f>DATE(2010,10,5) + TIME(2,15,19)</f>
        <v>40456.093969907408</v>
      </c>
      <c r="C374">
        <v>80</v>
      </c>
      <c r="D374">
        <v>79.884605407999999</v>
      </c>
      <c r="E374">
        <v>50</v>
      </c>
      <c r="F374">
        <v>16.502649306999999</v>
      </c>
      <c r="G374">
        <v>1366.9425048999999</v>
      </c>
      <c r="H374">
        <v>1357.3270264</v>
      </c>
      <c r="I374">
        <v>1281.5897216999999</v>
      </c>
      <c r="J374">
        <v>1254.4848632999999</v>
      </c>
      <c r="K374">
        <v>1650</v>
      </c>
      <c r="L374">
        <v>0</v>
      </c>
      <c r="M374">
        <v>0</v>
      </c>
      <c r="N374">
        <v>1650</v>
      </c>
    </row>
    <row r="375" spans="1:14" x14ac:dyDescent="0.25">
      <c r="A375">
        <v>157.678155</v>
      </c>
      <c r="B375" s="1">
        <f>DATE(2010,10,5) + TIME(16,16,32)</f>
        <v>40456.678148148145</v>
      </c>
      <c r="C375">
        <v>80</v>
      </c>
      <c r="D375">
        <v>79.884689331000004</v>
      </c>
      <c r="E375">
        <v>50</v>
      </c>
      <c r="F375">
        <v>16.573070525999999</v>
      </c>
      <c r="G375">
        <v>1366.9197998</v>
      </c>
      <c r="H375">
        <v>1357.3056641000001</v>
      </c>
      <c r="I375">
        <v>1281.6411132999999</v>
      </c>
      <c r="J375">
        <v>1254.559082</v>
      </c>
      <c r="K375">
        <v>1650</v>
      </c>
      <c r="L375">
        <v>0</v>
      </c>
      <c r="M375">
        <v>0</v>
      </c>
      <c r="N375">
        <v>1650</v>
      </c>
    </row>
    <row r="376" spans="1:14" x14ac:dyDescent="0.25">
      <c r="A376">
        <v>158.26233300000001</v>
      </c>
      <c r="B376" s="1">
        <f>DATE(2010,10,6) + TIME(6,17,45)</f>
        <v>40457.262326388889</v>
      </c>
      <c r="C376">
        <v>80</v>
      </c>
      <c r="D376">
        <v>79.884773253999995</v>
      </c>
      <c r="E376">
        <v>50</v>
      </c>
      <c r="F376">
        <v>16.645843505999999</v>
      </c>
      <c r="G376">
        <v>1366.8972168</v>
      </c>
      <c r="H376">
        <v>1357.2844238</v>
      </c>
      <c r="I376">
        <v>1281.6928711</v>
      </c>
      <c r="J376">
        <v>1254.6351318</v>
      </c>
      <c r="K376">
        <v>1650</v>
      </c>
      <c r="L376">
        <v>0</v>
      </c>
      <c r="M376">
        <v>0</v>
      </c>
      <c r="N376">
        <v>1650</v>
      </c>
    </row>
    <row r="377" spans="1:14" x14ac:dyDescent="0.25">
      <c r="A377">
        <v>158.84650999999999</v>
      </c>
      <c r="B377" s="1">
        <f>DATE(2010,10,6) + TIME(20,18,58)</f>
        <v>40457.846504629626</v>
      </c>
      <c r="C377">
        <v>80</v>
      </c>
      <c r="D377">
        <v>79.884857178000004</v>
      </c>
      <c r="E377">
        <v>50</v>
      </c>
      <c r="F377">
        <v>16.721029282</v>
      </c>
      <c r="G377">
        <v>1366.8745117000001</v>
      </c>
      <c r="H377">
        <v>1357.2631836</v>
      </c>
      <c r="I377">
        <v>1281.7453613</v>
      </c>
      <c r="J377">
        <v>1254.7127685999999</v>
      </c>
      <c r="K377">
        <v>1650</v>
      </c>
      <c r="L377">
        <v>0</v>
      </c>
      <c r="M377">
        <v>0</v>
      </c>
      <c r="N377">
        <v>1650</v>
      </c>
    </row>
    <row r="378" spans="1:14" x14ac:dyDescent="0.25">
      <c r="A378">
        <v>159.430688</v>
      </c>
      <c r="B378" s="1">
        <f>DATE(2010,10,7) + TIME(10,20,11)</f>
        <v>40458.43068287037</v>
      </c>
      <c r="C378">
        <v>80</v>
      </c>
      <c r="D378">
        <v>79.884941100999995</v>
      </c>
      <c r="E378">
        <v>50</v>
      </c>
      <c r="F378">
        <v>16.798675537000001</v>
      </c>
      <c r="G378">
        <v>1366.8518065999999</v>
      </c>
      <c r="H378">
        <v>1357.2419434000001</v>
      </c>
      <c r="I378">
        <v>1281.7982178</v>
      </c>
      <c r="J378">
        <v>1254.7922363</v>
      </c>
      <c r="K378">
        <v>1650</v>
      </c>
      <c r="L378">
        <v>0</v>
      </c>
      <c r="M378">
        <v>0</v>
      </c>
      <c r="N378">
        <v>1650</v>
      </c>
    </row>
    <row r="379" spans="1:14" x14ac:dyDescent="0.25">
      <c r="A379">
        <v>160.01486600000001</v>
      </c>
      <c r="B379" s="1">
        <f>DATE(2010,10,8) + TIME(0,21,24)</f>
        <v>40459.014861111114</v>
      </c>
      <c r="C379">
        <v>80</v>
      </c>
      <c r="D379">
        <v>79.885025024000001</v>
      </c>
      <c r="E379">
        <v>50</v>
      </c>
      <c r="F379">
        <v>16.878801345999999</v>
      </c>
      <c r="G379">
        <v>1366.8292236</v>
      </c>
      <c r="H379">
        <v>1357.2207031</v>
      </c>
      <c r="I379">
        <v>1281.8516846</v>
      </c>
      <c r="J379">
        <v>1254.8734131000001</v>
      </c>
      <c r="K379">
        <v>1650</v>
      </c>
      <c r="L379">
        <v>0</v>
      </c>
      <c r="M379">
        <v>0</v>
      </c>
      <c r="N379">
        <v>1650</v>
      </c>
    </row>
    <row r="380" spans="1:14" x14ac:dyDescent="0.25">
      <c r="A380">
        <v>160.59904399999999</v>
      </c>
      <c r="B380" s="1">
        <f>DATE(2010,10,8) + TIME(14,22,37)</f>
        <v>40459.599039351851</v>
      </c>
      <c r="C380">
        <v>80</v>
      </c>
      <c r="D380">
        <v>79.885108947999996</v>
      </c>
      <c r="E380">
        <v>50</v>
      </c>
      <c r="F380">
        <v>16.96144104</v>
      </c>
      <c r="G380">
        <v>1366.8066406</v>
      </c>
      <c r="H380">
        <v>1357.1994629000001</v>
      </c>
      <c r="I380">
        <v>1281.9056396000001</v>
      </c>
      <c r="J380">
        <v>1254.9564209</v>
      </c>
      <c r="K380">
        <v>1650</v>
      </c>
      <c r="L380">
        <v>0</v>
      </c>
      <c r="M380">
        <v>0</v>
      </c>
      <c r="N380">
        <v>1650</v>
      </c>
    </row>
    <row r="381" spans="1:14" x14ac:dyDescent="0.25">
      <c r="A381">
        <v>161.183222</v>
      </c>
      <c r="B381" s="1">
        <f>DATE(2010,10,9) + TIME(4,23,50)</f>
        <v>40460.183217592596</v>
      </c>
      <c r="C381">
        <v>80</v>
      </c>
      <c r="D381">
        <v>79.885192871000001</v>
      </c>
      <c r="E381">
        <v>50</v>
      </c>
      <c r="F381">
        <v>17.046625136999999</v>
      </c>
      <c r="G381">
        <v>1366.7840576000001</v>
      </c>
      <c r="H381">
        <v>1357.1782227000001</v>
      </c>
      <c r="I381">
        <v>1281.9602050999999</v>
      </c>
      <c r="J381">
        <v>1255.0411377</v>
      </c>
      <c r="K381">
        <v>1650</v>
      </c>
      <c r="L381">
        <v>0</v>
      </c>
      <c r="M381">
        <v>0</v>
      </c>
      <c r="N381">
        <v>1650</v>
      </c>
    </row>
    <row r="382" spans="1:14" x14ac:dyDescent="0.25">
      <c r="A382">
        <v>162.35157799999999</v>
      </c>
      <c r="B382" s="1">
        <f>DATE(2010,10,10) + TIME(8,26,16)</f>
        <v>40461.351574074077</v>
      </c>
      <c r="C382">
        <v>80</v>
      </c>
      <c r="D382">
        <v>79.885368346999996</v>
      </c>
      <c r="E382">
        <v>50</v>
      </c>
      <c r="F382">
        <v>17.179195404000001</v>
      </c>
      <c r="G382">
        <v>1366.7617187999999</v>
      </c>
      <c r="H382">
        <v>1357.1572266000001</v>
      </c>
      <c r="I382">
        <v>1282.0048827999999</v>
      </c>
      <c r="J382">
        <v>1255.1419678</v>
      </c>
      <c r="K382">
        <v>1650</v>
      </c>
      <c r="L382">
        <v>0</v>
      </c>
      <c r="M382">
        <v>0</v>
      </c>
      <c r="N382">
        <v>1650</v>
      </c>
    </row>
    <row r="383" spans="1:14" x14ac:dyDescent="0.25">
      <c r="A383">
        <v>163.523111</v>
      </c>
      <c r="B383" s="1">
        <f>DATE(2010,10,11) + TIME(12,33,16)</f>
        <v>40462.523101851853</v>
      </c>
      <c r="C383">
        <v>80</v>
      </c>
      <c r="D383">
        <v>79.885536193999997</v>
      </c>
      <c r="E383">
        <v>50</v>
      </c>
      <c r="F383">
        <v>17.340946198000001</v>
      </c>
      <c r="G383">
        <v>1366.7170410000001</v>
      </c>
      <c r="H383">
        <v>1357.1152344</v>
      </c>
      <c r="I383">
        <v>1282.1195068</v>
      </c>
      <c r="J383">
        <v>1255.3115233999999</v>
      </c>
      <c r="K383">
        <v>1650</v>
      </c>
      <c r="L383">
        <v>0</v>
      </c>
      <c r="M383">
        <v>0</v>
      </c>
      <c r="N383">
        <v>1650</v>
      </c>
    </row>
    <row r="384" spans="1:14" x14ac:dyDescent="0.25">
      <c r="A384">
        <v>164.724492</v>
      </c>
      <c r="B384" s="1">
        <f>DATE(2010,10,12) + TIME(17,23,16)</f>
        <v>40463.724490740744</v>
      </c>
      <c r="C384">
        <v>80</v>
      </c>
      <c r="D384">
        <v>79.885704040999997</v>
      </c>
      <c r="E384">
        <v>50</v>
      </c>
      <c r="F384">
        <v>17.525150299</v>
      </c>
      <c r="G384">
        <v>1366.6719971</v>
      </c>
      <c r="H384">
        <v>1357.0729980000001</v>
      </c>
      <c r="I384">
        <v>1282.2340088000001</v>
      </c>
      <c r="J384">
        <v>1255.4929199000001</v>
      </c>
      <c r="K384">
        <v>1650</v>
      </c>
      <c r="L384">
        <v>0</v>
      </c>
      <c r="M384">
        <v>0</v>
      </c>
      <c r="N384">
        <v>1650</v>
      </c>
    </row>
    <row r="385" spans="1:14" x14ac:dyDescent="0.25">
      <c r="A385">
        <v>165.95710099999999</v>
      </c>
      <c r="B385" s="1">
        <f>DATE(2010,10,13) + TIME(22,58,13)</f>
        <v>40464.957094907404</v>
      </c>
      <c r="C385">
        <v>80</v>
      </c>
      <c r="D385">
        <v>79.885879517000006</v>
      </c>
      <c r="E385">
        <v>50</v>
      </c>
      <c r="F385">
        <v>17.729091644</v>
      </c>
      <c r="G385">
        <v>1366.6260986</v>
      </c>
      <c r="H385">
        <v>1357.0297852000001</v>
      </c>
      <c r="I385">
        <v>1282.3524170000001</v>
      </c>
      <c r="J385">
        <v>1255.6878661999999</v>
      </c>
      <c r="K385">
        <v>1650</v>
      </c>
      <c r="L385">
        <v>0</v>
      </c>
      <c r="M385">
        <v>0</v>
      </c>
      <c r="N385">
        <v>1650</v>
      </c>
    </row>
    <row r="386" spans="1:14" x14ac:dyDescent="0.25">
      <c r="A386">
        <v>167.203577</v>
      </c>
      <c r="B386" s="1">
        <f>DATE(2010,10,15) + TIME(4,53,9)</f>
        <v>40466.203576388885</v>
      </c>
      <c r="C386">
        <v>80</v>
      </c>
      <c r="D386">
        <v>79.886054993000002</v>
      </c>
      <c r="E386">
        <v>50</v>
      </c>
      <c r="F386">
        <v>17.950149536000001</v>
      </c>
      <c r="G386">
        <v>1366.5791016000001</v>
      </c>
      <c r="H386">
        <v>1356.9854736</v>
      </c>
      <c r="I386">
        <v>1282.4757079999999</v>
      </c>
      <c r="J386">
        <v>1255.8957519999999</v>
      </c>
      <c r="K386">
        <v>1650</v>
      </c>
      <c r="L386">
        <v>0</v>
      </c>
      <c r="M386">
        <v>0</v>
      </c>
      <c r="N386">
        <v>1650</v>
      </c>
    </row>
    <row r="387" spans="1:14" x14ac:dyDescent="0.25">
      <c r="A387">
        <v>168.450613</v>
      </c>
      <c r="B387" s="1">
        <f>DATE(2010,10,16) + TIME(10,48,52)</f>
        <v>40467.450601851851</v>
      </c>
      <c r="C387">
        <v>80</v>
      </c>
      <c r="D387">
        <v>79.886230468999997</v>
      </c>
      <c r="E387">
        <v>50</v>
      </c>
      <c r="F387">
        <v>18.185621262000002</v>
      </c>
      <c r="G387">
        <v>1366.5317382999999</v>
      </c>
      <c r="H387">
        <v>1356.9407959</v>
      </c>
      <c r="I387">
        <v>1282.6022949000001</v>
      </c>
      <c r="J387">
        <v>1256.1141356999999</v>
      </c>
      <c r="K387">
        <v>1650</v>
      </c>
      <c r="L387">
        <v>0</v>
      </c>
      <c r="M387">
        <v>0</v>
      </c>
      <c r="N387">
        <v>1650</v>
      </c>
    </row>
    <row r="388" spans="1:14" x14ac:dyDescent="0.25">
      <c r="A388">
        <v>169.704958</v>
      </c>
      <c r="B388" s="1">
        <f>DATE(2010,10,17) + TIME(16,55,8)</f>
        <v>40468.704953703702</v>
      </c>
      <c r="C388">
        <v>80</v>
      </c>
      <c r="D388">
        <v>79.886405945000007</v>
      </c>
      <c r="E388">
        <v>50</v>
      </c>
      <c r="F388">
        <v>18.434473038</v>
      </c>
      <c r="G388">
        <v>1366.4844971</v>
      </c>
      <c r="H388">
        <v>1356.8963623</v>
      </c>
      <c r="I388">
        <v>1282.7304687999999</v>
      </c>
      <c r="J388">
        <v>1256.3410644999999</v>
      </c>
      <c r="K388">
        <v>1650</v>
      </c>
      <c r="L388">
        <v>0</v>
      </c>
      <c r="M388">
        <v>0</v>
      </c>
      <c r="N388">
        <v>1650</v>
      </c>
    </row>
    <row r="389" spans="1:14" x14ac:dyDescent="0.25">
      <c r="A389">
        <v>170.97115500000001</v>
      </c>
      <c r="B389" s="1">
        <f>DATE(2010,10,18) + TIME(23,18,27)</f>
        <v>40469.971145833333</v>
      </c>
      <c r="C389">
        <v>80</v>
      </c>
      <c r="D389">
        <v>79.886581421000002</v>
      </c>
      <c r="E389">
        <v>50</v>
      </c>
      <c r="F389">
        <v>18.696548461999999</v>
      </c>
      <c r="G389">
        <v>1366.4371338000001</v>
      </c>
      <c r="H389">
        <v>1356.8516846</v>
      </c>
      <c r="I389">
        <v>1282.8610839999999</v>
      </c>
      <c r="J389">
        <v>1256.5772704999999</v>
      </c>
      <c r="K389">
        <v>1650</v>
      </c>
      <c r="L389">
        <v>0</v>
      </c>
      <c r="M389">
        <v>0</v>
      </c>
      <c r="N389">
        <v>1650</v>
      </c>
    </row>
    <row r="390" spans="1:14" x14ac:dyDescent="0.25">
      <c r="A390">
        <v>172.24266700000001</v>
      </c>
      <c r="B390" s="1">
        <f>DATE(2010,10,20) + TIME(5,49,26)</f>
        <v>40471.242662037039</v>
      </c>
      <c r="C390">
        <v>80</v>
      </c>
      <c r="D390">
        <v>79.886756896999998</v>
      </c>
      <c r="E390">
        <v>50</v>
      </c>
      <c r="F390">
        <v>18.970962524000001</v>
      </c>
      <c r="G390">
        <v>1366.3896483999999</v>
      </c>
      <c r="H390">
        <v>1356.8068848</v>
      </c>
      <c r="I390">
        <v>1282.9948730000001</v>
      </c>
      <c r="J390">
        <v>1256.8229980000001</v>
      </c>
      <c r="K390">
        <v>1650</v>
      </c>
      <c r="L390">
        <v>0</v>
      </c>
      <c r="M390">
        <v>0</v>
      </c>
      <c r="N390">
        <v>1650</v>
      </c>
    </row>
    <row r="391" spans="1:14" x14ac:dyDescent="0.25">
      <c r="A391">
        <v>173.52243799999999</v>
      </c>
      <c r="B391" s="1">
        <f>DATE(2010,10,21) + TIME(12,32,18)</f>
        <v>40472.522430555553</v>
      </c>
      <c r="C391">
        <v>80</v>
      </c>
      <c r="D391">
        <v>79.886940002000003</v>
      </c>
      <c r="E391">
        <v>50</v>
      </c>
      <c r="F391">
        <v>19.257131576999999</v>
      </c>
      <c r="G391">
        <v>1366.3420410000001</v>
      </c>
      <c r="H391">
        <v>1356.7620850000001</v>
      </c>
      <c r="I391">
        <v>1283.1309814000001</v>
      </c>
      <c r="J391">
        <v>1257.0771483999999</v>
      </c>
      <c r="K391">
        <v>1650</v>
      </c>
      <c r="L391">
        <v>0</v>
      </c>
      <c r="M391">
        <v>0</v>
      </c>
      <c r="N391">
        <v>1650</v>
      </c>
    </row>
    <row r="392" spans="1:14" x14ac:dyDescent="0.25">
      <c r="A392">
        <v>174.814178</v>
      </c>
      <c r="B392" s="1">
        <f>DATE(2010,10,22) + TIME(19,32,24)</f>
        <v>40473.814166666663</v>
      </c>
      <c r="C392">
        <v>80</v>
      </c>
      <c r="D392">
        <v>79.887115479000002</v>
      </c>
      <c r="E392">
        <v>50</v>
      </c>
      <c r="F392">
        <v>19.555028915000001</v>
      </c>
      <c r="G392">
        <v>1366.2945557</v>
      </c>
      <c r="H392">
        <v>1356.7171631000001</v>
      </c>
      <c r="I392">
        <v>1283.2697754000001</v>
      </c>
      <c r="J392">
        <v>1257.340332</v>
      </c>
      <c r="K392">
        <v>1650</v>
      </c>
      <c r="L392">
        <v>0</v>
      </c>
      <c r="M392">
        <v>0</v>
      </c>
      <c r="N392">
        <v>1650</v>
      </c>
    </row>
    <row r="393" spans="1:14" x14ac:dyDescent="0.25">
      <c r="A393">
        <v>176.12169800000001</v>
      </c>
      <c r="B393" s="1">
        <f>DATE(2010,10,24) + TIME(2,55,14)</f>
        <v>40475.121689814812</v>
      </c>
      <c r="C393">
        <v>80</v>
      </c>
      <c r="D393">
        <v>79.887298584000007</v>
      </c>
      <c r="E393">
        <v>50</v>
      </c>
      <c r="F393">
        <v>19.864807128999999</v>
      </c>
      <c r="G393">
        <v>1366.2468262</v>
      </c>
      <c r="H393">
        <v>1356.6721190999999</v>
      </c>
      <c r="I393">
        <v>1283.4116211</v>
      </c>
      <c r="J393">
        <v>1257.6126709</v>
      </c>
      <c r="K393">
        <v>1650</v>
      </c>
      <c r="L393">
        <v>0</v>
      </c>
      <c r="M393">
        <v>0</v>
      </c>
      <c r="N393">
        <v>1650</v>
      </c>
    </row>
    <row r="394" spans="1:14" x14ac:dyDescent="0.25">
      <c r="A394">
        <v>177.44887700000001</v>
      </c>
      <c r="B394" s="1">
        <f>DATE(2010,10,25) + TIME(10,46,22)</f>
        <v>40476.448865740742</v>
      </c>
      <c r="C394">
        <v>80</v>
      </c>
      <c r="D394">
        <v>79.887481688999998</v>
      </c>
      <c r="E394">
        <v>50</v>
      </c>
      <c r="F394">
        <v>20.186973571999999</v>
      </c>
      <c r="G394">
        <v>1366.1987305</v>
      </c>
      <c r="H394">
        <v>1356.6268310999999</v>
      </c>
      <c r="I394">
        <v>1283.5567627</v>
      </c>
      <c r="J394">
        <v>1257.8948975000001</v>
      </c>
      <c r="K394">
        <v>1650</v>
      </c>
      <c r="L394">
        <v>0</v>
      </c>
      <c r="M394">
        <v>0</v>
      </c>
      <c r="N394">
        <v>1650</v>
      </c>
    </row>
    <row r="395" spans="1:14" x14ac:dyDescent="0.25">
      <c r="A395">
        <v>178.79644500000001</v>
      </c>
      <c r="B395" s="1">
        <f>DATE(2010,10,26) + TIME(19,6,52)</f>
        <v>40477.796435185184</v>
      </c>
      <c r="C395">
        <v>80</v>
      </c>
      <c r="D395">
        <v>79.887664795000006</v>
      </c>
      <c r="E395">
        <v>50</v>
      </c>
      <c r="F395">
        <v>20.521442412999999</v>
      </c>
      <c r="G395">
        <v>1366.1503906</v>
      </c>
      <c r="H395">
        <v>1356.5810547000001</v>
      </c>
      <c r="I395">
        <v>1283.7058105000001</v>
      </c>
      <c r="J395">
        <v>1258.1873779</v>
      </c>
      <c r="K395">
        <v>1650</v>
      </c>
      <c r="L395">
        <v>0</v>
      </c>
      <c r="M395">
        <v>0</v>
      </c>
      <c r="N395">
        <v>1650</v>
      </c>
    </row>
    <row r="396" spans="1:14" x14ac:dyDescent="0.25">
      <c r="A396">
        <v>180.15945099999999</v>
      </c>
      <c r="B396" s="1">
        <f>DATE(2010,10,28) + TIME(3,49,36)</f>
        <v>40479.159444444442</v>
      </c>
      <c r="C396">
        <v>80</v>
      </c>
      <c r="D396">
        <v>79.887855529999996</v>
      </c>
      <c r="E396">
        <v>50</v>
      </c>
      <c r="F396">
        <v>20.867044449000002</v>
      </c>
      <c r="G396">
        <v>1366.1016846</v>
      </c>
      <c r="H396">
        <v>1356.5351562000001</v>
      </c>
      <c r="I396">
        <v>1283.8591309000001</v>
      </c>
      <c r="J396">
        <v>1258.4898682</v>
      </c>
      <c r="K396">
        <v>1650</v>
      </c>
      <c r="L396">
        <v>0</v>
      </c>
      <c r="M396">
        <v>0</v>
      </c>
      <c r="N396">
        <v>1650</v>
      </c>
    </row>
    <row r="397" spans="1:14" x14ac:dyDescent="0.25">
      <c r="A397">
        <v>181.54156800000001</v>
      </c>
      <c r="B397" s="1">
        <f>DATE(2010,10,29) + TIME(12,59,51)</f>
        <v>40480.541562500002</v>
      </c>
      <c r="C397">
        <v>80</v>
      </c>
      <c r="D397">
        <v>79.888038635000001</v>
      </c>
      <c r="E397">
        <v>50</v>
      </c>
      <c r="F397">
        <v>21.223140717</v>
      </c>
      <c r="G397">
        <v>1366.0528564000001</v>
      </c>
      <c r="H397">
        <v>1356.4890137</v>
      </c>
      <c r="I397">
        <v>1284.0157471</v>
      </c>
      <c r="J397">
        <v>1258.8012695</v>
      </c>
      <c r="K397">
        <v>1650</v>
      </c>
      <c r="L397">
        <v>0</v>
      </c>
      <c r="M397">
        <v>0</v>
      </c>
      <c r="N397">
        <v>1650</v>
      </c>
    </row>
    <row r="398" spans="1:14" x14ac:dyDescent="0.25">
      <c r="A398">
        <v>182.946369</v>
      </c>
      <c r="B398" s="1">
        <f>DATE(2010,10,30) + TIME(22,42,46)</f>
        <v>40481.94636574074</v>
      </c>
      <c r="C398">
        <v>80</v>
      </c>
      <c r="D398">
        <v>79.888229370000005</v>
      </c>
      <c r="E398">
        <v>50</v>
      </c>
      <c r="F398">
        <v>21.589450836000001</v>
      </c>
      <c r="G398">
        <v>1366.0037841999999</v>
      </c>
      <c r="H398">
        <v>1356.4426269999999</v>
      </c>
      <c r="I398">
        <v>1284.1761475000001</v>
      </c>
      <c r="J398">
        <v>1259.1219481999999</v>
      </c>
      <c r="K398">
        <v>1650</v>
      </c>
      <c r="L398">
        <v>0</v>
      </c>
      <c r="M398">
        <v>0</v>
      </c>
      <c r="N398">
        <v>1650</v>
      </c>
    </row>
    <row r="399" spans="1:14" x14ac:dyDescent="0.25">
      <c r="A399">
        <v>184</v>
      </c>
      <c r="B399" s="1">
        <f>DATE(2010,11,1) + TIME(0,0,0)</f>
        <v>40483</v>
      </c>
      <c r="C399">
        <v>80</v>
      </c>
      <c r="D399">
        <v>79.888374329000001</v>
      </c>
      <c r="E399">
        <v>50</v>
      </c>
      <c r="F399">
        <v>21.913852691999999</v>
      </c>
      <c r="G399">
        <v>1365.9544678</v>
      </c>
      <c r="H399">
        <v>1356.3961182</v>
      </c>
      <c r="I399">
        <v>1284.3479004000001</v>
      </c>
      <c r="J399">
        <v>1259.4326172000001</v>
      </c>
      <c r="K399">
        <v>1650</v>
      </c>
      <c r="L399">
        <v>0</v>
      </c>
      <c r="M399">
        <v>0</v>
      </c>
      <c r="N399">
        <v>1650</v>
      </c>
    </row>
    <row r="400" spans="1:14" x14ac:dyDescent="0.25">
      <c r="A400">
        <v>184.000001</v>
      </c>
      <c r="B400" s="1">
        <f>DATE(2010,11,1) + TIME(0,0,0)</f>
        <v>40483</v>
      </c>
      <c r="C400">
        <v>80</v>
      </c>
      <c r="D400">
        <v>79.888282775999997</v>
      </c>
      <c r="E400">
        <v>50</v>
      </c>
      <c r="F400">
        <v>21.913949966000001</v>
      </c>
      <c r="G400">
        <v>1355.7971190999999</v>
      </c>
      <c r="H400">
        <v>1347.9487305</v>
      </c>
      <c r="I400">
        <v>1309.7193603999999</v>
      </c>
      <c r="J400">
        <v>1285.0054932</v>
      </c>
      <c r="K400">
        <v>0</v>
      </c>
      <c r="L400">
        <v>1650</v>
      </c>
      <c r="M400">
        <v>1650</v>
      </c>
      <c r="N400">
        <v>0</v>
      </c>
    </row>
    <row r="401" spans="1:14" x14ac:dyDescent="0.25">
      <c r="A401">
        <v>184.00000399999999</v>
      </c>
      <c r="B401" s="1">
        <f>DATE(2010,11,1) + TIME(0,0,0)</f>
        <v>40483</v>
      </c>
      <c r="C401">
        <v>80</v>
      </c>
      <c r="D401">
        <v>79.888069153000004</v>
      </c>
      <c r="E401">
        <v>50</v>
      </c>
      <c r="F401">
        <v>21.91422081</v>
      </c>
      <c r="G401">
        <v>1354.2834473</v>
      </c>
      <c r="H401">
        <v>1346.434082</v>
      </c>
      <c r="I401">
        <v>1311.4237060999999</v>
      </c>
      <c r="J401">
        <v>1286.8421631000001</v>
      </c>
      <c r="K401">
        <v>0</v>
      </c>
      <c r="L401">
        <v>1650</v>
      </c>
      <c r="M401">
        <v>1650</v>
      </c>
      <c r="N401">
        <v>0</v>
      </c>
    </row>
    <row r="402" spans="1:14" x14ac:dyDescent="0.25">
      <c r="A402">
        <v>184.000013</v>
      </c>
      <c r="B402" s="1">
        <f>DATE(2010,11,1) + TIME(0,0,1)</f>
        <v>40483.000011574077</v>
      </c>
      <c r="C402">
        <v>80</v>
      </c>
      <c r="D402">
        <v>79.887634277000004</v>
      </c>
      <c r="E402">
        <v>50</v>
      </c>
      <c r="F402">
        <v>21.914928436</v>
      </c>
      <c r="G402">
        <v>1351.2270507999999</v>
      </c>
      <c r="H402">
        <v>1343.3767089999999</v>
      </c>
      <c r="I402">
        <v>1315.7249756000001</v>
      </c>
      <c r="J402">
        <v>1291.4068603999999</v>
      </c>
      <c r="K402">
        <v>0</v>
      </c>
      <c r="L402">
        <v>1650</v>
      </c>
      <c r="M402">
        <v>1650</v>
      </c>
      <c r="N402">
        <v>0</v>
      </c>
    </row>
    <row r="403" spans="1:14" x14ac:dyDescent="0.25">
      <c r="A403">
        <v>184.00004000000001</v>
      </c>
      <c r="B403" s="1">
        <f>DATE(2010,11,1) + TIME(0,0,3)</f>
        <v>40483.000034722223</v>
      </c>
      <c r="C403">
        <v>80</v>
      </c>
      <c r="D403">
        <v>79.887001037999994</v>
      </c>
      <c r="E403">
        <v>50</v>
      </c>
      <c r="F403">
        <v>21.916536331</v>
      </c>
      <c r="G403">
        <v>1346.7606201000001</v>
      </c>
      <c r="H403">
        <v>1338.9112548999999</v>
      </c>
      <c r="I403">
        <v>1324.4072266000001</v>
      </c>
      <c r="J403">
        <v>1300.3937988</v>
      </c>
      <c r="K403">
        <v>0</v>
      </c>
      <c r="L403">
        <v>1650</v>
      </c>
      <c r="M403">
        <v>1650</v>
      </c>
      <c r="N403">
        <v>0</v>
      </c>
    </row>
    <row r="404" spans="1:14" x14ac:dyDescent="0.25">
      <c r="A404">
        <v>184.00012100000001</v>
      </c>
      <c r="B404" s="1">
        <f>DATE(2010,11,1) + TIME(0,0,10)</f>
        <v>40483.000115740739</v>
      </c>
      <c r="C404">
        <v>80</v>
      </c>
      <c r="D404">
        <v>79.886268615999995</v>
      </c>
      <c r="E404">
        <v>50</v>
      </c>
      <c r="F404">
        <v>21.919788360999998</v>
      </c>
      <c r="G404">
        <v>1341.7775879000001</v>
      </c>
      <c r="H404">
        <v>1333.9390868999999</v>
      </c>
      <c r="I404">
        <v>1337.0567627</v>
      </c>
      <c r="J404">
        <v>1313.1098632999999</v>
      </c>
      <c r="K404">
        <v>0</v>
      </c>
      <c r="L404">
        <v>1650</v>
      </c>
      <c r="M404">
        <v>1650</v>
      </c>
      <c r="N404">
        <v>0</v>
      </c>
    </row>
    <row r="405" spans="1:14" x14ac:dyDescent="0.25">
      <c r="A405">
        <v>184.00036399999999</v>
      </c>
      <c r="B405" s="1">
        <f>DATE(2010,11,1) + TIME(0,0,31)</f>
        <v>40483.000358796293</v>
      </c>
      <c r="C405">
        <v>80</v>
      </c>
      <c r="D405">
        <v>79.885467528999996</v>
      </c>
      <c r="E405">
        <v>50</v>
      </c>
      <c r="F405">
        <v>21.926954268999999</v>
      </c>
      <c r="G405">
        <v>1336.7518310999999</v>
      </c>
      <c r="H405">
        <v>1328.9210204999999</v>
      </c>
      <c r="I405">
        <v>1351.1796875</v>
      </c>
      <c r="J405">
        <v>1327.2011719</v>
      </c>
      <c r="K405">
        <v>0</v>
      </c>
      <c r="L405">
        <v>1650</v>
      </c>
      <c r="M405">
        <v>1650</v>
      </c>
      <c r="N405">
        <v>0</v>
      </c>
    </row>
    <row r="406" spans="1:14" x14ac:dyDescent="0.25">
      <c r="A406">
        <v>184.001093</v>
      </c>
      <c r="B406" s="1">
        <f>DATE(2010,11,1) + TIME(0,1,34)</f>
        <v>40483.001087962963</v>
      </c>
      <c r="C406">
        <v>80</v>
      </c>
      <c r="D406">
        <v>79.884483337000006</v>
      </c>
      <c r="E406">
        <v>50</v>
      </c>
      <c r="F406">
        <v>21.945421219</v>
      </c>
      <c r="G406">
        <v>1331.5795897999999</v>
      </c>
      <c r="H406">
        <v>1323.7132568</v>
      </c>
      <c r="I406">
        <v>1365.3480225000001</v>
      </c>
      <c r="J406">
        <v>1341.3638916</v>
      </c>
      <c r="K406">
        <v>0</v>
      </c>
      <c r="L406">
        <v>1650</v>
      </c>
      <c r="M406">
        <v>1650</v>
      </c>
      <c r="N406">
        <v>0</v>
      </c>
    </row>
    <row r="407" spans="1:14" x14ac:dyDescent="0.25">
      <c r="A407">
        <v>184.00327999999999</v>
      </c>
      <c r="B407" s="1">
        <f>DATE(2010,11,1) + TIME(0,4,43)</f>
        <v>40483.003275462965</v>
      </c>
      <c r="C407">
        <v>80</v>
      </c>
      <c r="D407">
        <v>79.882896423000005</v>
      </c>
      <c r="E407">
        <v>50</v>
      </c>
      <c r="F407">
        <v>21.997728347999999</v>
      </c>
      <c r="G407">
        <v>1325.8847656</v>
      </c>
      <c r="H407">
        <v>1317.9067382999999</v>
      </c>
      <c r="I407">
        <v>1378.8881836</v>
      </c>
      <c r="J407">
        <v>1354.8719481999999</v>
      </c>
      <c r="K407">
        <v>0</v>
      </c>
      <c r="L407">
        <v>1650</v>
      </c>
      <c r="M407">
        <v>1650</v>
      </c>
      <c r="N407">
        <v>0</v>
      </c>
    </row>
    <row r="408" spans="1:14" x14ac:dyDescent="0.25">
      <c r="A408">
        <v>184.00984099999999</v>
      </c>
      <c r="B408" s="1">
        <f>DATE(2010,11,1) + TIME(0,14,10)</f>
        <v>40483.009837962964</v>
      </c>
      <c r="C408">
        <v>80</v>
      </c>
      <c r="D408">
        <v>79.879699707</v>
      </c>
      <c r="E408">
        <v>50</v>
      </c>
      <c r="F408">
        <v>22.151536942</v>
      </c>
      <c r="G408">
        <v>1319.9055175999999</v>
      </c>
      <c r="H408">
        <v>1311.8221435999999</v>
      </c>
      <c r="I408">
        <v>1390.0931396000001</v>
      </c>
      <c r="J408">
        <v>1366.0263672000001</v>
      </c>
      <c r="K408">
        <v>0</v>
      </c>
      <c r="L408">
        <v>1650</v>
      </c>
      <c r="M408">
        <v>1650</v>
      </c>
      <c r="N408">
        <v>0</v>
      </c>
    </row>
    <row r="409" spans="1:14" x14ac:dyDescent="0.25">
      <c r="A409">
        <v>184.02952400000001</v>
      </c>
      <c r="B409" s="1">
        <f>DATE(2010,11,1) + TIME(0,42,30)</f>
        <v>40483.029513888891</v>
      </c>
      <c r="C409">
        <v>80</v>
      </c>
      <c r="D409">
        <v>79.872016907000003</v>
      </c>
      <c r="E409">
        <v>50</v>
      </c>
      <c r="F409">
        <v>22.605068206999999</v>
      </c>
      <c r="G409">
        <v>1315.0562743999999</v>
      </c>
      <c r="H409">
        <v>1306.9298096</v>
      </c>
      <c r="I409">
        <v>1396.7563477000001</v>
      </c>
      <c r="J409">
        <v>1372.8260498</v>
      </c>
      <c r="K409">
        <v>0</v>
      </c>
      <c r="L409">
        <v>1650</v>
      </c>
      <c r="M409">
        <v>1650</v>
      </c>
      <c r="N409">
        <v>0</v>
      </c>
    </row>
    <row r="410" spans="1:14" x14ac:dyDescent="0.25">
      <c r="A410">
        <v>184.06993199999999</v>
      </c>
      <c r="B410" s="1">
        <f>DATE(2010,11,1) + TIME(1,40,42)</f>
        <v>40483.069930555554</v>
      </c>
      <c r="C410">
        <v>80</v>
      </c>
      <c r="D410">
        <v>79.857620238999999</v>
      </c>
      <c r="E410">
        <v>50</v>
      </c>
      <c r="F410">
        <v>23.506378174000002</v>
      </c>
      <c r="G410">
        <v>1312.7235106999999</v>
      </c>
      <c r="H410">
        <v>1304.5864257999999</v>
      </c>
      <c r="I410">
        <v>1398.4342041</v>
      </c>
      <c r="J410">
        <v>1374.9694824000001</v>
      </c>
      <c r="K410">
        <v>0</v>
      </c>
      <c r="L410">
        <v>1650</v>
      </c>
      <c r="M410">
        <v>1650</v>
      </c>
      <c r="N410">
        <v>0</v>
      </c>
    </row>
    <row r="411" spans="1:14" x14ac:dyDescent="0.25">
      <c r="A411">
        <v>184.11159900000001</v>
      </c>
      <c r="B411" s="1">
        <f>DATE(2010,11,1) + TIME(2,40,42)</f>
        <v>40483.111597222225</v>
      </c>
      <c r="C411">
        <v>80</v>
      </c>
      <c r="D411">
        <v>79.843170165999993</v>
      </c>
      <c r="E411">
        <v>50</v>
      </c>
      <c r="F411">
        <v>24.405269622999999</v>
      </c>
      <c r="G411">
        <v>1312.0145264</v>
      </c>
      <c r="H411">
        <v>1303.8748779</v>
      </c>
      <c r="I411">
        <v>1398.1523437999999</v>
      </c>
      <c r="J411">
        <v>1375.1677245999999</v>
      </c>
      <c r="K411">
        <v>0</v>
      </c>
      <c r="L411">
        <v>1650</v>
      </c>
      <c r="M411">
        <v>1650</v>
      </c>
      <c r="N411">
        <v>0</v>
      </c>
    </row>
    <row r="412" spans="1:14" x14ac:dyDescent="0.25">
      <c r="A412">
        <v>184.154461</v>
      </c>
      <c r="B412" s="1">
        <f>DATE(2010,11,1) + TIME(3,42,25)</f>
        <v>40483.154456018521</v>
      </c>
      <c r="C412">
        <v>80</v>
      </c>
      <c r="D412">
        <v>79.828521729000002</v>
      </c>
      <c r="E412">
        <v>50</v>
      </c>
      <c r="F412">
        <v>25.298730849999998</v>
      </c>
      <c r="G412">
        <v>1311.7685547000001</v>
      </c>
      <c r="H412">
        <v>1303.6278076000001</v>
      </c>
      <c r="I412">
        <v>1397.4824219</v>
      </c>
      <c r="J412">
        <v>1374.9672852000001</v>
      </c>
      <c r="K412">
        <v>0</v>
      </c>
      <c r="L412">
        <v>1650</v>
      </c>
      <c r="M412">
        <v>1650</v>
      </c>
      <c r="N412">
        <v>0</v>
      </c>
    </row>
    <row r="413" spans="1:14" x14ac:dyDescent="0.25">
      <c r="A413">
        <v>184.19856999999999</v>
      </c>
      <c r="B413" s="1">
        <f>DATE(2010,11,1) + TIME(4,45,56)</f>
        <v>40483.198564814818</v>
      </c>
      <c r="C413">
        <v>80</v>
      </c>
      <c r="D413">
        <v>79.813644409000005</v>
      </c>
      <c r="E413">
        <v>50</v>
      </c>
      <c r="F413">
        <v>26.186340332</v>
      </c>
      <c r="G413">
        <v>1311.6750488</v>
      </c>
      <c r="H413">
        <v>1303.5336914</v>
      </c>
      <c r="I413">
        <v>1396.7597656</v>
      </c>
      <c r="J413">
        <v>1374.6966553</v>
      </c>
      <c r="K413">
        <v>0</v>
      </c>
      <c r="L413">
        <v>1650</v>
      </c>
      <c r="M413">
        <v>1650</v>
      </c>
      <c r="N413">
        <v>0</v>
      </c>
    </row>
    <row r="414" spans="1:14" x14ac:dyDescent="0.25">
      <c r="A414">
        <v>184.24400299999999</v>
      </c>
      <c r="B414" s="1">
        <f>DATE(2010,11,1) + TIME(5,51,21)</f>
        <v>40483.243993055556</v>
      </c>
      <c r="C414">
        <v>80</v>
      </c>
      <c r="D414">
        <v>79.798492432000003</v>
      </c>
      <c r="E414">
        <v>50</v>
      </c>
      <c r="F414">
        <v>27.067558289000001</v>
      </c>
      <c r="G414">
        <v>1311.6370850000001</v>
      </c>
      <c r="H414">
        <v>1303.4951172000001</v>
      </c>
      <c r="I414">
        <v>1396.0565185999999</v>
      </c>
      <c r="J414">
        <v>1374.4270019999999</v>
      </c>
      <c r="K414">
        <v>0</v>
      </c>
      <c r="L414">
        <v>1650</v>
      </c>
      <c r="M414">
        <v>1650</v>
      </c>
      <c r="N414">
        <v>0</v>
      </c>
    </row>
    <row r="415" spans="1:14" x14ac:dyDescent="0.25">
      <c r="A415">
        <v>184.29081500000001</v>
      </c>
      <c r="B415" s="1">
        <f>DATE(2010,11,1) + TIME(6,58,46)</f>
        <v>40483.290810185186</v>
      </c>
      <c r="C415">
        <v>80</v>
      </c>
      <c r="D415">
        <v>79.783058166999993</v>
      </c>
      <c r="E415">
        <v>50</v>
      </c>
      <c r="F415">
        <v>27.941717147999999</v>
      </c>
      <c r="G415">
        <v>1311.6208495999999</v>
      </c>
      <c r="H415">
        <v>1303.4783935999999</v>
      </c>
      <c r="I415">
        <v>1395.3852539</v>
      </c>
      <c r="J415">
        <v>1374.1708983999999</v>
      </c>
      <c r="K415">
        <v>0</v>
      </c>
      <c r="L415">
        <v>1650</v>
      </c>
      <c r="M415">
        <v>1650</v>
      </c>
      <c r="N415">
        <v>0</v>
      </c>
    </row>
    <row r="416" spans="1:14" x14ac:dyDescent="0.25">
      <c r="A416">
        <v>184.33913200000001</v>
      </c>
      <c r="B416" s="1">
        <f>DATE(2010,11,1) + TIME(8,8,20)</f>
        <v>40483.339120370372</v>
      </c>
      <c r="C416">
        <v>80</v>
      </c>
      <c r="D416">
        <v>79.767303467000005</v>
      </c>
      <c r="E416">
        <v>50</v>
      </c>
      <c r="F416">
        <v>28.809282303</v>
      </c>
      <c r="G416">
        <v>1311.6135254000001</v>
      </c>
      <c r="H416">
        <v>1303.4704589999999</v>
      </c>
      <c r="I416">
        <v>1394.7440185999999</v>
      </c>
      <c r="J416">
        <v>1373.9277344</v>
      </c>
      <c r="K416">
        <v>0</v>
      </c>
      <c r="L416">
        <v>1650</v>
      </c>
      <c r="M416">
        <v>1650</v>
      </c>
      <c r="N416">
        <v>0</v>
      </c>
    </row>
    <row r="417" spans="1:14" x14ac:dyDescent="0.25">
      <c r="A417">
        <v>184.389073</v>
      </c>
      <c r="B417" s="1">
        <f>DATE(2010,11,1) + TIME(9,20,15)</f>
        <v>40483.389062499999</v>
      </c>
      <c r="C417">
        <v>80</v>
      </c>
      <c r="D417">
        <v>79.751213074000006</v>
      </c>
      <c r="E417">
        <v>50</v>
      </c>
      <c r="F417">
        <v>29.670360564999999</v>
      </c>
      <c r="G417">
        <v>1311.6099853999999</v>
      </c>
      <c r="H417">
        <v>1303.4664307</v>
      </c>
      <c r="I417">
        <v>1394.1298827999999</v>
      </c>
      <c r="J417">
        <v>1373.6953125</v>
      </c>
      <c r="K417">
        <v>0</v>
      </c>
      <c r="L417">
        <v>1650</v>
      </c>
      <c r="M417">
        <v>1650</v>
      </c>
      <c r="N417">
        <v>0</v>
      </c>
    </row>
    <row r="418" spans="1:14" x14ac:dyDescent="0.25">
      <c r="A418">
        <v>184.44076200000001</v>
      </c>
      <c r="B418" s="1">
        <f>DATE(2010,11,1) + TIME(10,34,41)</f>
        <v>40483.440752314818</v>
      </c>
      <c r="C418">
        <v>80</v>
      </c>
      <c r="D418">
        <v>79.734756469999994</v>
      </c>
      <c r="E418">
        <v>50</v>
      </c>
      <c r="F418">
        <v>30.525026320999999</v>
      </c>
      <c r="G418">
        <v>1311.6079102000001</v>
      </c>
      <c r="H418">
        <v>1303.4637451000001</v>
      </c>
      <c r="I418">
        <v>1393.5402832</v>
      </c>
      <c r="J418">
        <v>1373.4718018000001</v>
      </c>
      <c r="K418">
        <v>0</v>
      </c>
      <c r="L418">
        <v>1650</v>
      </c>
      <c r="M418">
        <v>1650</v>
      </c>
      <c r="N418">
        <v>0</v>
      </c>
    </row>
    <row r="419" spans="1:14" x14ac:dyDescent="0.25">
      <c r="A419">
        <v>184.494338</v>
      </c>
      <c r="B419" s="1">
        <f>DATE(2010,11,1) + TIME(11,51,50)</f>
        <v>40483.494328703702</v>
      </c>
      <c r="C419">
        <v>80</v>
      </c>
      <c r="D419">
        <v>79.717895507999998</v>
      </c>
      <c r="E419">
        <v>50</v>
      </c>
      <c r="F419">
        <v>31.373176574999999</v>
      </c>
      <c r="G419">
        <v>1311.6065673999999</v>
      </c>
      <c r="H419">
        <v>1303.4617920000001</v>
      </c>
      <c r="I419">
        <v>1392.9731445</v>
      </c>
      <c r="J419">
        <v>1373.2561035000001</v>
      </c>
      <c r="K419">
        <v>0</v>
      </c>
      <c r="L419">
        <v>1650</v>
      </c>
      <c r="M419">
        <v>1650</v>
      </c>
      <c r="N419">
        <v>0</v>
      </c>
    </row>
    <row r="420" spans="1:14" x14ac:dyDescent="0.25">
      <c r="A420">
        <v>184.54992799999999</v>
      </c>
      <c r="B420" s="1">
        <f>DATE(2010,11,1) + TIME(13,11,53)</f>
        <v>40483.54991898148</v>
      </c>
      <c r="C420">
        <v>80</v>
      </c>
      <c r="D420">
        <v>79.700607300000001</v>
      </c>
      <c r="E420">
        <v>50</v>
      </c>
      <c r="F420">
        <v>32.214279175000001</v>
      </c>
      <c r="G420">
        <v>1311.6053466999999</v>
      </c>
      <c r="H420">
        <v>1303.4599608999999</v>
      </c>
      <c r="I420">
        <v>1392.427124</v>
      </c>
      <c r="J420">
        <v>1373.0473632999999</v>
      </c>
      <c r="K420">
        <v>0</v>
      </c>
      <c r="L420">
        <v>1650</v>
      </c>
      <c r="M420">
        <v>1650</v>
      </c>
      <c r="N420">
        <v>0</v>
      </c>
    </row>
    <row r="421" spans="1:14" x14ac:dyDescent="0.25">
      <c r="A421">
        <v>184.60771500000001</v>
      </c>
      <c r="B421" s="1">
        <f>DATE(2010,11,1) + TIME(14,35,6)</f>
        <v>40483.607708333337</v>
      </c>
      <c r="C421">
        <v>80</v>
      </c>
      <c r="D421">
        <v>79.682861328000001</v>
      </c>
      <c r="E421">
        <v>50</v>
      </c>
      <c r="F421">
        <v>33.048377991000002</v>
      </c>
      <c r="G421">
        <v>1311.6040039</v>
      </c>
      <c r="H421">
        <v>1303.4581298999999</v>
      </c>
      <c r="I421">
        <v>1391.901001</v>
      </c>
      <c r="J421">
        <v>1372.8450928</v>
      </c>
      <c r="K421">
        <v>0</v>
      </c>
      <c r="L421">
        <v>1650</v>
      </c>
      <c r="M421">
        <v>1650</v>
      </c>
      <c r="N421">
        <v>0</v>
      </c>
    </row>
    <row r="422" spans="1:14" x14ac:dyDescent="0.25">
      <c r="A422">
        <v>184.667902</v>
      </c>
      <c r="B422" s="1">
        <f>DATE(2010,11,1) + TIME(16,1,46)</f>
        <v>40483.667893518519</v>
      </c>
      <c r="C422">
        <v>80</v>
      </c>
      <c r="D422">
        <v>79.664596558</v>
      </c>
      <c r="E422">
        <v>50</v>
      </c>
      <c r="F422">
        <v>33.875503539999997</v>
      </c>
      <c r="G422">
        <v>1311.6026611</v>
      </c>
      <c r="H422">
        <v>1303.4560547000001</v>
      </c>
      <c r="I422">
        <v>1391.3933105000001</v>
      </c>
      <c r="J422">
        <v>1372.6485596</v>
      </c>
      <c r="K422">
        <v>0</v>
      </c>
      <c r="L422">
        <v>1650</v>
      </c>
      <c r="M422">
        <v>1650</v>
      </c>
      <c r="N422">
        <v>0</v>
      </c>
    </row>
    <row r="423" spans="1:14" x14ac:dyDescent="0.25">
      <c r="A423">
        <v>184.73070899999999</v>
      </c>
      <c r="B423" s="1">
        <f>DATE(2010,11,1) + TIME(17,32,13)</f>
        <v>40483.730706018519</v>
      </c>
      <c r="C423">
        <v>80</v>
      </c>
      <c r="D423">
        <v>79.645782471000004</v>
      </c>
      <c r="E423">
        <v>50</v>
      </c>
      <c r="F423">
        <v>34.695472717000001</v>
      </c>
      <c r="G423">
        <v>1311.6011963000001</v>
      </c>
      <c r="H423">
        <v>1303.4539795000001</v>
      </c>
      <c r="I423">
        <v>1390.9031981999999</v>
      </c>
      <c r="J423">
        <v>1372.4571533000001</v>
      </c>
      <c r="K423">
        <v>0</v>
      </c>
      <c r="L423">
        <v>1650</v>
      </c>
      <c r="M423">
        <v>1650</v>
      </c>
      <c r="N423">
        <v>0</v>
      </c>
    </row>
    <row r="424" spans="1:14" x14ac:dyDescent="0.25">
      <c r="A424">
        <v>184.79638299999999</v>
      </c>
      <c r="B424" s="1">
        <f>DATE(2010,11,1) + TIME(19,6,47)</f>
        <v>40483.796377314815</v>
      </c>
      <c r="C424">
        <v>80</v>
      </c>
      <c r="D424">
        <v>79.626365661999998</v>
      </c>
      <c r="E424">
        <v>50</v>
      </c>
      <c r="F424">
        <v>35.508060454999999</v>
      </c>
      <c r="G424">
        <v>1311.5994873</v>
      </c>
      <c r="H424">
        <v>1303.4516602000001</v>
      </c>
      <c r="I424">
        <v>1390.4293213000001</v>
      </c>
      <c r="J424">
        <v>1372.2706298999999</v>
      </c>
      <c r="K424">
        <v>0</v>
      </c>
      <c r="L424">
        <v>1650</v>
      </c>
      <c r="M424">
        <v>1650</v>
      </c>
      <c r="N424">
        <v>0</v>
      </c>
    </row>
    <row r="425" spans="1:14" x14ac:dyDescent="0.25">
      <c r="A425">
        <v>184.86519899999999</v>
      </c>
      <c r="B425" s="1">
        <f>DATE(2010,11,1) + TIME(20,45,53)</f>
        <v>40483.86519675926</v>
      </c>
      <c r="C425">
        <v>80</v>
      </c>
      <c r="D425">
        <v>79.606277465999995</v>
      </c>
      <c r="E425">
        <v>50</v>
      </c>
      <c r="F425">
        <v>36.312915801999999</v>
      </c>
      <c r="G425">
        <v>1311.5976562000001</v>
      </c>
      <c r="H425">
        <v>1303.4490966999999</v>
      </c>
      <c r="I425">
        <v>1389.9709473</v>
      </c>
      <c r="J425">
        <v>1372.088501</v>
      </c>
      <c r="K425">
        <v>0</v>
      </c>
      <c r="L425">
        <v>1650</v>
      </c>
      <c r="M425">
        <v>1650</v>
      </c>
      <c r="N425">
        <v>0</v>
      </c>
    </row>
    <row r="426" spans="1:14" x14ac:dyDescent="0.25">
      <c r="A426">
        <v>184.937479</v>
      </c>
      <c r="B426" s="1">
        <f>DATE(2010,11,1) + TIME(22,29,58)</f>
        <v>40483.937476851854</v>
      </c>
      <c r="C426">
        <v>80</v>
      </c>
      <c r="D426">
        <v>79.585464478000006</v>
      </c>
      <c r="E426">
        <v>50</v>
      </c>
      <c r="F426">
        <v>37.109703064000001</v>
      </c>
      <c r="G426">
        <v>1311.5957031</v>
      </c>
      <c r="H426">
        <v>1303.4464111</v>
      </c>
      <c r="I426">
        <v>1389.5272216999999</v>
      </c>
      <c r="J426">
        <v>1371.9101562000001</v>
      </c>
      <c r="K426">
        <v>0</v>
      </c>
      <c r="L426">
        <v>1650</v>
      </c>
      <c r="M426">
        <v>1650</v>
      </c>
      <c r="N426">
        <v>0</v>
      </c>
    </row>
    <row r="427" spans="1:14" x14ac:dyDescent="0.25">
      <c r="A427">
        <v>185.01360600000001</v>
      </c>
      <c r="B427" s="1">
        <f>DATE(2010,11,2) + TIME(0,19,35)</f>
        <v>40484.013599537036</v>
      </c>
      <c r="C427">
        <v>80</v>
      </c>
      <c r="D427">
        <v>79.563842773000005</v>
      </c>
      <c r="E427">
        <v>50</v>
      </c>
      <c r="F427">
        <v>37.898143767999997</v>
      </c>
      <c r="G427">
        <v>1311.5935059000001</v>
      </c>
      <c r="H427">
        <v>1303.4434814000001</v>
      </c>
      <c r="I427">
        <v>1389.097168</v>
      </c>
      <c r="J427">
        <v>1371.7353516000001</v>
      </c>
      <c r="K427">
        <v>0</v>
      </c>
      <c r="L427">
        <v>1650</v>
      </c>
      <c r="M427">
        <v>1650</v>
      </c>
      <c r="N427">
        <v>0</v>
      </c>
    </row>
    <row r="428" spans="1:14" x14ac:dyDescent="0.25">
      <c r="A428">
        <v>185.09401600000001</v>
      </c>
      <c r="B428" s="1">
        <f>DATE(2010,11,2) + TIME(2,15,22)</f>
        <v>40484.094004629631</v>
      </c>
      <c r="C428">
        <v>80</v>
      </c>
      <c r="D428">
        <v>79.541320800999998</v>
      </c>
      <c r="E428">
        <v>50</v>
      </c>
      <c r="F428">
        <v>38.677799225000001</v>
      </c>
      <c r="G428">
        <v>1311.5911865</v>
      </c>
      <c r="H428">
        <v>1303.4403076000001</v>
      </c>
      <c r="I428">
        <v>1388.6798096</v>
      </c>
      <c r="J428">
        <v>1371.5633545000001</v>
      </c>
      <c r="K428">
        <v>0</v>
      </c>
      <c r="L428">
        <v>1650</v>
      </c>
      <c r="M428">
        <v>1650</v>
      </c>
      <c r="N428">
        <v>0</v>
      </c>
    </row>
    <row r="429" spans="1:14" x14ac:dyDescent="0.25">
      <c r="A429">
        <v>185.17921899999999</v>
      </c>
      <c r="B429" s="1">
        <f>DATE(2010,11,2) + TIME(4,18,4)</f>
        <v>40484.179212962961</v>
      </c>
      <c r="C429">
        <v>80</v>
      </c>
      <c r="D429">
        <v>79.517807007000002</v>
      </c>
      <c r="E429">
        <v>50</v>
      </c>
      <c r="F429">
        <v>39.448162078999999</v>
      </c>
      <c r="G429">
        <v>1311.5886230000001</v>
      </c>
      <c r="H429">
        <v>1303.4370117000001</v>
      </c>
      <c r="I429">
        <v>1388.2744141000001</v>
      </c>
      <c r="J429">
        <v>1371.3936768000001</v>
      </c>
      <c r="K429">
        <v>0</v>
      </c>
      <c r="L429">
        <v>1650</v>
      </c>
      <c r="M429">
        <v>1650</v>
      </c>
      <c r="N429">
        <v>0</v>
      </c>
    </row>
    <row r="430" spans="1:14" x14ac:dyDescent="0.25">
      <c r="A430">
        <v>185.26982100000001</v>
      </c>
      <c r="B430" s="1">
        <f>DATE(2010,11,2) + TIME(6,28,32)</f>
        <v>40484.269814814812</v>
      </c>
      <c r="C430">
        <v>80</v>
      </c>
      <c r="D430">
        <v>79.493164062000005</v>
      </c>
      <c r="E430">
        <v>50</v>
      </c>
      <c r="F430">
        <v>40.208690642999997</v>
      </c>
      <c r="G430">
        <v>1311.5858154</v>
      </c>
      <c r="H430">
        <v>1303.4333495999999</v>
      </c>
      <c r="I430">
        <v>1387.8801269999999</v>
      </c>
      <c r="J430">
        <v>1371.2260742000001</v>
      </c>
      <c r="K430">
        <v>0</v>
      </c>
      <c r="L430">
        <v>1650</v>
      </c>
      <c r="M430">
        <v>1650</v>
      </c>
      <c r="N430">
        <v>0</v>
      </c>
    </row>
    <row r="431" spans="1:14" x14ac:dyDescent="0.25">
      <c r="A431">
        <v>185.366544</v>
      </c>
      <c r="B431" s="1">
        <f>DATE(2010,11,2) + TIME(8,47,49)</f>
        <v>40484.366539351853</v>
      </c>
      <c r="C431">
        <v>80</v>
      </c>
      <c r="D431">
        <v>79.467269896999994</v>
      </c>
      <c r="E431">
        <v>50</v>
      </c>
      <c r="F431">
        <v>40.958770752</v>
      </c>
      <c r="G431">
        <v>1311.5828856999999</v>
      </c>
      <c r="H431">
        <v>1303.4295654</v>
      </c>
      <c r="I431">
        <v>1387.4960937999999</v>
      </c>
      <c r="J431">
        <v>1371.0596923999999</v>
      </c>
      <c r="K431">
        <v>0</v>
      </c>
      <c r="L431">
        <v>1650</v>
      </c>
      <c r="M431">
        <v>1650</v>
      </c>
      <c r="N431">
        <v>0</v>
      </c>
    </row>
    <row r="432" spans="1:14" x14ac:dyDescent="0.25">
      <c r="A432">
        <v>185.470259</v>
      </c>
      <c r="B432" s="1">
        <f>DATE(2010,11,2) + TIME(11,17,10)</f>
        <v>40484.470254629632</v>
      </c>
      <c r="C432">
        <v>80</v>
      </c>
      <c r="D432">
        <v>79.439941406000003</v>
      </c>
      <c r="E432">
        <v>50</v>
      </c>
      <c r="F432">
        <v>41.697471618999998</v>
      </c>
      <c r="G432">
        <v>1311.5797118999999</v>
      </c>
      <c r="H432">
        <v>1303.4254149999999</v>
      </c>
      <c r="I432">
        <v>1387.1214600000001</v>
      </c>
      <c r="J432">
        <v>1370.8941649999999</v>
      </c>
      <c r="K432">
        <v>0</v>
      </c>
      <c r="L432">
        <v>1650</v>
      </c>
      <c r="M432">
        <v>1650</v>
      </c>
      <c r="N432">
        <v>0</v>
      </c>
    </row>
    <row r="433" spans="1:14" x14ac:dyDescent="0.25">
      <c r="A433">
        <v>185.58202800000001</v>
      </c>
      <c r="B433" s="1">
        <f>DATE(2010,11,2) + TIME(13,58,7)</f>
        <v>40484.582025462965</v>
      </c>
      <c r="C433">
        <v>80</v>
      </c>
      <c r="D433">
        <v>79.410972595000004</v>
      </c>
      <c r="E433">
        <v>50</v>
      </c>
      <c r="F433">
        <v>42.423847197999997</v>
      </c>
      <c r="G433">
        <v>1311.5761719</v>
      </c>
      <c r="H433">
        <v>1303.4208983999999</v>
      </c>
      <c r="I433">
        <v>1386.7553711</v>
      </c>
      <c r="J433">
        <v>1370.7286377</v>
      </c>
      <c r="K433">
        <v>0</v>
      </c>
      <c r="L433">
        <v>1650</v>
      </c>
      <c r="M433">
        <v>1650</v>
      </c>
      <c r="N433">
        <v>0</v>
      </c>
    </row>
    <row r="434" spans="1:14" x14ac:dyDescent="0.25">
      <c r="A434">
        <v>185.70316800000001</v>
      </c>
      <c r="B434" s="1">
        <f>DATE(2010,11,2) + TIME(16,52,33)</f>
        <v>40484.703159722223</v>
      </c>
      <c r="C434">
        <v>80</v>
      </c>
      <c r="D434">
        <v>79.380119324000006</v>
      </c>
      <c r="E434">
        <v>50</v>
      </c>
      <c r="F434">
        <v>43.136772155999999</v>
      </c>
      <c r="G434">
        <v>1311.5723877</v>
      </c>
      <c r="H434">
        <v>1303.4160156</v>
      </c>
      <c r="I434">
        <v>1386.3969727000001</v>
      </c>
      <c r="J434">
        <v>1370.5626221</v>
      </c>
      <c r="K434">
        <v>0</v>
      </c>
      <c r="L434">
        <v>1650</v>
      </c>
      <c r="M434">
        <v>1650</v>
      </c>
      <c r="N434">
        <v>0</v>
      </c>
    </row>
    <row r="435" spans="1:14" x14ac:dyDescent="0.25">
      <c r="A435">
        <v>185.835331</v>
      </c>
      <c r="B435" s="1">
        <f>DATE(2010,11,2) + TIME(20,2,52)</f>
        <v>40484.835324074076</v>
      </c>
      <c r="C435">
        <v>80</v>
      </c>
      <c r="D435">
        <v>79.347076415999993</v>
      </c>
      <c r="E435">
        <v>50</v>
      </c>
      <c r="F435">
        <v>43.834934234999999</v>
      </c>
      <c r="G435">
        <v>1311.5682373</v>
      </c>
      <c r="H435">
        <v>1303.4107666</v>
      </c>
      <c r="I435">
        <v>1386.0452881000001</v>
      </c>
      <c r="J435">
        <v>1370.3950195</v>
      </c>
      <c r="K435">
        <v>0</v>
      </c>
      <c r="L435">
        <v>1650</v>
      </c>
      <c r="M435">
        <v>1650</v>
      </c>
      <c r="N435">
        <v>0</v>
      </c>
    </row>
    <row r="436" spans="1:14" x14ac:dyDescent="0.25">
      <c r="A436">
        <v>185.98060000000001</v>
      </c>
      <c r="B436" s="1">
        <f>DATE(2010,11,2) + TIME(23,32,3)</f>
        <v>40484.980590277781</v>
      </c>
      <c r="C436">
        <v>80</v>
      </c>
      <c r="D436">
        <v>79.311447143999999</v>
      </c>
      <c r="E436">
        <v>50</v>
      </c>
      <c r="F436">
        <v>44.516632080000001</v>
      </c>
      <c r="G436">
        <v>1311.5635986</v>
      </c>
      <c r="H436">
        <v>1303.4050293</v>
      </c>
      <c r="I436">
        <v>1385.6993408000001</v>
      </c>
      <c r="J436">
        <v>1370.2252197</v>
      </c>
      <c r="K436">
        <v>0</v>
      </c>
      <c r="L436">
        <v>1650</v>
      </c>
      <c r="M436">
        <v>1650</v>
      </c>
      <c r="N436">
        <v>0</v>
      </c>
    </row>
    <row r="437" spans="1:14" x14ac:dyDescent="0.25">
      <c r="A437">
        <v>186.141738</v>
      </c>
      <c r="B437" s="1">
        <f>DATE(2010,11,3) + TIME(3,24,6)</f>
        <v>40485.141736111109</v>
      </c>
      <c r="C437">
        <v>80</v>
      </c>
      <c r="D437">
        <v>79.272743224999999</v>
      </c>
      <c r="E437">
        <v>50</v>
      </c>
      <c r="F437">
        <v>45.180065155000001</v>
      </c>
      <c r="G437">
        <v>1311.5585937999999</v>
      </c>
      <c r="H437">
        <v>1303.3988036999999</v>
      </c>
      <c r="I437">
        <v>1385.3580322</v>
      </c>
      <c r="J437">
        <v>1370.0518798999999</v>
      </c>
      <c r="K437">
        <v>0</v>
      </c>
      <c r="L437">
        <v>1650</v>
      </c>
      <c r="M437">
        <v>1650</v>
      </c>
      <c r="N437">
        <v>0</v>
      </c>
    </row>
    <row r="438" spans="1:14" x14ac:dyDescent="0.25">
      <c r="A438">
        <v>186.31465</v>
      </c>
      <c r="B438" s="1">
        <f>DATE(2010,11,3) + TIME(7,33,5)</f>
        <v>40485.314641203702</v>
      </c>
      <c r="C438">
        <v>80</v>
      </c>
      <c r="D438">
        <v>79.231918335000003</v>
      </c>
      <c r="E438">
        <v>50</v>
      </c>
      <c r="F438">
        <v>45.798965453999998</v>
      </c>
      <c r="G438">
        <v>1311.5528564000001</v>
      </c>
      <c r="H438">
        <v>1303.3918457</v>
      </c>
      <c r="I438">
        <v>1385.0313721</v>
      </c>
      <c r="J438">
        <v>1369.8782959</v>
      </c>
      <c r="K438">
        <v>0</v>
      </c>
      <c r="L438">
        <v>1650</v>
      </c>
      <c r="M438">
        <v>1650</v>
      </c>
      <c r="N438">
        <v>0</v>
      </c>
    </row>
    <row r="439" spans="1:14" x14ac:dyDescent="0.25">
      <c r="A439">
        <v>186.48971800000001</v>
      </c>
      <c r="B439" s="1">
        <f>DATE(2010,11,3) + TIME(11,45,11)</f>
        <v>40485.489710648151</v>
      </c>
      <c r="C439">
        <v>80</v>
      </c>
      <c r="D439">
        <v>79.190979003999999</v>
      </c>
      <c r="E439">
        <v>50</v>
      </c>
      <c r="F439">
        <v>46.342731475999997</v>
      </c>
      <c r="G439">
        <v>1311.5467529</v>
      </c>
      <c r="H439">
        <v>1303.3843993999999</v>
      </c>
      <c r="I439">
        <v>1384.7326660000001</v>
      </c>
      <c r="J439">
        <v>1369.7111815999999</v>
      </c>
      <c r="K439">
        <v>0</v>
      </c>
      <c r="L439">
        <v>1650</v>
      </c>
      <c r="M439">
        <v>1650</v>
      </c>
      <c r="N439">
        <v>0</v>
      </c>
    </row>
    <row r="440" spans="1:14" x14ac:dyDescent="0.25">
      <c r="A440">
        <v>186.66766000000001</v>
      </c>
      <c r="B440" s="1">
        <f>DATE(2010,11,3) + TIME(16,1,25)</f>
        <v>40485.667650462965</v>
      </c>
      <c r="C440">
        <v>80</v>
      </c>
      <c r="D440">
        <v>79.149772643999995</v>
      </c>
      <c r="E440">
        <v>50</v>
      </c>
      <c r="F440">
        <v>46.821170807000001</v>
      </c>
      <c r="G440">
        <v>1311.5404053</v>
      </c>
      <c r="H440">
        <v>1303.3768310999999</v>
      </c>
      <c r="I440">
        <v>1384.4595947</v>
      </c>
      <c r="J440">
        <v>1369.5527344</v>
      </c>
      <c r="K440">
        <v>0</v>
      </c>
      <c r="L440">
        <v>1650</v>
      </c>
      <c r="M440">
        <v>1650</v>
      </c>
      <c r="N440">
        <v>0</v>
      </c>
    </row>
    <row r="441" spans="1:14" x14ac:dyDescent="0.25">
      <c r="A441">
        <v>186.84925000000001</v>
      </c>
      <c r="B441" s="1">
        <f>DATE(2010,11,3) + TIME(20,22,55)</f>
        <v>40485.849247685182</v>
      </c>
      <c r="C441">
        <v>80</v>
      </c>
      <c r="D441">
        <v>79.108139038000004</v>
      </c>
      <c r="E441">
        <v>50</v>
      </c>
      <c r="F441">
        <v>47.242568970000001</v>
      </c>
      <c r="G441">
        <v>1311.5339355000001</v>
      </c>
      <c r="H441">
        <v>1303.3691406</v>
      </c>
      <c r="I441">
        <v>1384.2082519999999</v>
      </c>
      <c r="J441">
        <v>1369.4013672000001</v>
      </c>
      <c r="K441">
        <v>0</v>
      </c>
      <c r="L441">
        <v>1650</v>
      </c>
      <c r="M441">
        <v>1650</v>
      </c>
      <c r="N441">
        <v>0</v>
      </c>
    </row>
    <row r="442" spans="1:14" x14ac:dyDescent="0.25">
      <c r="A442">
        <v>187.035022</v>
      </c>
      <c r="B442" s="1">
        <f>DATE(2010,11,4) + TIME(0,50,25)</f>
        <v>40486.035011574073</v>
      </c>
      <c r="C442">
        <v>80</v>
      </c>
      <c r="D442">
        <v>79.065963745000005</v>
      </c>
      <c r="E442">
        <v>50</v>
      </c>
      <c r="F442">
        <v>47.613418578999998</v>
      </c>
      <c r="G442">
        <v>1311.5272216999999</v>
      </c>
      <c r="H442">
        <v>1303.3612060999999</v>
      </c>
      <c r="I442">
        <v>1383.9752197</v>
      </c>
      <c r="J442">
        <v>1369.2559814000001</v>
      </c>
      <c r="K442">
        <v>0</v>
      </c>
      <c r="L442">
        <v>1650</v>
      </c>
      <c r="M442">
        <v>1650</v>
      </c>
      <c r="N442">
        <v>0</v>
      </c>
    </row>
    <row r="443" spans="1:14" x14ac:dyDescent="0.25">
      <c r="A443">
        <v>187.22572400000001</v>
      </c>
      <c r="B443" s="1">
        <f>DATE(2010,11,4) + TIME(5,25,2)</f>
        <v>40486.225717592592</v>
      </c>
      <c r="C443">
        <v>80</v>
      </c>
      <c r="D443">
        <v>79.023109435999999</v>
      </c>
      <c r="E443">
        <v>50</v>
      </c>
      <c r="F443">
        <v>47.939647675000003</v>
      </c>
      <c r="G443">
        <v>1311.5205077999999</v>
      </c>
      <c r="H443">
        <v>1303.3531493999999</v>
      </c>
      <c r="I443">
        <v>1383.7579346</v>
      </c>
      <c r="J443">
        <v>1369.1157227000001</v>
      </c>
      <c r="K443">
        <v>0</v>
      </c>
      <c r="L443">
        <v>1650</v>
      </c>
      <c r="M443">
        <v>1650</v>
      </c>
      <c r="N443">
        <v>0</v>
      </c>
    </row>
    <row r="444" spans="1:14" x14ac:dyDescent="0.25">
      <c r="A444">
        <v>187.42208199999999</v>
      </c>
      <c r="B444" s="1">
        <f>DATE(2010,11,4) + TIME(10,7,47)</f>
        <v>40486.422071759262</v>
      </c>
      <c r="C444">
        <v>80</v>
      </c>
      <c r="D444">
        <v>78.979431152000004</v>
      </c>
      <c r="E444">
        <v>50</v>
      </c>
      <c r="F444">
        <v>48.226264954000001</v>
      </c>
      <c r="G444">
        <v>1311.5134277</v>
      </c>
      <c r="H444">
        <v>1303.3448486</v>
      </c>
      <c r="I444">
        <v>1383.5540771000001</v>
      </c>
      <c r="J444">
        <v>1368.9796143000001</v>
      </c>
      <c r="K444">
        <v>0</v>
      </c>
      <c r="L444">
        <v>1650</v>
      </c>
      <c r="M444">
        <v>1650</v>
      </c>
      <c r="N444">
        <v>0</v>
      </c>
    </row>
    <row r="445" spans="1:14" x14ac:dyDescent="0.25">
      <c r="A445">
        <v>187.624852</v>
      </c>
      <c r="B445" s="1">
        <f>DATE(2010,11,4) + TIME(14,59,47)</f>
        <v>40486.624849537038</v>
      </c>
      <c r="C445">
        <v>80</v>
      </c>
      <c r="D445">
        <v>78.934791564999998</v>
      </c>
      <c r="E445">
        <v>50</v>
      </c>
      <c r="F445">
        <v>48.477600098000003</v>
      </c>
      <c r="G445">
        <v>1311.5062256000001</v>
      </c>
      <c r="H445">
        <v>1303.3363036999999</v>
      </c>
      <c r="I445">
        <v>1383.3616943</v>
      </c>
      <c r="J445">
        <v>1368.8470459</v>
      </c>
      <c r="K445">
        <v>0</v>
      </c>
      <c r="L445">
        <v>1650</v>
      </c>
      <c r="M445">
        <v>1650</v>
      </c>
      <c r="N445">
        <v>0</v>
      </c>
    </row>
    <row r="446" spans="1:14" x14ac:dyDescent="0.25">
      <c r="A446">
        <v>187.83498299999999</v>
      </c>
      <c r="B446" s="1">
        <f>DATE(2010,11,4) + TIME(20,2,22)</f>
        <v>40486.834976851853</v>
      </c>
      <c r="C446">
        <v>80</v>
      </c>
      <c r="D446">
        <v>78.889022827000005</v>
      </c>
      <c r="E446">
        <v>50</v>
      </c>
      <c r="F446">
        <v>48.69757843</v>
      </c>
      <c r="G446">
        <v>1311.4986572</v>
      </c>
      <c r="H446">
        <v>1303.3275146000001</v>
      </c>
      <c r="I446">
        <v>1383.1793213000001</v>
      </c>
      <c r="J446">
        <v>1368.7172852000001</v>
      </c>
      <c r="K446">
        <v>0</v>
      </c>
      <c r="L446">
        <v>1650</v>
      </c>
      <c r="M446">
        <v>1650</v>
      </c>
      <c r="N446">
        <v>0</v>
      </c>
    </row>
    <row r="447" spans="1:14" x14ac:dyDescent="0.25">
      <c r="A447">
        <v>188.05336700000001</v>
      </c>
      <c r="B447" s="1">
        <f>DATE(2010,11,5) + TIME(1,16,50)</f>
        <v>40487.053356481483</v>
      </c>
      <c r="C447">
        <v>80</v>
      </c>
      <c r="D447">
        <v>78.841957092000001</v>
      </c>
      <c r="E447">
        <v>50</v>
      </c>
      <c r="F447">
        <v>48.889511108000001</v>
      </c>
      <c r="G447">
        <v>1311.4908447</v>
      </c>
      <c r="H447">
        <v>1303.3182373</v>
      </c>
      <c r="I447">
        <v>1383.0053711</v>
      </c>
      <c r="J447">
        <v>1368.5898437999999</v>
      </c>
      <c r="K447">
        <v>0</v>
      </c>
      <c r="L447">
        <v>1650</v>
      </c>
      <c r="M447">
        <v>1650</v>
      </c>
      <c r="N447">
        <v>0</v>
      </c>
    </row>
    <row r="448" spans="1:14" x14ac:dyDescent="0.25">
      <c r="A448">
        <v>188.28110000000001</v>
      </c>
      <c r="B448" s="1">
        <f>DATE(2010,11,5) + TIME(6,44,46)</f>
        <v>40487.281087962961</v>
      </c>
      <c r="C448">
        <v>80</v>
      </c>
      <c r="D448">
        <v>78.793403624999996</v>
      </c>
      <c r="E448">
        <v>50</v>
      </c>
      <c r="F448">
        <v>49.056423187</v>
      </c>
      <c r="G448">
        <v>1311.4826660000001</v>
      </c>
      <c r="H448">
        <v>1303.3087158000001</v>
      </c>
      <c r="I448">
        <v>1382.8386230000001</v>
      </c>
      <c r="J448">
        <v>1368.4641113</v>
      </c>
      <c r="K448">
        <v>0</v>
      </c>
      <c r="L448">
        <v>1650</v>
      </c>
      <c r="M448">
        <v>1650</v>
      </c>
      <c r="N448">
        <v>0</v>
      </c>
    </row>
    <row r="449" spans="1:14" x14ac:dyDescent="0.25">
      <c r="A449">
        <v>188.51935499999999</v>
      </c>
      <c r="B449" s="1">
        <f>DATE(2010,11,5) + TIME(12,27,52)</f>
        <v>40487.51935185185</v>
      </c>
      <c r="C449">
        <v>80</v>
      </c>
      <c r="D449">
        <v>78.743171692000004</v>
      </c>
      <c r="E449">
        <v>50</v>
      </c>
      <c r="F449">
        <v>49.200977324999997</v>
      </c>
      <c r="G449">
        <v>1311.4741211</v>
      </c>
      <c r="H449">
        <v>1303.2987060999999</v>
      </c>
      <c r="I449">
        <v>1382.6778564000001</v>
      </c>
      <c r="J449">
        <v>1368.3397216999999</v>
      </c>
      <c r="K449">
        <v>0</v>
      </c>
      <c r="L449">
        <v>1650</v>
      </c>
      <c r="M449">
        <v>1650</v>
      </c>
      <c r="N449">
        <v>0</v>
      </c>
    </row>
    <row r="450" spans="1:14" x14ac:dyDescent="0.25">
      <c r="A450">
        <v>188.769418</v>
      </c>
      <c r="B450" s="1">
        <f>DATE(2010,11,5) + TIME(18,27,57)</f>
        <v>40487.769409722219</v>
      </c>
      <c r="C450">
        <v>80</v>
      </c>
      <c r="D450">
        <v>78.691055297999995</v>
      </c>
      <c r="E450">
        <v>50</v>
      </c>
      <c r="F450">
        <v>49.325553894000002</v>
      </c>
      <c r="G450">
        <v>1311.4652100000001</v>
      </c>
      <c r="H450">
        <v>1303.2882079999999</v>
      </c>
      <c r="I450">
        <v>1382.5222168</v>
      </c>
      <c r="J450">
        <v>1368.2161865</v>
      </c>
      <c r="K450">
        <v>0</v>
      </c>
      <c r="L450">
        <v>1650</v>
      </c>
      <c r="M450">
        <v>1650</v>
      </c>
      <c r="N450">
        <v>0</v>
      </c>
    </row>
    <row r="451" spans="1:14" x14ac:dyDescent="0.25">
      <c r="A451">
        <v>189.03295</v>
      </c>
      <c r="B451" s="1">
        <f>DATE(2010,11,6) + TIME(0,47,26)</f>
        <v>40488.032939814817</v>
      </c>
      <c r="C451">
        <v>80</v>
      </c>
      <c r="D451">
        <v>78.636764525999993</v>
      </c>
      <c r="E451">
        <v>50</v>
      </c>
      <c r="F451">
        <v>49.432365417</v>
      </c>
      <c r="G451">
        <v>1311.4558105000001</v>
      </c>
      <c r="H451">
        <v>1303.2770995999999</v>
      </c>
      <c r="I451">
        <v>1382.3706055</v>
      </c>
      <c r="J451">
        <v>1368.0930175999999</v>
      </c>
      <c r="K451">
        <v>0</v>
      </c>
      <c r="L451">
        <v>1650</v>
      </c>
      <c r="M451">
        <v>1650</v>
      </c>
      <c r="N451">
        <v>0</v>
      </c>
    </row>
    <row r="452" spans="1:14" x14ac:dyDescent="0.25">
      <c r="A452">
        <v>189.31199699999999</v>
      </c>
      <c r="B452" s="1">
        <f>DATE(2010,11,6) + TIME(7,29,16)</f>
        <v>40488.311990740738</v>
      </c>
      <c r="C452">
        <v>80</v>
      </c>
      <c r="D452">
        <v>78.579994201999995</v>
      </c>
      <c r="E452">
        <v>50</v>
      </c>
      <c r="F452">
        <v>49.523445129000002</v>
      </c>
      <c r="G452">
        <v>1311.4458007999999</v>
      </c>
      <c r="H452">
        <v>1303.2655029</v>
      </c>
      <c r="I452">
        <v>1382.2220459</v>
      </c>
      <c r="J452">
        <v>1367.9698486</v>
      </c>
      <c r="K452">
        <v>0</v>
      </c>
      <c r="L452">
        <v>1650</v>
      </c>
      <c r="M452">
        <v>1650</v>
      </c>
      <c r="N452">
        <v>0</v>
      </c>
    </row>
    <row r="453" spans="1:14" x14ac:dyDescent="0.25">
      <c r="A453">
        <v>189.60900699999999</v>
      </c>
      <c r="B453" s="1">
        <f>DATE(2010,11,6) + TIME(14,36,58)</f>
        <v>40488.60900462963</v>
      </c>
      <c r="C453">
        <v>80</v>
      </c>
      <c r="D453">
        <v>78.520339965999995</v>
      </c>
      <c r="E453">
        <v>50</v>
      </c>
      <c r="F453">
        <v>49.600605010999999</v>
      </c>
      <c r="G453">
        <v>1311.4351807</v>
      </c>
      <c r="H453">
        <v>1303.2530518000001</v>
      </c>
      <c r="I453">
        <v>1382.0755615</v>
      </c>
      <c r="J453">
        <v>1367.8459473</v>
      </c>
      <c r="K453">
        <v>0</v>
      </c>
      <c r="L453">
        <v>1650</v>
      </c>
      <c r="M453">
        <v>1650</v>
      </c>
      <c r="N453">
        <v>0</v>
      </c>
    </row>
    <row r="454" spans="1:14" x14ac:dyDescent="0.25">
      <c r="A454">
        <v>189.926952</v>
      </c>
      <c r="B454" s="1">
        <f>DATE(2010,11,6) + TIME(22,14,48)</f>
        <v>40488.926944444444</v>
      </c>
      <c r="C454">
        <v>80</v>
      </c>
      <c r="D454">
        <v>78.457359314000001</v>
      </c>
      <c r="E454">
        <v>50</v>
      </c>
      <c r="F454">
        <v>49.665489196999999</v>
      </c>
      <c r="G454">
        <v>1311.4238281</v>
      </c>
      <c r="H454">
        <v>1303.2398682</v>
      </c>
      <c r="I454">
        <v>1381.9302978999999</v>
      </c>
      <c r="J454">
        <v>1367.7208252</v>
      </c>
      <c r="K454">
        <v>0</v>
      </c>
      <c r="L454">
        <v>1650</v>
      </c>
      <c r="M454">
        <v>1650</v>
      </c>
      <c r="N454">
        <v>0</v>
      </c>
    </row>
    <row r="455" spans="1:14" x14ac:dyDescent="0.25">
      <c r="A455">
        <v>190.26599999999999</v>
      </c>
      <c r="B455" s="1">
        <f>DATE(2010,11,7) + TIME(6,23,2)</f>
        <v>40489.26599537037</v>
      </c>
      <c r="C455">
        <v>80</v>
      </c>
      <c r="D455">
        <v>78.391036987000007</v>
      </c>
      <c r="E455">
        <v>50</v>
      </c>
      <c r="F455">
        <v>49.719146729000002</v>
      </c>
      <c r="G455">
        <v>1311.4116211</v>
      </c>
      <c r="H455">
        <v>1303.2258300999999</v>
      </c>
      <c r="I455">
        <v>1381.7854004000001</v>
      </c>
      <c r="J455">
        <v>1367.5938721</v>
      </c>
      <c r="K455">
        <v>0</v>
      </c>
      <c r="L455">
        <v>1650</v>
      </c>
      <c r="M455">
        <v>1650</v>
      </c>
      <c r="N455">
        <v>0</v>
      </c>
    </row>
    <row r="456" spans="1:14" x14ac:dyDescent="0.25">
      <c r="A456">
        <v>190.62635299999999</v>
      </c>
      <c r="B456" s="1">
        <f>DATE(2010,11,7) + TIME(15,1,56)</f>
        <v>40489.626342592594</v>
      </c>
      <c r="C456">
        <v>80</v>
      </c>
      <c r="D456">
        <v>78.321350097999996</v>
      </c>
      <c r="E456">
        <v>50</v>
      </c>
      <c r="F456">
        <v>49.762840271000002</v>
      </c>
      <c r="G456">
        <v>1311.3986815999999</v>
      </c>
      <c r="H456">
        <v>1303.2106934000001</v>
      </c>
      <c r="I456">
        <v>1381.6411132999999</v>
      </c>
      <c r="J456">
        <v>1367.4656981999999</v>
      </c>
      <c r="K456">
        <v>0</v>
      </c>
      <c r="L456">
        <v>1650</v>
      </c>
      <c r="M456">
        <v>1650</v>
      </c>
      <c r="N456">
        <v>0</v>
      </c>
    </row>
    <row r="457" spans="1:14" x14ac:dyDescent="0.25">
      <c r="A457">
        <v>190.994182</v>
      </c>
      <c r="B457" s="1">
        <f>DATE(2010,11,7) + TIME(23,51,37)</f>
        <v>40489.99417824074</v>
      </c>
      <c r="C457">
        <v>80</v>
      </c>
      <c r="D457">
        <v>78.250381469999994</v>
      </c>
      <c r="E457">
        <v>50</v>
      </c>
      <c r="F457">
        <v>49.796913146999998</v>
      </c>
      <c r="G457">
        <v>1311.3846435999999</v>
      </c>
      <c r="H457">
        <v>1303.1945800999999</v>
      </c>
      <c r="I457">
        <v>1381.4981689000001</v>
      </c>
      <c r="J457">
        <v>1367.3369141000001</v>
      </c>
      <c r="K457">
        <v>0</v>
      </c>
      <c r="L457">
        <v>1650</v>
      </c>
      <c r="M457">
        <v>1650</v>
      </c>
      <c r="N457">
        <v>0</v>
      </c>
    </row>
    <row r="458" spans="1:14" x14ac:dyDescent="0.25">
      <c r="A458">
        <v>191.36524199999999</v>
      </c>
      <c r="B458" s="1">
        <f>DATE(2010,11,8) + TIME(8,45,56)</f>
        <v>40490.365231481483</v>
      </c>
      <c r="C458">
        <v>80</v>
      </c>
      <c r="D458">
        <v>78.178863524999997</v>
      </c>
      <c r="E458">
        <v>50</v>
      </c>
      <c r="F458">
        <v>49.823181151999997</v>
      </c>
      <c r="G458">
        <v>1311.3702393000001</v>
      </c>
      <c r="H458">
        <v>1303.1781006000001</v>
      </c>
      <c r="I458">
        <v>1381.3610839999999</v>
      </c>
      <c r="J458">
        <v>1367.2124022999999</v>
      </c>
      <c r="K458">
        <v>0</v>
      </c>
      <c r="L458">
        <v>1650</v>
      </c>
      <c r="M458">
        <v>1650</v>
      </c>
      <c r="N458">
        <v>0</v>
      </c>
    </row>
    <row r="459" spans="1:14" x14ac:dyDescent="0.25">
      <c r="A459">
        <v>191.74117100000001</v>
      </c>
      <c r="B459" s="1">
        <f>DATE(2010,11,8) + TIME(17,47,17)</f>
        <v>40490.741168981483</v>
      </c>
      <c r="C459">
        <v>80</v>
      </c>
      <c r="D459">
        <v>78.106689453000001</v>
      </c>
      <c r="E459">
        <v>50</v>
      </c>
      <c r="F459">
        <v>49.843517302999999</v>
      </c>
      <c r="G459">
        <v>1311.3557129000001</v>
      </c>
      <c r="H459">
        <v>1303.1613769999999</v>
      </c>
      <c r="I459">
        <v>1381.2307129000001</v>
      </c>
      <c r="J459">
        <v>1367.0931396000001</v>
      </c>
      <c r="K459">
        <v>0</v>
      </c>
      <c r="L459">
        <v>1650</v>
      </c>
      <c r="M459">
        <v>1650</v>
      </c>
      <c r="N459">
        <v>0</v>
      </c>
    </row>
    <row r="460" spans="1:14" x14ac:dyDescent="0.25">
      <c r="A460">
        <v>192.123355</v>
      </c>
      <c r="B460" s="1">
        <f>DATE(2010,11,9) + TIME(2,57,37)</f>
        <v>40491.123344907406</v>
      </c>
      <c r="C460">
        <v>80</v>
      </c>
      <c r="D460">
        <v>78.033737183</v>
      </c>
      <c r="E460">
        <v>50</v>
      </c>
      <c r="F460">
        <v>49.859306334999999</v>
      </c>
      <c r="G460">
        <v>1311.3409423999999</v>
      </c>
      <c r="H460">
        <v>1303.1444091999999</v>
      </c>
      <c r="I460">
        <v>1381.1057129000001</v>
      </c>
      <c r="J460">
        <v>1366.9781493999999</v>
      </c>
      <c r="K460">
        <v>0</v>
      </c>
      <c r="L460">
        <v>1650</v>
      </c>
      <c r="M460">
        <v>1650</v>
      </c>
      <c r="N460">
        <v>0</v>
      </c>
    </row>
    <row r="461" spans="1:14" x14ac:dyDescent="0.25">
      <c r="A461">
        <v>192.51322300000001</v>
      </c>
      <c r="B461" s="1">
        <f>DATE(2010,11,9) + TIME(12,19,2)</f>
        <v>40491.51321759259</v>
      </c>
      <c r="C461">
        <v>80</v>
      </c>
      <c r="D461">
        <v>77.959861755000006</v>
      </c>
      <c r="E461">
        <v>50</v>
      </c>
      <c r="F461">
        <v>49.871601105000003</v>
      </c>
      <c r="G461">
        <v>1311.3259277</v>
      </c>
      <c r="H461">
        <v>1303.1270752</v>
      </c>
      <c r="I461">
        <v>1380.9852295000001</v>
      </c>
      <c r="J461">
        <v>1366.8668213000001</v>
      </c>
      <c r="K461">
        <v>0</v>
      </c>
      <c r="L461">
        <v>1650</v>
      </c>
      <c r="M461">
        <v>1650</v>
      </c>
      <c r="N461">
        <v>0</v>
      </c>
    </row>
    <row r="462" spans="1:14" x14ac:dyDescent="0.25">
      <c r="A462">
        <v>192.91206299999999</v>
      </c>
      <c r="B462" s="1">
        <f>DATE(2010,11,9) + TIME(21,53,22)</f>
        <v>40491.912060185183</v>
      </c>
      <c r="C462">
        <v>80</v>
      </c>
      <c r="D462">
        <v>77.884918213000006</v>
      </c>
      <c r="E462">
        <v>50</v>
      </c>
      <c r="F462">
        <v>49.881195067999997</v>
      </c>
      <c r="G462">
        <v>1311.3105469</v>
      </c>
      <c r="H462">
        <v>1303.109375</v>
      </c>
      <c r="I462">
        <v>1380.8685303</v>
      </c>
      <c r="J462">
        <v>1366.7586670000001</v>
      </c>
      <c r="K462">
        <v>0</v>
      </c>
      <c r="L462">
        <v>1650</v>
      </c>
      <c r="M462">
        <v>1650</v>
      </c>
      <c r="N462">
        <v>0</v>
      </c>
    </row>
    <row r="463" spans="1:14" x14ac:dyDescent="0.25">
      <c r="A463">
        <v>193.32151300000001</v>
      </c>
      <c r="B463" s="1">
        <f>DATE(2010,11,10) + TIME(7,42,58)</f>
        <v>40492.321504629632</v>
      </c>
      <c r="C463">
        <v>80</v>
      </c>
      <c r="D463">
        <v>77.808700561999999</v>
      </c>
      <c r="E463">
        <v>50</v>
      </c>
      <c r="F463">
        <v>49.888702393000003</v>
      </c>
      <c r="G463">
        <v>1311.2947998</v>
      </c>
      <c r="H463">
        <v>1303.0911865</v>
      </c>
      <c r="I463">
        <v>1380.7547606999999</v>
      </c>
      <c r="J463">
        <v>1366.6529541</v>
      </c>
      <c r="K463">
        <v>0</v>
      </c>
      <c r="L463">
        <v>1650</v>
      </c>
      <c r="M463">
        <v>1650</v>
      </c>
      <c r="N463">
        <v>0</v>
      </c>
    </row>
    <row r="464" spans="1:14" x14ac:dyDescent="0.25">
      <c r="A464">
        <v>193.74365</v>
      </c>
      <c r="B464" s="1">
        <f>DATE(2010,11,10) + TIME(17,50,51)</f>
        <v>40492.743645833332</v>
      </c>
      <c r="C464">
        <v>80</v>
      </c>
      <c r="D464">
        <v>77.730941771999994</v>
      </c>
      <c r="E464">
        <v>50</v>
      </c>
      <c r="F464">
        <v>49.894599915000001</v>
      </c>
      <c r="G464">
        <v>1311.2785644999999</v>
      </c>
      <c r="H464">
        <v>1303.0723877</v>
      </c>
      <c r="I464">
        <v>1380.6435547000001</v>
      </c>
      <c r="J464">
        <v>1366.5494385</v>
      </c>
      <c r="K464">
        <v>0</v>
      </c>
      <c r="L464">
        <v>1650</v>
      </c>
      <c r="M464">
        <v>1650</v>
      </c>
      <c r="N464">
        <v>0</v>
      </c>
    </row>
    <row r="465" spans="1:14" x14ac:dyDescent="0.25">
      <c r="A465">
        <v>194.180746</v>
      </c>
      <c r="B465" s="1">
        <f>DATE(2010,11,11) + TIME(4,20,16)</f>
        <v>40493.18074074074</v>
      </c>
      <c r="C465">
        <v>80</v>
      </c>
      <c r="D465">
        <v>77.651344299000002</v>
      </c>
      <c r="E465">
        <v>50</v>
      </c>
      <c r="F465">
        <v>49.899246216000002</v>
      </c>
      <c r="G465">
        <v>1311.2618408000001</v>
      </c>
      <c r="H465">
        <v>1303.0528564000001</v>
      </c>
      <c r="I465">
        <v>1380.5340576000001</v>
      </c>
      <c r="J465">
        <v>1366.4475098</v>
      </c>
      <c r="K465">
        <v>0</v>
      </c>
      <c r="L465">
        <v>1650</v>
      </c>
      <c r="M465">
        <v>1650</v>
      </c>
      <c r="N465">
        <v>0</v>
      </c>
    </row>
    <row r="466" spans="1:14" x14ac:dyDescent="0.25">
      <c r="A466">
        <v>194.635356</v>
      </c>
      <c r="B466" s="1">
        <f>DATE(2010,11,11) + TIME(15,14,54)</f>
        <v>40493.635347222225</v>
      </c>
      <c r="C466">
        <v>80</v>
      </c>
      <c r="D466">
        <v>77.569557189999998</v>
      </c>
      <c r="E466">
        <v>50</v>
      </c>
      <c r="F466">
        <v>49.902927398999999</v>
      </c>
      <c r="G466">
        <v>1311.2443848</v>
      </c>
      <c r="H466">
        <v>1303.0327147999999</v>
      </c>
      <c r="I466">
        <v>1380.4259033000001</v>
      </c>
      <c r="J466">
        <v>1366.3465576000001</v>
      </c>
      <c r="K466">
        <v>0</v>
      </c>
      <c r="L466">
        <v>1650</v>
      </c>
      <c r="M466">
        <v>1650</v>
      </c>
      <c r="N466">
        <v>0</v>
      </c>
    </row>
    <row r="467" spans="1:14" x14ac:dyDescent="0.25">
      <c r="A467">
        <v>195.11041</v>
      </c>
      <c r="B467" s="1">
        <f>DATE(2010,11,12) + TIME(2,38,59)</f>
        <v>40494.110405092593</v>
      </c>
      <c r="C467">
        <v>80</v>
      </c>
      <c r="D467">
        <v>77.485206603999998</v>
      </c>
      <c r="E467">
        <v>50</v>
      </c>
      <c r="F467">
        <v>49.905860900999997</v>
      </c>
      <c r="G467">
        <v>1311.2261963000001</v>
      </c>
      <c r="H467">
        <v>1303.0115966999999</v>
      </c>
      <c r="I467">
        <v>1380.3183594</v>
      </c>
      <c r="J467">
        <v>1366.2462158000001</v>
      </c>
      <c r="K467">
        <v>0</v>
      </c>
      <c r="L467">
        <v>1650</v>
      </c>
      <c r="M467">
        <v>1650</v>
      </c>
      <c r="N467">
        <v>0</v>
      </c>
    </row>
    <row r="468" spans="1:14" x14ac:dyDescent="0.25">
      <c r="A468">
        <v>195.60933800000001</v>
      </c>
      <c r="B468" s="1">
        <f>DATE(2010,11,12) + TIME(14,37,26)</f>
        <v>40494.6093287037</v>
      </c>
      <c r="C468">
        <v>80</v>
      </c>
      <c r="D468">
        <v>77.397827148000005</v>
      </c>
      <c r="E468">
        <v>50</v>
      </c>
      <c r="F468">
        <v>49.908206939999999</v>
      </c>
      <c r="G468">
        <v>1311.2070312000001</v>
      </c>
      <c r="H468">
        <v>1302.9893798999999</v>
      </c>
      <c r="I468">
        <v>1380.2110596</v>
      </c>
      <c r="J468">
        <v>1366.1461182</v>
      </c>
      <c r="K468">
        <v>0</v>
      </c>
      <c r="L468">
        <v>1650</v>
      </c>
      <c r="M468">
        <v>1650</v>
      </c>
      <c r="N468">
        <v>0</v>
      </c>
    </row>
    <row r="469" spans="1:14" x14ac:dyDescent="0.25">
      <c r="A469">
        <v>196.13621499999999</v>
      </c>
      <c r="B469" s="1">
        <f>DATE(2010,11,13) + TIME(3,16,9)</f>
        <v>40495.13621527778</v>
      </c>
      <c r="C469">
        <v>80</v>
      </c>
      <c r="D469">
        <v>77.306900024000001</v>
      </c>
      <c r="E469">
        <v>50</v>
      </c>
      <c r="F469">
        <v>49.910099029999998</v>
      </c>
      <c r="G469">
        <v>1311.1868896000001</v>
      </c>
      <c r="H469">
        <v>1302.9659423999999</v>
      </c>
      <c r="I469">
        <v>1380.1035156</v>
      </c>
      <c r="J469">
        <v>1366.0455322</v>
      </c>
      <c r="K469">
        <v>0</v>
      </c>
      <c r="L469">
        <v>1650</v>
      </c>
      <c r="M469">
        <v>1650</v>
      </c>
      <c r="N469">
        <v>0</v>
      </c>
    </row>
    <row r="470" spans="1:14" x14ac:dyDescent="0.25">
      <c r="A470">
        <v>196.69151199999999</v>
      </c>
      <c r="B470" s="1">
        <f>DATE(2010,11,13) + TIME(16,35,46)</f>
        <v>40495.691504629627</v>
      </c>
      <c r="C470">
        <v>80</v>
      </c>
      <c r="D470">
        <v>77.212333678999997</v>
      </c>
      <c r="E470">
        <v>50</v>
      </c>
      <c r="F470">
        <v>49.911624908</v>
      </c>
      <c r="G470">
        <v>1311.1655272999999</v>
      </c>
      <c r="H470">
        <v>1302.9411620999999</v>
      </c>
      <c r="I470">
        <v>1379.9948730000001</v>
      </c>
      <c r="J470">
        <v>1365.9442139</v>
      </c>
      <c r="K470">
        <v>0</v>
      </c>
      <c r="L470">
        <v>1650</v>
      </c>
      <c r="M470">
        <v>1650</v>
      </c>
      <c r="N470">
        <v>0</v>
      </c>
    </row>
    <row r="471" spans="1:14" x14ac:dyDescent="0.25">
      <c r="A471">
        <v>197.27265600000001</v>
      </c>
      <c r="B471" s="1">
        <f>DATE(2010,11,14) + TIME(6,32,37)</f>
        <v>40496.272650462961</v>
      </c>
      <c r="C471">
        <v>80</v>
      </c>
      <c r="D471">
        <v>77.114418029999996</v>
      </c>
      <c r="E471">
        <v>50</v>
      </c>
      <c r="F471">
        <v>49.912860870000003</v>
      </c>
      <c r="G471">
        <v>1311.1428223</v>
      </c>
      <c r="H471">
        <v>1302.9147949000001</v>
      </c>
      <c r="I471">
        <v>1379.8857422000001</v>
      </c>
      <c r="J471">
        <v>1365.8424072</v>
      </c>
      <c r="K471">
        <v>0</v>
      </c>
      <c r="L471">
        <v>1650</v>
      </c>
      <c r="M471">
        <v>1650</v>
      </c>
      <c r="N471">
        <v>0</v>
      </c>
    </row>
    <row r="472" spans="1:14" x14ac:dyDescent="0.25">
      <c r="A472">
        <v>197.86021</v>
      </c>
      <c r="B472" s="1">
        <f>DATE(2010,11,14) + TIME(20,38,42)</f>
        <v>40496.860208333332</v>
      </c>
      <c r="C472">
        <v>80</v>
      </c>
      <c r="D472">
        <v>77.015419006000002</v>
      </c>
      <c r="E472">
        <v>50</v>
      </c>
      <c r="F472">
        <v>49.913837432999998</v>
      </c>
      <c r="G472">
        <v>1311.1187743999999</v>
      </c>
      <c r="H472">
        <v>1302.8870850000001</v>
      </c>
      <c r="I472">
        <v>1379.7766113</v>
      </c>
      <c r="J472">
        <v>1365.7407227000001</v>
      </c>
      <c r="K472">
        <v>0</v>
      </c>
      <c r="L472">
        <v>1650</v>
      </c>
      <c r="M472">
        <v>1650</v>
      </c>
      <c r="N472">
        <v>0</v>
      </c>
    </row>
    <row r="473" spans="1:14" x14ac:dyDescent="0.25">
      <c r="A473">
        <v>198.45107899999999</v>
      </c>
      <c r="B473" s="1">
        <f>DATE(2010,11,15) + TIME(10,49,33)</f>
        <v>40497.45107638889</v>
      </c>
      <c r="C473">
        <v>80</v>
      </c>
      <c r="D473">
        <v>76.916046143000003</v>
      </c>
      <c r="E473">
        <v>50</v>
      </c>
      <c r="F473">
        <v>49.914615630999997</v>
      </c>
      <c r="G473">
        <v>1311.0943603999999</v>
      </c>
      <c r="H473">
        <v>1302.8588867000001</v>
      </c>
      <c r="I473">
        <v>1379.6713867000001</v>
      </c>
      <c r="J473">
        <v>1365.6425781</v>
      </c>
      <c r="K473">
        <v>0</v>
      </c>
      <c r="L473">
        <v>1650</v>
      </c>
      <c r="M473">
        <v>1650</v>
      </c>
      <c r="N473">
        <v>0</v>
      </c>
    </row>
    <row r="474" spans="1:14" x14ac:dyDescent="0.25">
      <c r="A474">
        <v>199.048395</v>
      </c>
      <c r="B474" s="1">
        <f>DATE(2010,11,16) + TIME(1,9,41)</f>
        <v>40498.048391203702</v>
      </c>
      <c r="C474">
        <v>80</v>
      </c>
      <c r="D474">
        <v>76.816200256000002</v>
      </c>
      <c r="E474">
        <v>50</v>
      </c>
      <c r="F474">
        <v>49.915248871000003</v>
      </c>
      <c r="G474">
        <v>1311.0695800999999</v>
      </c>
      <c r="H474">
        <v>1302.8302002</v>
      </c>
      <c r="I474">
        <v>1379.5703125</v>
      </c>
      <c r="J474">
        <v>1365.5484618999999</v>
      </c>
      <c r="K474">
        <v>0</v>
      </c>
      <c r="L474">
        <v>1650</v>
      </c>
      <c r="M474">
        <v>1650</v>
      </c>
      <c r="N474">
        <v>0</v>
      </c>
    </row>
    <row r="475" spans="1:14" x14ac:dyDescent="0.25">
      <c r="A475">
        <v>199.65531899999999</v>
      </c>
      <c r="B475" s="1">
        <f>DATE(2010,11,16) + TIME(15,43,39)</f>
        <v>40498.655312499999</v>
      </c>
      <c r="C475">
        <v>80</v>
      </c>
      <c r="D475">
        <v>76.715690613000007</v>
      </c>
      <c r="E475">
        <v>50</v>
      </c>
      <c r="F475">
        <v>49.915771483999997</v>
      </c>
      <c r="G475">
        <v>1311.0444336</v>
      </c>
      <c r="H475">
        <v>1302.8009033000001</v>
      </c>
      <c r="I475">
        <v>1379.4725341999999</v>
      </c>
      <c r="J475">
        <v>1365.4573975000001</v>
      </c>
      <c r="K475">
        <v>0</v>
      </c>
      <c r="L475">
        <v>1650</v>
      </c>
      <c r="M475">
        <v>1650</v>
      </c>
      <c r="N475">
        <v>0</v>
      </c>
    </row>
    <row r="476" spans="1:14" x14ac:dyDescent="0.25">
      <c r="A476">
        <v>200.27500900000001</v>
      </c>
      <c r="B476" s="1">
        <f>DATE(2010,11,17) + TIME(6,36,0)</f>
        <v>40499.275000000001</v>
      </c>
      <c r="C476">
        <v>80</v>
      </c>
      <c r="D476">
        <v>76.614219665999997</v>
      </c>
      <c r="E476">
        <v>50</v>
      </c>
      <c r="F476">
        <v>49.916213988999999</v>
      </c>
      <c r="G476">
        <v>1311.0187988</v>
      </c>
      <c r="H476">
        <v>1302.7709961</v>
      </c>
      <c r="I476">
        <v>1379.3773193</v>
      </c>
      <c r="J476">
        <v>1365.3687743999999</v>
      </c>
      <c r="K476">
        <v>0</v>
      </c>
      <c r="L476">
        <v>1650</v>
      </c>
      <c r="M476">
        <v>1650</v>
      </c>
      <c r="N476">
        <v>0</v>
      </c>
    </row>
    <row r="477" spans="1:14" x14ac:dyDescent="0.25">
      <c r="A477">
        <v>200.91073</v>
      </c>
      <c r="B477" s="1">
        <f>DATE(2010,11,17) + TIME(21,51,27)</f>
        <v>40499.910729166666</v>
      </c>
      <c r="C477">
        <v>80</v>
      </c>
      <c r="D477">
        <v>76.511451721</v>
      </c>
      <c r="E477">
        <v>50</v>
      </c>
      <c r="F477">
        <v>49.916587829999997</v>
      </c>
      <c r="G477">
        <v>1310.9924315999999</v>
      </c>
      <c r="H477">
        <v>1302.7401123</v>
      </c>
      <c r="I477">
        <v>1379.2841797000001</v>
      </c>
      <c r="J477">
        <v>1365.2822266000001</v>
      </c>
      <c r="K477">
        <v>0</v>
      </c>
      <c r="L477">
        <v>1650</v>
      </c>
      <c r="M477">
        <v>1650</v>
      </c>
      <c r="N477">
        <v>0</v>
      </c>
    </row>
    <row r="478" spans="1:14" x14ac:dyDescent="0.25">
      <c r="A478">
        <v>201.56599299999999</v>
      </c>
      <c r="B478" s="1">
        <f>DATE(2010,11,18) + TIME(13,35,1)</f>
        <v>40500.565983796296</v>
      </c>
      <c r="C478">
        <v>80</v>
      </c>
      <c r="D478">
        <v>76.406982421999999</v>
      </c>
      <c r="E478">
        <v>50</v>
      </c>
      <c r="F478">
        <v>49.916915893999999</v>
      </c>
      <c r="G478">
        <v>1310.9650879000001</v>
      </c>
      <c r="H478">
        <v>1302.7081298999999</v>
      </c>
      <c r="I478">
        <v>1379.1923827999999</v>
      </c>
      <c r="J478">
        <v>1365.1970214999999</v>
      </c>
      <c r="K478">
        <v>0</v>
      </c>
      <c r="L478">
        <v>1650</v>
      </c>
      <c r="M478">
        <v>1650</v>
      </c>
      <c r="N478">
        <v>0</v>
      </c>
    </row>
    <row r="479" spans="1:14" x14ac:dyDescent="0.25">
      <c r="A479">
        <v>202.244686</v>
      </c>
      <c r="B479" s="1">
        <f>DATE(2010,11,19) + TIME(5,52,20)</f>
        <v>40501.244675925926</v>
      </c>
      <c r="C479">
        <v>80</v>
      </c>
      <c r="D479">
        <v>76.300361632999994</v>
      </c>
      <c r="E479">
        <v>50</v>
      </c>
      <c r="F479">
        <v>49.917198181000003</v>
      </c>
      <c r="G479">
        <v>1310.9367675999999</v>
      </c>
      <c r="H479">
        <v>1302.6749268000001</v>
      </c>
      <c r="I479">
        <v>1379.1016846</v>
      </c>
      <c r="J479">
        <v>1365.112793</v>
      </c>
      <c r="K479">
        <v>0</v>
      </c>
      <c r="L479">
        <v>1650</v>
      </c>
      <c r="M479">
        <v>1650</v>
      </c>
      <c r="N479">
        <v>0</v>
      </c>
    </row>
    <row r="480" spans="1:14" x14ac:dyDescent="0.25">
      <c r="A480">
        <v>202.948196</v>
      </c>
      <c r="B480" s="1">
        <f>DATE(2010,11,19) + TIME(22,45,24)</f>
        <v>40501.948194444441</v>
      </c>
      <c r="C480">
        <v>80</v>
      </c>
      <c r="D480">
        <v>76.191390991000006</v>
      </c>
      <c r="E480">
        <v>50</v>
      </c>
      <c r="F480">
        <v>49.917453766000001</v>
      </c>
      <c r="G480">
        <v>1310.9072266000001</v>
      </c>
      <c r="H480">
        <v>1302.6401367000001</v>
      </c>
      <c r="I480">
        <v>1379.0114745999999</v>
      </c>
      <c r="J480">
        <v>1365.0291748</v>
      </c>
      <c r="K480">
        <v>0</v>
      </c>
      <c r="L480">
        <v>1650</v>
      </c>
      <c r="M480">
        <v>1650</v>
      </c>
      <c r="N480">
        <v>0</v>
      </c>
    </row>
    <row r="481" spans="1:14" x14ac:dyDescent="0.25">
      <c r="A481">
        <v>203.67958100000001</v>
      </c>
      <c r="B481" s="1">
        <f>DATE(2010,11,20) + TIME(16,18,35)</f>
        <v>40502.679571759261</v>
      </c>
      <c r="C481">
        <v>80</v>
      </c>
      <c r="D481">
        <v>76.079719542999996</v>
      </c>
      <c r="E481">
        <v>50</v>
      </c>
      <c r="F481">
        <v>49.917678832999997</v>
      </c>
      <c r="G481">
        <v>1310.8762207</v>
      </c>
      <c r="H481">
        <v>1302.6037598</v>
      </c>
      <c r="I481">
        <v>1378.921875</v>
      </c>
      <c r="J481">
        <v>1364.9459228999999</v>
      </c>
      <c r="K481">
        <v>0</v>
      </c>
      <c r="L481">
        <v>1650</v>
      </c>
      <c r="M481">
        <v>1650</v>
      </c>
      <c r="N481">
        <v>0</v>
      </c>
    </row>
    <row r="482" spans="1:14" x14ac:dyDescent="0.25">
      <c r="A482">
        <v>204.44382999999999</v>
      </c>
      <c r="B482" s="1">
        <f>DATE(2010,11,21) + TIME(10,39,6)</f>
        <v>40503.443819444445</v>
      </c>
      <c r="C482">
        <v>80</v>
      </c>
      <c r="D482">
        <v>75.96484375</v>
      </c>
      <c r="E482">
        <v>50</v>
      </c>
      <c r="F482">
        <v>49.917884827000002</v>
      </c>
      <c r="G482">
        <v>1310.84375</v>
      </c>
      <c r="H482">
        <v>1302.5655518000001</v>
      </c>
      <c r="I482">
        <v>1378.8322754000001</v>
      </c>
      <c r="J482">
        <v>1364.8630370999999</v>
      </c>
      <c r="K482">
        <v>0</v>
      </c>
      <c r="L482">
        <v>1650</v>
      </c>
      <c r="M482">
        <v>1650</v>
      </c>
      <c r="N482">
        <v>0</v>
      </c>
    </row>
    <row r="483" spans="1:14" x14ac:dyDescent="0.25">
      <c r="A483">
        <v>205.24121600000001</v>
      </c>
      <c r="B483" s="1">
        <f>DATE(2010,11,22) + TIME(5,47,21)</f>
        <v>40504.241215277776</v>
      </c>
      <c r="C483">
        <v>80</v>
      </c>
      <c r="D483">
        <v>75.846656799000002</v>
      </c>
      <c r="E483">
        <v>50</v>
      </c>
      <c r="F483">
        <v>49.918075561999999</v>
      </c>
      <c r="G483">
        <v>1310.8095702999999</v>
      </c>
      <c r="H483">
        <v>1302.5251464999999</v>
      </c>
      <c r="I483">
        <v>1378.7424315999999</v>
      </c>
      <c r="J483">
        <v>1364.7799072</v>
      </c>
      <c r="K483">
        <v>0</v>
      </c>
      <c r="L483">
        <v>1650</v>
      </c>
      <c r="M483">
        <v>1650</v>
      </c>
      <c r="N483">
        <v>0</v>
      </c>
    </row>
    <row r="484" spans="1:14" x14ac:dyDescent="0.25">
      <c r="A484">
        <v>206.043038</v>
      </c>
      <c r="B484" s="1">
        <f>DATE(2010,11,23) + TIME(1,1,58)</f>
        <v>40505.043032407404</v>
      </c>
      <c r="C484">
        <v>80</v>
      </c>
      <c r="D484">
        <v>75.727745056000003</v>
      </c>
      <c r="E484">
        <v>50</v>
      </c>
      <c r="F484">
        <v>49.918243408000002</v>
      </c>
      <c r="G484">
        <v>1310.7733154</v>
      </c>
      <c r="H484">
        <v>1302.4825439000001</v>
      </c>
      <c r="I484">
        <v>1378.6525879000001</v>
      </c>
      <c r="J484">
        <v>1364.6966553</v>
      </c>
      <c r="K484">
        <v>0</v>
      </c>
      <c r="L484">
        <v>1650</v>
      </c>
      <c r="M484">
        <v>1650</v>
      </c>
      <c r="N484">
        <v>0</v>
      </c>
    </row>
    <row r="485" spans="1:14" x14ac:dyDescent="0.25">
      <c r="A485">
        <v>206.85169200000001</v>
      </c>
      <c r="B485" s="1">
        <f>DATE(2010,11,23) + TIME(20,26,26)</f>
        <v>40505.851689814815</v>
      </c>
      <c r="C485">
        <v>80</v>
      </c>
      <c r="D485">
        <v>75.608467102000006</v>
      </c>
      <c r="E485">
        <v>50</v>
      </c>
      <c r="F485">
        <v>49.918395996000001</v>
      </c>
      <c r="G485">
        <v>1310.7364502</v>
      </c>
      <c r="H485">
        <v>1302.4390868999999</v>
      </c>
      <c r="I485">
        <v>1378.5657959</v>
      </c>
      <c r="J485">
        <v>1364.6164550999999</v>
      </c>
      <c r="K485">
        <v>0</v>
      </c>
      <c r="L485">
        <v>1650</v>
      </c>
      <c r="M485">
        <v>1650</v>
      </c>
      <c r="N485">
        <v>0</v>
      </c>
    </row>
    <row r="486" spans="1:14" x14ac:dyDescent="0.25">
      <c r="A486">
        <v>207.67042799999999</v>
      </c>
      <c r="B486" s="1">
        <f>DATE(2010,11,24) + TIME(16,5,24)</f>
        <v>40506.670416666668</v>
      </c>
      <c r="C486">
        <v>80</v>
      </c>
      <c r="D486">
        <v>75.488853454999997</v>
      </c>
      <c r="E486">
        <v>50</v>
      </c>
      <c r="F486">
        <v>49.918537139999998</v>
      </c>
      <c r="G486">
        <v>1310.6989745999999</v>
      </c>
      <c r="H486">
        <v>1302.3946533000001</v>
      </c>
      <c r="I486">
        <v>1378.4818115</v>
      </c>
      <c r="J486">
        <v>1364.5388184000001</v>
      </c>
      <c r="K486">
        <v>0</v>
      </c>
      <c r="L486">
        <v>1650</v>
      </c>
      <c r="M486">
        <v>1650</v>
      </c>
      <c r="N486">
        <v>0</v>
      </c>
    </row>
    <row r="487" spans="1:14" x14ac:dyDescent="0.25">
      <c r="A487">
        <v>208.50188</v>
      </c>
      <c r="B487" s="1">
        <f>DATE(2010,11,25) + TIME(12,2,42)</f>
        <v>40507.501875000002</v>
      </c>
      <c r="C487">
        <v>80</v>
      </c>
      <c r="D487">
        <v>75.368797302000004</v>
      </c>
      <c r="E487">
        <v>50</v>
      </c>
      <c r="F487">
        <v>49.918670654000003</v>
      </c>
      <c r="G487">
        <v>1310.6605225000001</v>
      </c>
      <c r="H487">
        <v>1302.3488769999999</v>
      </c>
      <c r="I487">
        <v>1378.4000243999999</v>
      </c>
      <c r="J487">
        <v>1364.4633789</v>
      </c>
      <c r="K487">
        <v>0</v>
      </c>
      <c r="L487">
        <v>1650</v>
      </c>
      <c r="M487">
        <v>1650</v>
      </c>
      <c r="N487">
        <v>0</v>
      </c>
    </row>
    <row r="488" spans="1:14" x14ac:dyDescent="0.25">
      <c r="A488">
        <v>209.34982099999999</v>
      </c>
      <c r="B488" s="1">
        <f>DATE(2010,11,26) + TIME(8,23,44)</f>
        <v>40508.349814814814</v>
      </c>
      <c r="C488">
        <v>80</v>
      </c>
      <c r="D488">
        <v>75.248016356999997</v>
      </c>
      <c r="E488">
        <v>50</v>
      </c>
      <c r="F488">
        <v>49.918796538999999</v>
      </c>
      <c r="G488">
        <v>1310.6210937999999</v>
      </c>
      <c r="H488">
        <v>1302.3018798999999</v>
      </c>
      <c r="I488">
        <v>1378.3201904</v>
      </c>
      <c r="J488">
        <v>1364.3896483999999</v>
      </c>
      <c r="K488">
        <v>0</v>
      </c>
      <c r="L488">
        <v>1650</v>
      </c>
      <c r="M488">
        <v>1650</v>
      </c>
      <c r="N488">
        <v>0</v>
      </c>
    </row>
    <row r="489" spans="1:14" x14ac:dyDescent="0.25">
      <c r="A489">
        <v>210.21660199999999</v>
      </c>
      <c r="B489" s="1">
        <f>DATE(2010,11,27) + TIME(5,11,54)</f>
        <v>40509.216597222221</v>
      </c>
      <c r="C489">
        <v>80</v>
      </c>
      <c r="D489">
        <v>75.126281738000003</v>
      </c>
      <c r="E489">
        <v>50</v>
      </c>
      <c r="F489">
        <v>49.918918609999999</v>
      </c>
      <c r="G489">
        <v>1310.5804443</v>
      </c>
      <c r="H489">
        <v>1302.2532959</v>
      </c>
      <c r="I489">
        <v>1378.2418213000001</v>
      </c>
      <c r="J489">
        <v>1364.3173827999999</v>
      </c>
      <c r="K489">
        <v>0</v>
      </c>
      <c r="L489">
        <v>1650</v>
      </c>
      <c r="M489">
        <v>1650</v>
      </c>
      <c r="N489">
        <v>0</v>
      </c>
    </row>
    <row r="490" spans="1:14" x14ac:dyDescent="0.25">
      <c r="A490">
        <v>211.10688300000001</v>
      </c>
      <c r="B490" s="1">
        <f>DATE(2010,11,28) + TIME(2,33,54)</f>
        <v>40510.106874999998</v>
      </c>
      <c r="C490">
        <v>80</v>
      </c>
      <c r="D490">
        <v>75.003189086999996</v>
      </c>
      <c r="E490">
        <v>50</v>
      </c>
      <c r="F490">
        <v>49.919040680000002</v>
      </c>
      <c r="G490">
        <v>1310.5383300999999</v>
      </c>
      <c r="H490">
        <v>1302.2028809000001</v>
      </c>
      <c r="I490">
        <v>1378.1646728999999</v>
      </c>
      <c r="J490">
        <v>1364.2462158000001</v>
      </c>
      <c r="K490">
        <v>0</v>
      </c>
      <c r="L490">
        <v>1650</v>
      </c>
      <c r="M490">
        <v>1650</v>
      </c>
      <c r="N490">
        <v>0</v>
      </c>
    </row>
    <row r="491" spans="1:14" x14ac:dyDescent="0.25">
      <c r="A491">
        <v>212.025723</v>
      </c>
      <c r="B491" s="1">
        <f>DATE(2010,11,29) + TIME(0,37,2)</f>
        <v>40511.025717592594</v>
      </c>
      <c r="C491">
        <v>80</v>
      </c>
      <c r="D491">
        <v>74.878105164000004</v>
      </c>
      <c r="E491">
        <v>50</v>
      </c>
      <c r="F491">
        <v>49.919162749999998</v>
      </c>
      <c r="G491">
        <v>1310.4946289</v>
      </c>
      <c r="H491">
        <v>1302.1503906</v>
      </c>
      <c r="I491">
        <v>1378.0883789</v>
      </c>
      <c r="J491">
        <v>1364.1759033000001</v>
      </c>
      <c r="K491">
        <v>0</v>
      </c>
      <c r="L491">
        <v>1650</v>
      </c>
      <c r="M491">
        <v>1650</v>
      </c>
      <c r="N491">
        <v>0</v>
      </c>
    </row>
    <row r="492" spans="1:14" x14ac:dyDescent="0.25">
      <c r="A492">
        <v>212.97880599999999</v>
      </c>
      <c r="B492" s="1">
        <f>DATE(2010,11,29) + TIME(23,29,28)</f>
        <v>40511.978796296295</v>
      </c>
      <c r="C492">
        <v>80</v>
      </c>
      <c r="D492">
        <v>74.750541686999995</v>
      </c>
      <c r="E492">
        <v>50</v>
      </c>
      <c r="F492">
        <v>49.919284820999998</v>
      </c>
      <c r="G492">
        <v>1310.4489745999999</v>
      </c>
      <c r="H492">
        <v>1302.0953368999999</v>
      </c>
      <c r="I492">
        <v>1378.0124512</v>
      </c>
      <c r="J492">
        <v>1364.105957</v>
      </c>
      <c r="K492">
        <v>0</v>
      </c>
      <c r="L492">
        <v>1650</v>
      </c>
      <c r="M492">
        <v>1650</v>
      </c>
      <c r="N492">
        <v>0</v>
      </c>
    </row>
    <row r="493" spans="1:14" x14ac:dyDescent="0.25">
      <c r="A493">
        <v>214</v>
      </c>
      <c r="B493" s="1">
        <f>DATE(2010,12,1) + TIME(0,0,0)</f>
        <v>40513</v>
      </c>
      <c r="C493">
        <v>80</v>
      </c>
      <c r="D493">
        <v>74.617820739999999</v>
      </c>
      <c r="E493">
        <v>50</v>
      </c>
      <c r="F493">
        <v>49.919410706000001</v>
      </c>
      <c r="G493">
        <v>1310.401001</v>
      </c>
      <c r="H493">
        <v>1302.0372314000001</v>
      </c>
      <c r="I493">
        <v>1377.9366454999999</v>
      </c>
      <c r="J493">
        <v>1364.0362548999999</v>
      </c>
      <c r="K493">
        <v>0</v>
      </c>
      <c r="L493">
        <v>1650</v>
      </c>
      <c r="M493">
        <v>1650</v>
      </c>
      <c r="N493">
        <v>0</v>
      </c>
    </row>
    <row r="494" spans="1:14" x14ac:dyDescent="0.25">
      <c r="A494">
        <v>214.99386200000001</v>
      </c>
      <c r="B494" s="1">
        <f>DATE(2010,12,1) + TIME(23,51,9)</f>
        <v>40513.993854166663</v>
      </c>
      <c r="C494">
        <v>80</v>
      </c>
      <c r="D494">
        <v>74.486152649000005</v>
      </c>
      <c r="E494">
        <v>50</v>
      </c>
      <c r="F494">
        <v>49.919532775999997</v>
      </c>
      <c r="G494">
        <v>1310.3488769999999</v>
      </c>
      <c r="H494">
        <v>1301.9746094</v>
      </c>
      <c r="I494">
        <v>1377.8583983999999</v>
      </c>
      <c r="J494">
        <v>1363.9642334</v>
      </c>
      <c r="K494">
        <v>0</v>
      </c>
      <c r="L494">
        <v>1650</v>
      </c>
      <c r="M494">
        <v>1650</v>
      </c>
      <c r="N494">
        <v>0</v>
      </c>
    </row>
    <row r="495" spans="1:14" x14ac:dyDescent="0.25">
      <c r="A495">
        <v>216.035977</v>
      </c>
      <c r="B495" s="1">
        <f>DATE(2010,12,3) + TIME(0,51,48)</f>
        <v>40515.03597222222</v>
      </c>
      <c r="C495">
        <v>80</v>
      </c>
      <c r="D495">
        <v>74.351783752000003</v>
      </c>
      <c r="E495">
        <v>50</v>
      </c>
      <c r="F495">
        <v>49.919658661</v>
      </c>
      <c r="G495">
        <v>1310.2973632999999</v>
      </c>
      <c r="H495">
        <v>1301.9118652</v>
      </c>
      <c r="I495">
        <v>1377.7851562000001</v>
      </c>
      <c r="J495">
        <v>1363.8969727000001</v>
      </c>
      <c r="K495">
        <v>0</v>
      </c>
      <c r="L495">
        <v>1650</v>
      </c>
      <c r="M495">
        <v>1650</v>
      </c>
      <c r="N495">
        <v>0</v>
      </c>
    </row>
    <row r="496" spans="1:14" x14ac:dyDescent="0.25">
      <c r="A496">
        <v>217.08527900000001</v>
      </c>
      <c r="B496" s="1">
        <f>DATE(2010,12,4) + TIME(2,2,48)</f>
        <v>40516.085277777776</v>
      </c>
      <c r="C496">
        <v>80</v>
      </c>
      <c r="D496">
        <v>74.216926575000002</v>
      </c>
      <c r="E496">
        <v>50</v>
      </c>
      <c r="F496">
        <v>49.919784546000002</v>
      </c>
      <c r="G496">
        <v>1310.2425536999999</v>
      </c>
      <c r="H496">
        <v>1301.8453368999999</v>
      </c>
      <c r="I496">
        <v>1377.7110596</v>
      </c>
      <c r="J496">
        <v>1363.8288574000001</v>
      </c>
      <c r="K496">
        <v>0</v>
      </c>
      <c r="L496">
        <v>1650</v>
      </c>
      <c r="M496">
        <v>1650</v>
      </c>
      <c r="N496">
        <v>0</v>
      </c>
    </row>
    <row r="497" spans="1:14" x14ac:dyDescent="0.25">
      <c r="A497">
        <v>218.147706</v>
      </c>
      <c r="B497" s="1">
        <f>DATE(2010,12,5) + TIME(3,32,41)</f>
        <v>40517.147696759261</v>
      </c>
      <c r="C497">
        <v>80</v>
      </c>
      <c r="D497">
        <v>74.081733704000001</v>
      </c>
      <c r="E497">
        <v>50</v>
      </c>
      <c r="F497">
        <v>49.919910430999998</v>
      </c>
      <c r="G497">
        <v>1310.1865233999999</v>
      </c>
      <c r="H497">
        <v>1301.7769774999999</v>
      </c>
      <c r="I497">
        <v>1377.6391602000001</v>
      </c>
      <c r="J497">
        <v>1363.7629394999999</v>
      </c>
      <c r="K497">
        <v>0</v>
      </c>
      <c r="L497">
        <v>1650</v>
      </c>
      <c r="M497">
        <v>1650</v>
      </c>
      <c r="N497">
        <v>0</v>
      </c>
    </row>
    <row r="498" spans="1:14" x14ac:dyDescent="0.25">
      <c r="A498">
        <v>219.22588099999999</v>
      </c>
      <c r="B498" s="1">
        <f>DATE(2010,12,6) + TIME(5,25,16)</f>
        <v>40518.22587962963</v>
      </c>
      <c r="C498">
        <v>80</v>
      </c>
      <c r="D498">
        <v>73.946197510000005</v>
      </c>
      <c r="E498">
        <v>50</v>
      </c>
      <c r="F498">
        <v>49.920040131</v>
      </c>
      <c r="G498">
        <v>1310.1290283000001</v>
      </c>
      <c r="H498">
        <v>1301.7064209</v>
      </c>
      <c r="I498">
        <v>1377.5690918</v>
      </c>
      <c r="J498">
        <v>1363.6986084</v>
      </c>
      <c r="K498">
        <v>0</v>
      </c>
      <c r="L498">
        <v>1650</v>
      </c>
      <c r="M498">
        <v>1650</v>
      </c>
      <c r="N498">
        <v>0</v>
      </c>
    </row>
    <row r="499" spans="1:14" x14ac:dyDescent="0.25">
      <c r="A499">
        <v>220.32487</v>
      </c>
      <c r="B499" s="1">
        <f>DATE(2010,12,7) + TIME(7,47,48)</f>
        <v>40519.324861111112</v>
      </c>
      <c r="C499">
        <v>80</v>
      </c>
      <c r="D499">
        <v>73.810012817</v>
      </c>
      <c r="E499">
        <v>50</v>
      </c>
      <c r="F499">
        <v>49.920169829999999</v>
      </c>
      <c r="G499">
        <v>1310.0697021000001</v>
      </c>
      <c r="H499">
        <v>1301.6334228999999</v>
      </c>
      <c r="I499">
        <v>1377.5003661999999</v>
      </c>
      <c r="J499">
        <v>1363.6356201000001</v>
      </c>
      <c r="K499">
        <v>0</v>
      </c>
      <c r="L499">
        <v>1650</v>
      </c>
      <c r="M499">
        <v>1650</v>
      </c>
      <c r="N499">
        <v>0</v>
      </c>
    </row>
    <row r="500" spans="1:14" x14ac:dyDescent="0.25">
      <c r="A500">
        <v>221.45066399999999</v>
      </c>
      <c r="B500" s="1">
        <f>DATE(2010,12,8) + TIME(10,48,57)</f>
        <v>40520.450659722221</v>
      </c>
      <c r="C500">
        <v>80</v>
      </c>
      <c r="D500">
        <v>73.672691345000004</v>
      </c>
      <c r="E500">
        <v>50</v>
      </c>
      <c r="F500">
        <v>49.920303345000001</v>
      </c>
      <c r="G500">
        <v>1310.0083007999999</v>
      </c>
      <c r="H500">
        <v>1301.5577393000001</v>
      </c>
      <c r="I500">
        <v>1377.4328613</v>
      </c>
      <c r="J500">
        <v>1363.5736084</v>
      </c>
      <c r="K500">
        <v>0</v>
      </c>
      <c r="L500">
        <v>1650</v>
      </c>
      <c r="M500">
        <v>1650</v>
      </c>
      <c r="N500">
        <v>0</v>
      </c>
    </row>
    <row r="501" spans="1:14" x14ac:dyDescent="0.25">
      <c r="A501">
        <v>222.609735</v>
      </c>
      <c r="B501" s="1">
        <f>DATE(2010,12,9) + TIME(14,38,1)</f>
        <v>40521.609733796293</v>
      </c>
      <c r="C501">
        <v>80</v>
      </c>
      <c r="D501">
        <v>73.533653259000005</v>
      </c>
      <c r="E501">
        <v>50</v>
      </c>
      <c r="F501">
        <v>49.920440673999998</v>
      </c>
      <c r="G501">
        <v>1309.9444579999999</v>
      </c>
      <c r="H501">
        <v>1301.4787598</v>
      </c>
      <c r="I501">
        <v>1377.3660889</v>
      </c>
      <c r="J501">
        <v>1363.5124512</v>
      </c>
      <c r="K501">
        <v>0</v>
      </c>
      <c r="L501">
        <v>1650</v>
      </c>
      <c r="M501">
        <v>1650</v>
      </c>
      <c r="N501">
        <v>0</v>
      </c>
    </row>
    <row r="502" spans="1:14" x14ac:dyDescent="0.25">
      <c r="A502">
        <v>223.80929</v>
      </c>
      <c r="B502" s="1">
        <f>DATE(2010,12,10) + TIME(19,25,22)</f>
        <v>40522.809282407405</v>
      </c>
      <c r="C502">
        <v>80</v>
      </c>
      <c r="D502">
        <v>73.392211914000001</v>
      </c>
      <c r="E502">
        <v>50</v>
      </c>
      <c r="F502">
        <v>49.920581818000002</v>
      </c>
      <c r="G502">
        <v>1309.8776855000001</v>
      </c>
      <c r="H502">
        <v>1301.395874</v>
      </c>
      <c r="I502">
        <v>1377.2996826000001</v>
      </c>
      <c r="J502">
        <v>1363.4516602000001</v>
      </c>
      <c r="K502">
        <v>0</v>
      </c>
      <c r="L502">
        <v>1650</v>
      </c>
      <c r="M502">
        <v>1650</v>
      </c>
      <c r="N502">
        <v>0</v>
      </c>
    </row>
    <row r="503" spans="1:14" x14ac:dyDescent="0.25">
      <c r="A503">
        <v>225.05444600000001</v>
      </c>
      <c r="B503" s="1">
        <f>DATE(2010,12,12) + TIME(1,18,24)</f>
        <v>40524.054444444446</v>
      </c>
      <c r="C503">
        <v>80</v>
      </c>
      <c r="D503">
        <v>73.247795104999994</v>
      </c>
      <c r="E503">
        <v>50</v>
      </c>
      <c r="F503">
        <v>49.920726776000002</v>
      </c>
      <c r="G503">
        <v>1309.8073730000001</v>
      </c>
      <c r="H503">
        <v>1301.3084716999999</v>
      </c>
      <c r="I503">
        <v>1377.2333983999999</v>
      </c>
      <c r="J503">
        <v>1363.3909911999999</v>
      </c>
      <c r="K503">
        <v>0</v>
      </c>
      <c r="L503">
        <v>1650</v>
      </c>
      <c r="M503">
        <v>1650</v>
      </c>
      <c r="N503">
        <v>0</v>
      </c>
    </row>
    <row r="504" spans="1:14" x14ac:dyDescent="0.25">
      <c r="A504">
        <v>226.34345400000001</v>
      </c>
      <c r="B504" s="1">
        <f>DATE(2010,12,13) + TIME(8,14,34)</f>
        <v>40525.343449074076</v>
      </c>
      <c r="C504">
        <v>80</v>
      </c>
      <c r="D504">
        <v>73.100273131999998</v>
      </c>
      <c r="E504">
        <v>50</v>
      </c>
      <c r="F504">
        <v>49.920879364000001</v>
      </c>
      <c r="G504">
        <v>1309.7332764</v>
      </c>
      <c r="H504">
        <v>1301.2159423999999</v>
      </c>
      <c r="I504">
        <v>1377.1669922000001</v>
      </c>
      <c r="J504">
        <v>1363.3300781</v>
      </c>
      <c r="K504">
        <v>0</v>
      </c>
      <c r="L504">
        <v>1650</v>
      </c>
      <c r="M504">
        <v>1650</v>
      </c>
      <c r="N504">
        <v>0</v>
      </c>
    </row>
    <row r="505" spans="1:14" x14ac:dyDescent="0.25">
      <c r="A505">
        <v>227.64808300000001</v>
      </c>
      <c r="B505" s="1">
        <f>DATE(2010,12,14) + TIME(15,33,14)</f>
        <v>40526.648078703707</v>
      </c>
      <c r="C505">
        <v>80</v>
      </c>
      <c r="D505">
        <v>72.951210021999998</v>
      </c>
      <c r="E505">
        <v>50</v>
      </c>
      <c r="F505">
        <v>49.921035766999999</v>
      </c>
      <c r="G505">
        <v>1309.6552733999999</v>
      </c>
      <c r="H505">
        <v>1301.1182861</v>
      </c>
      <c r="I505">
        <v>1377.1005858999999</v>
      </c>
      <c r="J505">
        <v>1363.2694091999999</v>
      </c>
      <c r="K505">
        <v>0</v>
      </c>
      <c r="L505">
        <v>1650</v>
      </c>
      <c r="M505">
        <v>1650</v>
      </c>
      <c r="N505">
        <v>0</v>
      </c>
    </row>
    <row r="506" spans="1:14" x14ac:dyDescent="0.25">
      <c r="A506">
        <v>228.962459</v>
      </c>
      <c r="B506" s="1">
        <f>DATE(2010,12,15) + TIME(23,5,56)</f>
        <v>40527.962453703702</v>
      </c>
      <c r="C506">
        <v>80</v>
      </c>
      <c r="D506">
        <v>72.801689147999994</v>
      </c>
      <c r="E506">
        <v>50</v>
      </c>
      <c r="F506">
        <v>49.921188354000002</v>
      </c>
      <c r="G506">
        <v>1309.574707</v>
      </c>
      <c r="H506">
        <v>1301.0172118999999</v>
      </c>
      <c r="I506">
        <v>1377.0356445</v>
      </c>
      <c r="J506">
        <v>1363.2100829999999</v>
      </c>
      <c r="K506">
        <v>0</v>
      </c>
      <c r="L506">
        <v>1650</v>
      </c>
      <c r="M506">
        <v>1650</v>
      </c>
      <c r="N506">
        <v>0</v>
      </c>
    </row>
    <row r="507" spans="1:14" x14ac:dyDescent="0.25">
      <c r="A507">
        <v>230.29139000000001</v>
      </c>
      <c r="B507" s="1">
        <f>DATE(2010,12,17) + TIME(6,59,36)</f>
        <v>40529.291388888887</v>
      </c>
      <c r="C507">
        <v>80</v>
      </c>
      <c r="D507">
        <v>72.651954650999997</v>
      </c>
      <c r="E507">
        <v>50</v>
      </c>
      <c r="F507">
        <v>49.921348571999999</v>
      </c>
      <c r="G507">
        <v>1309.4920654</v>
      </c>
      <c r="H507">
        <v>1300.9129639</v>
      </c>
      <c r="I507">
        <v>1376.9726562000001</v>
      </c>
      <c r="J507">
        <v>1363.1524658000001</v>
      </c>
      <c r="K507">
        <v>0</v>
      </c>
      <c r="L507">
        <v>1650</v>
      </c>
      <c r="M507">
        <v>1650</v>
      </c>
      <c r="N507">
        <v>0</v>
      </c>
    </row>
    <row r="508" spans="1:14" x14ac:dyDescent="0.25">
      <c r="A508">
        <v>231.63978700000001</v>
      </c>
      <c r="B508" s="1">
        <f>DATE(2010,12,18) + TIME(15,21,17)</f>
        <v>40530.639780092592</v>
      </c>
      <c r="C508">
        <v>80</v>
      </c>
      <c r="D508">
        <v>72.501838684000006</v>
      </c>
      <c r="E508">
        <v>50</v>
      </c>
      <c r="F508">
        <v>49.921504974000001</v>
      </c>
      <c r="G508">
        <v>1309.4069824000001</v>
      </c>
      <c r="H508">
        <v>1300.8051757999999</v>
      </c>
      <c r="I508">
        <v>1376.9110106999999</v>
      </c>
      <c r="J508">
        <v>1363.0960693</v>
      </c>
      <c r="K508">
        <v>0</v>
      </c>
      <c r="L508">
        <v>1650</v>
      </c>
      <c r="M508">
        <v>1650</v>
      </c>
      <c r="N508">
        <v>0</v>
      </c>
    </row>
    <row r="509" spans="1:14" x14ac:dyDescent="0.25">
      <c r="A509">
        <v>233.011447</v>
      </c>
      <c r="B509" s="1">
        <f>DATE(2010,12,20) + TIME(0,16,29)</f>
        <v>40532.011446759258</v>
      </c>
      <c r="C509">
        <v>80</v>
      </c>
      <c r="D509">
        <v>72.351036071999999</v>
      </c>
      <c r="E509">
        <v>50</v>
      </c>
      <c r="F509">
        <v>49.921669006000002</v>
      </c>
      <c r="G509">
        <v>1309.3190918</v>
      </c>
      <c r="H509">
        <v>1300.6934814000001</v>
      </c>
      <c r="I509">
        <v>1376.8505858999999</v>
      </c>
      <c r="J509">
        <v>1363.0408935999999</v>
      </c>
      <c r="K509">
        <v>0</v>
      </c>
      <c r="L509">
        <v>1650</v>
      </c>
      <c r="M509">
        <v>1650</v>
      </c>
      <c r="N509">
        <v>0</v>
      </c>
    </row>
    <row r="510" spans="1:14" x14ac:dyDescent="0.25">
      <c r="A510">
        <v>234.41374300000001</v>
      </c>
      <c r="B510" s="1">
        <f>DATE(2010,12,21) + TIME(9,55,47)</f>
        <v>40533.413738425923</v>
      </c>
      <c r="C510">
        <v>80</v>
      </c>
      <c r="D510">
        <v>72.198982239000003</v>
      </c>
      <c r="E510">
        <v>50</v>
      </c>
      <c r="F510">
        <v>49.921833038000003</v>
      </c>
      <c r="G510">
        <v>1309.2280272999999</v>
      </c>
      <c r="H510">
        <v>1300.5775146000001</v>
      </c>
      <c r="I510">
        <v>1376.7911377</v>
      </c>
      <c r="J510">
        <v>1362.9866943</v>
      </c>
      <c r="K510">
        <v>0</v>
      </c>
      <c r="L510">
        <v>1650</v>
      </c>
      <c r="M510">
        <v>1650</v>
      </c>
      <c r="N510">
        <v>0</v>
      </c>
    </row>
    <row r="511" spans="1:14" x14ac:dyDescent="0.25">
      <c r="A511">
        <v>235.85453000000001</v>
      </c>
      <c r="B511" s="1">
        <f>DATE(2010,12,22) + TIME(20,30,31)</f>
        <v>40534.854525462964</v>
      </c>
      <c r="C511">
        <v>80</v>
      </c>
      <c r="D511">
        <v>72.044944763000004</v>
      </c>
      <c r="E511">
        <v>50</v>
      </c>
      <c r="F511">
        <v>49.922004700000002</v>
      </c>
      <c r="G511">
        <v>1309.1333007999999</v>
      </c>
      <c r="H511">
        <v>1300.4561768000001</v>
      </c>
      <c r="I511">
        <v>1376.7322998</v>
      </c>
      <c r="J511">
        <v>1362.9329834</v>
      </c>
      <c r="K511">
        <v>0</v>
      </c>
      <c r="L511">
        <v>1650</v>
      </c>
      <c r="M511">
        <v>1650</v>
      </c>
      <c r="N511">
        <v>0</v>
      </c>
    </row>
    <row r="512" spans="1:14" x14ac:dyDescent="0.25">
      <c r="A512">
        <v>237.340507</v>
      </c>
      <c r="B512" s="1">
        <f>DATE(2010,12,24) + TIME(8,10,19)</f>
        <v>40536.340497685182</v>
      </c>
      <c r="C512">
        <v>80</v>
      </c>
      <c r="D512">
        <v>71.888214110999996</v>
      </c>
      <c r="E512">
        <v>50</v>
      </c>
      <c r="F512">
        <v>49.922180175999998</v>
      </c>
      <c r="G512">
        <v>1309.0341797000001</v>
      </c>
      <c r="H512">
        <v>1300.3289795000001</v>
      </c>
      <c r="I512">
        <v>1376.6738281</v>
      </c>
      <c r="J512">
        <v>1362.8797606999999</v>
      </c>
      <c r="K512">
        <v>0</v>
      </c>
      <c r="L512">
        <v>1650</v>
      </c>
      <c r="M512">
        <v>1650</v>
      </c>
      <c r="N512">
        <v>0</v>
      </c>
    </row>
    <row r="513" spans="1:14" x14ac:dyDescent="0.25">
      <c r="A513">
        <v>238.87842599999999</v>
      </c>
      <c r="B513" s="1">
        <f>DATE(2010,12,25) + TIME(21,4,56)</f>
        <v>40537.878425925926</v>
      </c>
      <c r="C513">
        <v>80</v>
      </c>
      <c r="D513">
        <v>71.728057860999996</v>
      </c>
      <c r="E513">
        <v>50</v>
      </c>
      <c r="F513">
        <v>49.922363281000003</v>
      </c>
      <c r="G513">
        <v>1308.9300536999999</v>
      </c>
      <c r="H513">
        <v>1300.1949463000001</v>
      </c>
      <c r="I513">
        <v>1376.6156006000001</v>
      </c>
      <c r="J513">
        <v>1362.8266602000001</v>
      </c>
      <c r="K513">
        <v>0</v>
      </c>
      <c r="L513">
        <v>1650</v>
      </c>
      <c r="M513">
        <v>1650</v>
      </c>
      <c r="N513">
        <v>0</v>
      </c>
    </row>
    <row r="514" spans="1:14" x14ac:dyDescent="0.25">
      <c r="A514">
        <v>240.43944200000001</v>
      </c>
      <c r="B514" s="1">
        <f>DATE(2010,12,27) + TIME(10,32,47)</f>
        <v>40539.439432870371</v>
      </c>
      <c r="C514">
        <v>80</v>
      </c>
      <c r="D514">
        <v>71.565414429</v>
      </c>
      <c r="E514">
        <v>50</v>
      </c>
      <c r="F514">
        <v>49.922546386999997</v>
      </c>
      <c r="G514">
        <v>1308.8204346</v>
      </c>
      <c r="H514">
        <v>1300.0534668</v>
      </c>
      <c r="I514">
        <v>1376.557251</v>
      </c>
      <c r="J514">
        <v>1362.7734375</v>
      </c>
      <c r="K514">
        <v>0</v>
      </c>
      <c r="L514">
        <v>1650</v>
      </c>
      <c r="M514">
        <v>1650</v>
      </c>
      <c r="N514">
        <v>0</v>
      </c>
    </row>
    <row r="515" spans="1:14" x14ac:dyDescent="0.25">
      <c r="A515">
        <v>242.009883</v>
      </c>
      <c r="B515" s="1">
        <f>DATE(2010,12,29) + TIME(0,14,13)</f>
        <v>40541.009872685187</v>
      </c>
      <c r="C515">
        <v>80</v>
      </c>
      <c r="D515">
        <v>71.401557921999995</v>
      </c>
      <c r="E515">
        <v>50</v>
      </c>
      <c r="F515">
        <v>49.922733307000001</v>
      </c>
      <c r="G515">
        <v>1308.7067870999999</v>
      </c>
      <c r="H515">
        <v>1299.90625</v>
      </c>
      <c r="I515">
        <v>1376.4998779</v>
      </c>
      <c r="J515">
        <v>1362.7211914</v>
      </c>
      <c r="K515">
        <v>0</v>
      </c>
      <c r="L515">
        <v>1650</v>
      </c>
      <c r="M515">
        <v>1650</v>
      </c>
      <c r="N515">
        <v>0</v>
      </c>
    </row>
    <row r="516" spans="1:14" x14ac:dyDescent="0.25">
      <c r="A516">
        <v>243.59712200000001</v>
      </c>
      <c r="B516" s="1">
        <f>DATE(2010,12,30) + TIME(14,19,51)</f>
        <v>40542.597118055557</v>
      </c>
      <c r="C516">
        <v>80</v>
      </c>
      <c r="D516">
        <v>71.236770629999995</v>
      </c>
      <c r="E516">
        <v>50</v>
      </c>
      <c r="F516">
        <v>49.922920226999999</v>
      </c>
      <c r="G516">
        <v>1308.5900879000001</v>
      </c>
      <c r="H516">
        <v>1299.7545166</v>
      </c>
      <c r="I516">
        <v>1376.4440918</v>
      </c>
      <c r="J516">
        <v>1362.6704102000001</v>
      </c>
      <c r="K516">
        <v>0</v>
      </c>
      <c r="L516">
        <v>1650</v>
      </c>
      <c r="M516">
        <v>1650</v>
      </c>
      <c r="N516">
        <v>0</v>
      </c>
    </row>
    <row r="517" spans="1:14" x14ac:dyDescent="0.25">
      <c r="A517">
        <v>245</v>
      </c>
      <c r="B517" s="1">
        <f>DATE(2011,1,1) + TIME(0,0,0)</f>
        <v>40544</v>
      </c>
      <c r="C517">
        <v>80</v>
      </c>
      <c r="D517">
        <v>71.081054687999995</v>
      </c>
      <c r="E517">
        <v>50</v>
      </c>
      <c r="F517">
        <v>49.923084258999999</v>
      </c>
      <c r="G517">
        <v>1308.4703368999999</v>
      </c>
      <c r="H517">
        <v>1299.5993652</v>
      </c>
      <c r="I517">
        <v>1376.3892822</v>
      </c>
      <c r="J517">
        <v>1362.6204834</v>
      </c>
      <c r="K517">
        <v>0</v>
      </c>
      <c r="L517">
        <v>1650</v>
      </c>
      <c r="M517">
        <v>1650</v>
      </c>
      <c r="N517">
        <v>0</v>
      </c>
    </row>
    <row r="518" spans="1:14" x14ac:dyDescent="0.25">
      <c r="A518">
        <v>246.60844</v>
      </c>
      <c r="B518" s="1">
        <f>DATE(2011,1,2) + TIME(14,36,9)</f>
        <v>40545.608437499999</v>
      </c>
      <c r="C518">
        <v>80</v>
      </c>
      <c r="D518">
        <v>70.920730590999995</v>
      </c>
      <c r="E518">
        <v>50</v>
      </c>
      <c r="F518">
        <v>49.923271178999997</v>
      </c>
      <c r="G518">
        <v>1308.3603516000001</v>
      </c>
      <c r="H518">
        <v>1299.4530029</v>
      </c>
      <c r="I518">
        <v>1376.3427733999999</v>
      </c>
      <c r="J518">
        <v>1362.578125</v>
      </c>
      <c r="K518">
        <v>0</v>
      </c>
      <c r="L518">
        <v>1650</v>
      </c>
      <c r="M518">
        <v>1650</v>
      </c>
      <c r="N518">
        <v>0</v>
      </c>
    </row>
    <row r="519" spans="1:14" x14ac:dyDescent="0.25">
      <c r="A519">
        <v>248.280732</v>
      </c>
      <c r="B519" s="1">
        <f>DATE(2011,1,4) + TIME(6,44,15)</f>
        <v>40547.280729166669</v>
      </c>
      <c r="C519">
        <v>80</v>
      </c>
      <c r="D519">
        <v>70.754203795999999</v>
      </c>
      <c r="E519">
        <v>50</v>
      </c>
      <c r="F519">
        <v>49.923469543000003</v>
      </c>
      <c r="G519">
        <v>1308.2348632999999</v>
      </c>
      <c r="H519">
        <v>1299.2882079999999</v>
      </c>
      <c r="I519">
        <v>1376.2906493999999</v>
      </c>
      <c r="J519">
        <v>1362.5307617000001</v>
      </c>
      <c r="K519">
        <v>0</v>
      </c>
      <c r="L519">
        <v>1650</v>
      </c>
      <c r="M519">
        <v>1650</v>
      </c>
      <c r="N519">
        <v>0</v>
      </c>
    </row>
    <row r="520" spans="1:14" x14ac:dyDescent="0.25">
      <c r="A520">
        <v>249.999855</v>
      </c>
      <c r="B520" s="1">
        <f>DATE(2011,1,5) + TIME(23,59,47)</f>
        <v>40548.999849537038</v>
      </c>
      <c r="C520">
        <v>80</v>
      </c>
      <c r="D520">
        <v>70.582122803000004</v>
      </c>
      <c r="E520">
        <v>50</v>
      </c>
      <c r="F520">
        <v>49.923671722000002</v>
      </c>
      <c r="G520">
        <v>1308.1019286999999</v>
      </c>
      <c r="H520">
        <v>1299.1130370999999</v>
      </c>
      <c r="I520">
        <v>1376.2381591999999</v>
      </c>
      <c r="J520">
        <v>1362.4829102000001</v>
      </c>
      <c r="K520">
        <v>0</v>
      </c>
      <c r="L520">
        <v>1650</v>
      </c>
      <c r="M520">
        <v>1650</v>
      </c>
      <c r="N520">
        <v>0</v>
      </c>
    </row>
    <row r="521" spans="1:14" x14ac:dyDescent="0.25">
      <c r="A521">
        <v>251.77479099999999</v>
      </c>
      <c r="B521" s="1">
        <f>DATE(2011,1,7) + TIME(18,35,41)</f>
        <v>40550.774780092594</v>
      </c>
      <c r="C521">
        <v>80</v>
      </c>
      <c r="D521">
        <v>70.404518127000003</v>
      </c>
      <c r="E521">
        <v>50</v>
      </c>
      <c r="F521">
        <v>49.923877716</v>
      </c>
      <c r="G521">
        <v>1307.9624022999999</v>
      </c>
      <c r="H521">
        <v>1298.9285889</v>
      </c>
      <c r="I521">
        <v>1376.1857910000001</v>
      </c>
      <c r="J521">
        <v>1362.4354248</v>
      </c>
      <c r="K521">
        <v>0</v>
      </c>
      <c r="L521">
        <v>1650</v>
      </c>
      <c r="M521">
        <v>1650</v>
      </c>
      <c r="N521">
        <v>0</v>
      </c>
    </row>
    <row r="522" spans="1:14" x14ac:dyDescent="0.25">
      <c r="A522">
        <v>253.60705300000001</v>
      </c>
      <c r="B522" s="1">
        <f>DATE(2011,1,9) + TIME(14,34,9)</f>
        <v>40552.607048611113</v>
      </c>
      <c r="C522">
        <v>80</v>
      </c>
      <c r="D522">
        <v>70.221076964999995</v>
      </c>
      <c r="E522">
        <v>50</v>
      </c>
      <c r="F522">
        <v>49.924091339</v>
      </c>
      <c r="G522">
        <v>1307.8156738</v>
      </c>
      <c r="H522">
        <v>1298.7337646000001</v>
      </c>
      <c r="I522">
        <v>1376.1334228999999</v>
      </c>
      <c r="J522">
        <v>1362.3878173999999</v>
      </c>
      <c r="K522">
        <v>0</v>
      </c>
      <c r="L522">
        <v>1650</v>
      </c>
      <c r="M522">
        <v>1650</v>
      </c>
      <c r="N522">
        <v>0</v>
      </c>
    </row>
    <row r="523" spans="1:14" x14ac:dyDescent="0.25">
      <c r="A523">
        <v>255.45488900000001</v>
      </c>
      <c r="B523" s="1">
        <f>DATE(2011,1,11) + TIME(10,55,2)</f>
        <v>40554.454884259256</v>
      </c>
      <c r="C523">
        <v>80</v>
      </c>
      <c r="D523">
        <v>70.033233643000003</v>
      </c>
      <c r="E523">
        <v>50</v>
      </c>
      <c r="F523">
        <v>49.924304962000001</v>
      </c>
      <c r="G523">
        <v>1307.6613769999999</v>
      </c>
      <c r="H523">
        <v>1298.5285644999999</v>
      </c>
      <c r="I523">
        <v>1376.0810547000001</v>
      </c>
      <c r="J523">
        <v>1362.3402100000001</v>
      </c>
      <c r="K523">
        <v>0</v>
      </c>
      <c r="L523">
        <v>1650</v>
      </c>
      <c r="M523">
        <v>1650</v>
      </c>
      <c r="N523">
        <v>0</v>
      </c>
    </row>
    <row r="524" spans="1:14" x14ac:dyDescent="0.25">
      <c r="A524">
        <v>257.31638400000003</v>
      </c>
      <c r="B524" s="1">
        <f>DATE(2011,1,13) + TIME(7,35,35)</f>
        <v>40556.316377314812</v>
      </c>
      <c r="C524">
        <v>80</v>
      </c>
      <c r="D524">
        <v>69.842010497999993</v>
      </c>
      <c r="E524">
        <v>50</v>
      </c>
      <c r="F524">
        <v>49.924522400000001</v>
      </c>
      <c r="G524">
        <v>1307.5025635</v>
      </c>
      <c r="H524">
        <v>1298.3160399999999</v>
      </c>
      <c r="I524">
        <v>1376.0297852000001</v>
      </c>
      <c r="J524">
        <v>1362.2937012</v>
      </c>
      <c r="K524">
        <v>0</v>
      </c>
      <c r="L524">
        <v>1650</v>
      </c>
      <c r="M524">
        <v>1650</v>
      </c>
      <c r="N524">
        <v>0</v>
      </c>
    </row>
    <row r="525" spans="1:14" x14ac:dyDescent="0.25">
      <c r="A525">
        <v>259.19768800000003</v>
      </c>
      <c r="B525" s="1">
        <f>DATE(2011,1,15) + TIME(4,44,40)</f>
        <v>40558.197685185187</v>
      </c>
      <c r="C525">
        <v>80</v>
      </c>
      <c r="D525">
        <v>69.647605896000002</v>
      </c>
      <c r="E525">
        <v>50</v>
      </c>
      <c r="F525">
        <v>49.924736023000001</v>
      </c>
      <c r="G525">
        <v>1307.3393555</v>
      </c>
      <c r="H525">
        <v>1298.0969238</v>
      </c>
      <c r="I525">
        <v>1375.9797363</v>
      </c>
      <c r="J525">
        <v>1362.2482910000001</v>
      </c>
      <c r="K525">
        <v>0</v>
      </c>
      <c r="L525">
        <v>1650</v>
      </c>
      <c r="M525">
        <v>1650</v>
      </c>
      <c r="N525">
        <v>0</v>
      </c>
    </row>
    <row r="526" spans="1:14" x14ac:dyDescent="0.25">
      <c r="A526">
        <v>261.10927299999997</v>
      </c>
      <c r="B526" s="1">
        <f>DATE(2011,1,17) + TIME(2,37,21)</f>
        <v>40560.109270833331</v>
      </c>
      <c r="C526">
        <v>80</v>
      </c>
      <c r="D526">
        <v>69.449302673000005</v>
      </c>
      <c r="E526">
        <v>50</v>
      </c>
      <c r="F526">
        <v>49.924957274999997</v>
      </c>
      <c r="G526">
        <v>1307.1713867000001</v>
      </c>
      <c r="H526">
        <v>1297.8704834</v>
      </c>
      <c r="I526">
        <v>1375.9306641000001</v>
      </c>
      <c r="J526">
        <v>1362.2038574000001</v>
      </c>
      <c r="K526">
        <v>0</v>
      </c>
      <c r="L526">
        <v>1650</v>
      </c>
      <c r="M526">
        <v>1650</v>
      </c>
      <c r="N526">
        <v>0</v>
      </c>
    </row>
    <row r="527" spans="1:14" x14ac:dyDescent="0.25">
      <c r="A527">
        <v>263.06196799999998</v>
      </c>
      <c r="B527" s="1">
        <f>DATE(2011,1,19) + TIME(1,29,14)</f>
        <v>40562.061967592592</v>
      </c>
      <c r="C527">
        <v>80</v>
      </c>
      <c r="D527">
        <v>69.245887756000002</v>
      </c>
      <c r="E527">
        <v>50</v>
      </c>
      <c r="F527">
        <v>49.925178528000004</v>
      </c>
      <c r="G527">
        <v>1306.9978027</v>
      </c>
      <c r="H527">
        <v>1297.6356201000001</v>
      </c>
      <c r="I527">
        <v>1375.8822021000001</v>
      </c>
      <c r="J527">
        <v>1362.1599120999999</v>
      </c>
      <c r="K527">
        <v>0</v>
      </c>
      <c r="L527">
        <v>1650</v>
      </c>
      <c r="M527">
        <v>1650</v>
      </c>
      <c r="N527">
        <v>0</v>
      </c>
    </row>
    <row r="528" spans="1:14" x14ac:dyDescent="0.25">
      <c r="A528">
        <v>265.058311</v>
      </c>
      <c r="B528" s="1">
        <f>DATE(2011,1,21) + TIME(1,23,58)</f>
        <v>40564.058310185188</v>
      </c>
      <c r="C528">
        <v>80</v>
      </c>
      <c r="D528">
        <v>69.036224364999995</v>
      </c>
      <c r="E528">
        <v>50</v>
      </c>
      <c r="F528">
        <v>49.925407409999998</v>
      </c>
      <c r="G528">
        <v>1306.8173827999999</v>
      </c>
      <c r="H528">
        <v>1297.3907471</v>
      </c>
      <c r="I528">
        <v>1375.8342285000001</v>
      </c>
      <c r="J528">
        <v>1362.1164550999999</v>
      </c>
      <c r="K528">
        <v>0</v>
      </c>
      <c r="L528">
        <v>1650</v>
      </c>
      <c r="M528">
        <v>1650</v>
      </c>
      <c r="N528">
        <v>0</v>
      </c>
    </row>
    <row r="529" spans="1:14" x14ac:dyDescent="0.25">
      <c r="A529">
        <v>267.09977800000001</v>
      </c>
      <c r="B529" s="1">
        <f>DATE(2011,1,23) + TIME(2,23,40)</f>
        <v>40566.099768518521</v>
      </c>
      <c r="C529">
        <v>80</v>
      </c>
      <c r="D529">
        <v>68.819412231000001</v>
      </c>
      <c r="E529">
        <v>50</v>
      </c>
      <c r="F529">
        <v>49.925636292</v>
      </c>
      <c r="G529">
        <v>1306.6300048999999</v>
      </c>
      <c r="H529">
        <v>1297.135376</v>
      </c>
      <c r="I529">
        <v>1375.786499</v>
      </c>
      <c r="J529">
        <v>1362.0732422000001</v>
      </c>
      <c r="K529">
        <v>0</v>
      </c>
      <c r="L529">
        <v>1650</v>
      </c>
      <c r="M529">
        <v>1650</v>
      </c>
      <c r="N529">
        <v>0</v>
      </c>
    </row>
    <row r="530" spans="1:14" x14ac:dyDescent="0.25">
      <c r="A530">
        <v>269.19634600000001</v>
      </c>
      <c r="B530" s="1">
        <f>DATE(2011,1,25) + TIME(4,42,44)</f>
        <v>40568.196342592593</v>
      </c>
      <c r="C530">
        <v>80</v>
      </c>
      <c r="D530">
        <v>68.594276428000001</v>
      </c>
      <c r="E530">
        <v>50</v>
      </c>
      <c r="F530">
        <v>49.925872802999997</v>
      </c>
      <c r="G530">
        <v>1306.4350586</v>
      </c>
      <c r="H530">
        <v>1296.8688964999999</v>
      </c>
      <c r="I530">
        <v>1375.7391356999999</v>
      </c>
      <c r="J530">
        <v>1362.0302733999999</v>
      </c>
      <c r="K530">
        <v>0</v>
      </c>
      <c r="L530">
        <v>1650</v>
      </c>
      <c r="M530">
        <v>1650</v>
      </c>
      <c r="N530">
        <v>0</v>
      </c>
    </row>
    <row r="531" spans="1:14" x14ac:dyDescent="0.25">
      <c r="A531">
        <v>271.33546799999999</v>
      </c>
      <c r="B531" s="1">
        <f>DATE(2011,1,27) + TIME(8,3,4)</f>
        <v>40570.335462962961</v>
      </c>
      <c r="C531">
        <v>80</v>
      </c>
      <c r="D531">
        <v>68.360153198000006</v>
      </c>
      <c r="E531">
        <v>50</v>
      </c>
      <c r="F531">
        <v>49.926113129000001</v>
      </c>
      <c r="G531">
        <v>1306.2316894999999</v>
      </c>
      <c r="H531">
        <v>1296.5899658000001</v>
      </c>
      <c r="I531">
        <v>1375.6917725000001</v>
      </c>
      <c r="J531">
        <v>1361.9874268000001</v>
      </c>
      <c r="K531">
        <v>0</v>
      </c>
      <c r="L531">
        <v>1650</v>
      </c>
      <c r="M531">
        <v>1650</v>
      </c>
      <c r="N531">
        <v>0</v>
      </c>
    </row>
    <row r="532" spans="1:14" x14ac:dyDescent="0.25">
      <c r="A532">
        <v>273.48931399999998</v>
      </c>
      <c r="B532" s="1">
        <f>DATE(2011,1,29) + TIME(11,44,36)</f>
        <v>40572.489305555559</v>
      </c>
      <c r="C532">
        <v>80</v>
      </c>
      <c r="D532">
        <v>68.117835998999993</v>
      </c>
      <c r="E532">
        <v>50</v>
      </c>
      <c r="F532">
        <v>49.926353454999997</v>
      </c>
      <c r="G532">
        <v>1306.0207519999999</v>
      </c>
      <c r="H532">
        <v>1296.2998047000001</v>
      </c>
      <c r="I532">
        <v>1375.6446533000001</v>
      </c>
      <c r="J532">
        <v>1361.9449463000001</v>
      </c>
      <c r="K532">
        <v>0</v>
      </c>
      <c r="L532">
        <v>1650</v>
      </c>
      <c r="M532">
        <v>1650</v>
      </c>
      <c r="N532">
        <v>0</v>
      </c>
    </row>
    <row r="533" spans="1:14" x14ac:dyDescent="0.25">
      <c r="A533">
        <v>275.66486500000002</v>
      </c>
      <c r="B533" s="1">
        <f>DATE(2011,1,31) + TIME(15,57,24)</f>
        <v>40574.664861111109</v>
      </c>
      <c r="C533">
        <v>80</v>
      </c>
      <c r="D533">
        <v>67.867820739999999</v>
      </c>
      <c r="E533">
        <v>50</v>
      </c>
      <c r="F533">
        <v>49.926593781000001</v>
      </c>
      <c r="G533">
        <v>1305.8046875</v>
      </c>
      <c r="H533">
        <v>1296.0009766000001</v>
      </c>
      <c r="I533">
        <v>1375.5986327999999</v>
      </c>
      <c r="J533">
        <v>1361.9033202999999</v>
      </c>
      <c r="K533">
        <v>0</v>
      </c>
      <c r="L533">
        <v>1650</v>
      </c>
      <c r="M533">
        <v>1650</v>
      </c>
      <c r="N533">
        <v>0</v>
      </c>
    </row>
    <row r="534" spans="1:14" x14ac:dyDescent="0.25">
      <c r="A534">
        <v>276</v>
      </c>
      <c r="B534" s="1">
        <f>DATE(2011,2,1) + TIME(0,0,0)</f>
        <v>40575</v>
      </c>
      <c r="C534">
        <v>80</v>
      </c>
      <c r="D534">
        <v>67.781677246000001</v>
      </c>
      <c r="E534">
        <v>50</v>
      </c>
      <c r="F534">
        <v>49.926624298</v>
      </c>
      <c r="G534">
        <v>1305.6009521000001</v>
      </c>
      <c r="H534">
        <v>1295.7464600000001</v>
      </c>
      <c r="I534">
        <v>1375.5517577999999</v>
      </c>
      <c r="J534">
        <v>1361.8608397999999</v>
      </c>
      <c r="K534">
        <v>0</v>
      </c>
      <c r="L534">
        <v>1650</v>
      </c>
      <c r="M534">
        <v>1650</v>
      </c>
      <c r="N534">
        <v>0</v>
      </c>
    </row>
    <row r="535" spans="1:14" x14ac:dyDescent="0.25">
      <c r="A535">
        <v>278.20596899999998</v>
      </c>
      <c r="B535" s="1">
        <f>DATE(2011,2,3) + TIME(4,56,35)</f>
        <v>40577.205960648149</v>
      </c>
      <c r="C535">
        <v>80</v>
      </c>
      <c r="D535">
        <v>67.551956176999994</v>
      </c>
      <c r="E535">
        <v>50</v>
      </c>
      <c r="F535">
        <v>49.926872252999999</v>
      </c>
      <c r="G535">
        <v>1305.5399170000001</v>
      </c>
      <c r="H535">
        <v>1295.6286620999999</v>
      </c>
      <c r="I535">
        <v>1375.5465088000001</v>
      </c>
      <c r="J535">
        <v>1361.8562012</v>
      </c>
      <c r="K535">
        <v>0</v>
      </c>
      <c r="L535">
        <v>1650</v>
      </c>
      <c r="M535">
        <v>1650</v>
      </c>
      <c r="N535">
        <v>0</v>
      </c>
    </row>
    <row r="536" spans="1:14" x14ac:dyDescent="0.25">
      <c r="A536">
        <v>280.45561199999997</v>
      </c>
      <c r="B536" s="1">
        <f>DATE(2011,2,5) + TIME(10,56,4)</f>
        <v>40579.455601851849</v>
      </c>
      <c r="C536">
        <v>80</v>
      </c>
      <c r="D536">
        <v>67.293067932</v>
      </c>
      <c r="E536">
        <v>50</v>
      </c>
      <c r="F536">
        <v>49.927120209000002</v>
      </c>
      <c r="G536">
        <v>1305.3171387</v>
      </c>
      <c r="H536">
        <v>1295.3208007999999</v>
      </c>
      <c r="I536">
        <v>1375.5019531</v>
      </c>
      <c r="J536">
        <v>1361.8160399999999</v>
      </c>
      <c r="K536">
        <v>0</v>
      </c>
      <c r="L536">
        <v>1650</v>
      </c>
      <c r="M536">
        <v>1650</v>
      </c>
      <c r="N536">
        <v>0</v>
      </c>
    </row>
    <row r="537" spans="1:14" x14ac:dyDescent="0.25">
      <c r="A537">
        <v>282.75317999999999</v>
      </c>
      <c r="B537" s="1">
        <f>DATE(2011,2,7) + TIME(18,4,34)</f>
        <v>40581.753171296295</v>
      </c>
      <c r="C537">
        <v>80</v>
      </c>
      <c r="D537">
        <v>67.015350342000005</v>
      </c>
      <c r="E537">
        <v>50</v>
      </c>
      <c r="F537">
        <v>49.927371979</v>
      </c>
      <c r="G537">
        <v>1305.0830077999999</v>
      </c>
      <c r="H537">
        <v>1294.9941406</v>
      </c>
      <c r="I537">
        <v>1375.4576416</v>
      </c>
      <c r="J537">
        <v>1361.776001</v>
      </c>
      <c r="K537">
        <v>0</v>
      </c>
      <c r="L537">
        <v>1650</v>
      </c>
      <c r="M537">
        <v>1650</v>
      </c>
      <c r="N537">
        <v>0</v>
      </c>
    </row>
    <row r="538" spans="1:14" x14ac:dyDescent="0.25">
      <c r="A538">
        <v>285.10662200000002</v>
      </c>
      <c r="B538" s="1">
        <f>DATE(2011,2,10) + TIME(2,33,32)</f>
        <v>40584.106620370374</v>
      </c>
      <c r="C538">
        <v>80</v>
      </c>
      <c r="D538">
        <v>66.721542357999994</v>
      </c>
      <c r="E538">
        <v>50</v>
      </c>
      <c r="F538">
        <v>49.927627563000001</v>
      </c>
      <c r="G538">
        <v>1304.8395995999999</v>
      </c>
      <c r="H538">
        <v>1294.6523437999999</v>
      </c>
      <c r="I538">
        <v>1375.4134521000001</v>
      </c>
      <c r="J538">
        <v>1361.7362060999999</v>
      </c>
      <c r="K538">
        <v>0</v>
      </c>
      <c r="L538">
        <v>1650</v>
      </c>
      <c r="M538">
        <v>1650</v>
      </c>
      <c r="N538">
        <v>0</v>
      </c>
    </row>
    <row r="539" spans="1:14" x14ac:dyDescent="0.25">
      <c r="A539">
        <v>287.52993900000001</v>
      </c>
      <c r="B539" s="1">
        <f>DATE(2011,2,12) + TIME(12,43,6)</f>
        <v>40586.529930555553</v>
      </c>
      <c r="C539">
        <v>80</v>
      </c>
      <c r="D539">
        <v>66.411041260000005</v>
      </c>
      <c r="E539">
        <v>50</v>
      </c>
      <c r="F539">
        <v>49.927886962999999</v>
      </c>
      <c r="G539">
        <v>1304.5867920000001</v>
      </c>
      <c r="H539">
        <v>1294.2956543</v>
      </c>
      <c r="I539">
        <v>1375.3693848</v>
      </c>
      <c r="J539">
        <v>1361.6964111</v>
      </c>
      <c r="K539">
        <v>0</v>
      </c>
      <c r="L539">
        <v>1650</v>
      </c>
      <c r="M539">
        <v>1650</v>
      </c>
      <c r="N539">
        <v>0</v>
      </c>
    </row>
    <row r="540" spans="1:14" x14ac:dyDescent="0.25">
      <c r="A540">
        <v>289.97485699999999</v>
      </c>
      <c r="B540" s="1">
        <f>DATE(2011,2,14) + TIME(23,23,47)</f>
        <v>40588.974849537037</v>
      </c>
      <c r="C540">
        <v>80</v>
      </c>
      <c r="D540">
        <v>66.084373474000003</v>
      </c>
      <c r="E540">
        <v>50</v>
      </c>
      <c r="F540">
        <v>49.928150176999999</v>
      </c>
      <c r="G540">
        <v>1304.3236084</v>
      </c>
      <c r="H540">
        <v>1293.9232178</v>
      </c>
      <c r="I540">
        <v>1375.3249512</v>
      </c>
      <c r="J540">
        <v>1361.6563721</v>
      </c>
      <c r="K540">
        <v>0</v>
      </c>
      <c r="L540">
        <v>1650</v>
      </c>
      <c r="M540">
        <v>1650</v>
      </c>
      <c r="N540">
        <v>0</v>
      </c>
    </row>
    <row r="541" spans="1:14" x14ac:dyDescent="0.25">
      <c r="A541">
        <v>292.43847299999999</v>
      </c>
      <c r="B541" s="1">
        <f>DATE(2011,2,17) + TIME(10,31,24)</f>
        <v>40591.438472222224</v>
      </c>
      <c r="C541">
        <v>80</v>
      </c>
      <c r="D541">
        <v>65.743545531999999</v>
      </c>
      <c r="E541">
        <v>50</v>
      </c>
      <c r="F541">
        <v>49.928409576</v>
      </c>
      <c r="G541">
        <v>1304.0543213000001</v>
      </c>
      <c r="H541">
        <v>1293.5401611</v>
      </c>
      <c r="I541">
        <v>1375.2811279</v>
      </c>
      <c r="J541">
        <v>1361.6169434000001</v>
      </c>
      <c r="K541">
        <v>0</v>
      </c>
      <c r="L541">
        <v>1650</v>
      </c>
      <c r="M541">
        <v>1650</v>
      </c>
      <c r="N541">
        <v>0</v>
      </c>
    </row>
    <row r="542" spans="1:14" x14ac:dyDescent="0.25">
      <c r="A542">
        <v>294.92713300000003</v>
      </c>
      <c r="B542" s="1">
        <f>DATE(2011,2,19) + TIME(22,15,4)</f>
        <v>40593.927129629628</v>
      </c>
      <c r="C542">
        <v>80</v>
      </c>
      <c r="D542">
        <v>65.388641356999997</v>
      </c>
      <c r="E542">
        <v>50</v>
      </c>
      <c r="F542">
        <v>49.928672790999997</v>
      </c>
      <c r="G542">
        <v>1303.7797852000001</v>
      </c>
      <c r="H542">
        <v>1293.1479492000001</v>
      </c>
      <c r="I542">
        <v>1375.2380370999999</v>
      </c>
      <c r="J542">
        <v>1361.578125</v>
      </c>
      <c r="K542">
        <v>0</v>
      </c>
      <c r="L542">
        <v>1650</v>
      </c>
      <c r="M542">
        <v>1650</v>
      </c>
      <c r="N542">
        <v>0</v>
      </c>
    </row>
    <row r="543" spans="1:14" x14ac:dyDescent="0.25">
      <c r="A543">
        <v>297.43726700000002</v>
      </c>
      <c r="B543" s="1">
        <f>DATE(2011,2,22) + TIME(10,29,39)</f>
        <v>40596.437256944446</v>
      </c>
      <c r="C543">
        <v>80</v>
      </c>
      <c r="D543">
        <v>65.019149780000006</v>
      </c>
      <c r="E543">
        <v>50</v>
      </c>
      <c r="F543">
        <v>49.928932189999998</v>
      </c>
      <c r="G543">
        <v>1303.5</v>
      </c>
      <c r="H543">
        <v>1292.7463379000001</v>
      </c>
      <c r="I543">
        <v>1375.1953125</v>
      </c>
      <c r="J543">
        <v>1361.5397949000001</v>
      </c>
      <c r="K543">
        <v>0</v>
      </c>
      <c r="L543">
        <v>1650</v>
      </c>
      <c r="M543">
        <v>1650</v>
      </c>
      <c r="N543">
        <v>0</v>
      </c>
    </row>
    <row r="544" spans="1:14" x14ac:dyDescent="0.25">
      <c r="A544">
        <v>299.97370000000001</v>
      </c>
      <c r="B544" s="1">
        <f>DATE(2011,2,24) + TIME(23,22,7)</f>
        <v>40598.973692129628</v>
      </c>
      <c r="C544">
        <v>80</v>
      </c>
      <c r="D544">
        <v>64.634674071999996</v>
      </c>
      <c r="E544">
        <v>50</v>
      </c>
      <c r="F544">
        <v>49.929195403999998</v>
      </c>
      <c r="G544">
        <v>1303.2152100000001</v>
      </c>
      <c r="H544">
        <v>1292.3358154</v>
      </c>
      <c r="I544">
        <v>1375.1531981999999</v>
      </c>
      <c r="J544">
        <v>1361.5018310999999</v>
      </c>
      <c r="K544">
        <v>0</v>
      </c>
      <c r="L544">
        <v>1650</v>
      </c>
      <c r="M544">
        <v>1650</v>
      </c>
      <c r="N544">
        <v>0</v>
      </c>
    </row>
    <row r="545" spans="1:14" x14ac:dyDescent="0.25">
      <c r="A545">
        <v>302.53067900000002</v>
      </c>
      <c r="B545" s="1">
        <f>DATE(2011,2,27) + TIME(12,44,10)</f>
        <v>40601.530671296299</v>
      </c>
      <c r="C545">
        <v>80</v>
      </c>
      <c r="D545">
        <v>64.234603882000002</v>
      </c>
      <c r="E545">
        <v>50</v>
      </c>
      <c r="F545">
        <v>49.929458617999998</v>
      </c>
      <c r="G545">
        <v>1302.9254149999999</v>
      </c>
      <c r="H545">
        <v>1291.9161377</v>
      </c>
      <c r="I545">
        <v>1375.1113281</v>
      </c>
      <c r="J545">
        <v>1361.4641113</v>
      </c>
      <c r="K545">
        <v>0</v>
      </c>
      <c r="L545">
        <v>1650</v>
      </c>
      <c r="M545">
        <v>1650</v>
      </c>
      <c r="N545">
        <v>0</v>
      </c>
    </row>
    <row r="546" spans="1:14" x14ac:dyDescent="0.25">
      <c r="A546">
        <v>304</v>
      </c>
      <c r="B546" s="1">
        <f>DATE(2011,3,1) + TIME(0,0,0)</f>
        <v>40603</v>
      </c>
      <c r="C546">
        <v>80</v>
      </c>
      <c r="D546">
        <v>63.897548676</v>
      </c>
      <c r="E546">
        <v>50</v>
      </c>
      <c r="F546">
        <v>49.929603577000002</v>
      </c>
      <c r="G546">
        <v>1302.6376952999999</v>
      </c>
      <c r="H546">
        <v>1291.5123291</v>
      </c>
      <c r="I546">
        <v>1375.0690918</v>
      </c>
      <c r="J546">
        <v>1361.4261475000001</v>
      </c>
      <c r="K546">
        <v>0</v>
      </c>
      <c r="L546">
        <v>1650</v>
      </c>
      <c r="M546">
        <v>1650</v>
      </c>
      <c r="N546">
        <v>0</v>
      </c>
    </row>
    <row r="547" spans="1:14" x14ac:dyDescent="0.25">
      <c r="A547">
        <v>306.57619</v>
      </c>
      <c r="B547" s="1">
        <f>DATE(2011,3,3) + TIME(13,49,42)</f>
        <v>40605.576180555552</v>
      </c>
      <c r="C547">
        <v>80</v>
      </c>
      <c r="D547">
        <v>63.542251587000003</v>
      </c>
      <c r="E547">
        <v>50</v>
      </c>
      <c r="F547">
        <v>49.929870604999998</v>
      </c>
      <c r="G547">
        <v>1302.4476318</v>
      </c>
      <c r="H547">
        <v>1291.2119141000001</v>
      </c>
      <c r="I547">
        <v>1375.0463867000001</v>
      </c>
      <c r="J547">
        <v>1361.4057617000001</v>
      </c>
      <c r="K547">
        <v>0</v>
      </c>
      <c r="L547">
        <v>1650</v>
      </c>
      <c r="M547">
        <v>1650</v>
      </c>
      <c r="N547">
        <v>0</v>
      </c>
    </row>
    <row r="548" spans="1:14" x14ac:dyDescent="0.25">
      <c r="A548">
        <v>309.194188</v>
      </c>
      <c r="B548" s="1">
        <f>DATE(2011,3,6) + TIME(4,39,37)</f>
        <v>40608.194178240738</v>
      </c>
      <c r="C548">
        <v>80</v>
      </c>
      <c r="D548">
        <v>63.123390198000003</v>
      </c>
      <c r="E548">
        <v>50</v>
      </c>
      <c r="F548">
        <v>49.930137633999998</v>
      </c>
      <c r="G548">
        <v>1302.1580810999999</v>
      </c>
      <c r="H548">
        <v>1290.7930908000001</v>
      </c>
      <c r="I548">
        <v>1375.0057373</v>
      </c>
      <c r="J548">
        <v>1361.3692627</v>
      </c>
      <c r="K548">
        <v>0</v>
      </c>
      <c r="L548">
        <v>1650</v>
      </c>
      <c r="M548">
        <v>1650</v>
      </c>
      <c r="N548">
        <v>0</v>
      </c>
    </row>
    <row r="549" spans="1:14" x14ac:dyDescent="0.25">
      <c r="A549">
        <v>311.84528299999999</v>
      </c>
      <c r="B549" s="1">
        <f>DATE(2011,3,8) + TIME(20,17,12)</f>
        <v>40610.845277777778</v>
      </c>
      <c r="C549">
        <v>80</v>
      </c>
      <c r="D549">
        <v>62.671379088999998</v>
      </c>
      <c r="E549">
        <v>50</v>
      </c>
      <c r="F549">
        <v>49.930400847999998</v>
      </c>
      <c r="G549">
        <v>1301.8564452999999</v>
      </c>
      <c r="H549">
        <v>1290.3507079999999</v>
      </c>
      <c r="I549">
        <v>1374.9649658000001</v>
      </c>
      <c r="J549">
        <v>1361.3326416</v>
      </c>
      <c r="K549">
        <v>0</v>
      </c>
      <c r="L549">
        <v>1650</v>
      </c>
      <c r="M549">
        <v>1650</v>
      </c>
      <c r="N549">
        <v>0</v>
      </c>
    </row>
    <row r="550" spans="1:14" x14ac:dyDescent="0.25">
      <c r="A550">
        <v>314.52174500000001</v>
      </c>
      <c r="B550" s="1">
        <f>DATE(2011,3,11) + TIME(12,31,18)</f>
        <v>40613.521736111114</v>
      </c>
      <c r="C550">
        <v>80</v>
      </c>
      <c r="D550">
        <v>62.196666718000003</v>
      </c>
      <c r="E550">
        <v>50</v>
      </c>
      <c r="F550">
        <v>49.930667876999998</v>
      </c>
      <c r="G550">
        <v>1301.5479736</v>
      </c>
      <c r="H550">
        <v>1289.8951416</v>
      </c>
      <c r="I550">
        <v>1374.9243164</v>
      </c>
      <c r="J550">
        <v>1361.2961425999999</v>
      </c>
      <c r="K550">
        <v>0</v>
      </c>
      <c r="L550">
        <v>1650</v>
      </c>
      <c r="M550">
        <v>1650</v>
      </c>
      <c r="N550">
        <v>0</v>
      </c>
    </row>
    <row r="551" spans="1:14" x14ac:dyDescent="0.25">
      <c r="A551">
        <v>317.22748100000001</v>
      </c>
      <c r="B551" s="1">
        <f>DATE(2011,3,14) + TIME(5,27,34)</f>
        <v>40616.227476851855</v>
      </c>
      <c r="C551">
        <v>80</v>
      </c>
      <c r="D551">
        <v>61.702846526999998</v>
      </c>
      <c r="E551">
        <v>50</v>
      </c>
      <c r="F551">
        <v>49.930934905999997</v>
      </c>
      <c r="G551">
        <v>1301.2353516000001</v>
      </c>
      <c r="H551">
        <v>1289.4304199000001</v>
      </c>
      <c r="I551">
        <v>1374.8839111</v>
      </c>
      <c r="J551">
        <v>1361.2597656</v>
      </c>
      <c r="K551">
        <v>0</v>
      </c>
      <c r="L551">
        <v>1650</v>
      </c>
      <c r="M551">
        <v>1650</v>
      </c>
      <c r="N551">
        <v>0</v>
      </c>
    </row>
    <row r="552" spans="1:14" x14ac:dyDescent="0.25">
      <c r="A552">
        <v>319.96902899999998</v>
      </c>
      <c r="B552" s="1">
        <f>DATE(2011,3,16) + TIME(23,15,24)</f>
        <v>40618.969027777777</v>
      </c>
      <c r="C552">
        <v>80</v>
      </c>
      <c r="D552">
        <v>61.190547942999999</v>
      </c>
      <c r="E552">
        <v>50</v>
      </c>
      <c r="F552">
        <v>49.931201934999997</v>
      </c>
      <c r="G552">
        <v>1300.9187012</v>
      </c>
      <c r="H552">
        <v>1288.9577637</v>
      </c>
      <c r="I552">
        <v>1374.8435059000001</v>
      </c>
      <c r="J552">
        <v>1361.2235106999999</v>
      </c>
      <c r="K552">
        <v>0</v>
      </c>
      <c r="L552">
        <v>1650</v>
      </c>
      <c r="M552">
        <v>1650</v>
      </c>
      <c r="N552">
        <v>0</v>
      </c>
    </row>
    <row r="553" spans="1:14" x14ac:dyDescent="0.25">
      <c r="A553">
        <v>322.74249300000002</v>
      </c>
      <c r="B553" s="1">
        <f>DATE(2011,3,19) + TIME(17,49,11)</f>
        <v>40621.742488425924</v>
      </c>
      <c r="C553">
        <v>80</v>
      </c>
      <c r="D553">
        <v>60.659744263</v>
      </c>
      <c r="E553">
        <v>50</v>
      </c>
      <c r="F553">
        <v>49.931468963999997</v>
      </c>
      <c r="G553">
        <v>1300.5982666</v>
      </c>
      <c r="H553">
        <v>1288.4768065999999</v>
      </c>
      <c r="I553">
        <v>1374.8031006000001</v>
      </c>
      <c r="J553">
        <v>1361.1871338000001</v>
      </c>
      <c r="K553">
        <v>0</v>
      </c>
      <c r="L553">
        <v>1650</v>
      </c>
      <c r="M553">
        <v>1650</v>
      </c>
      <c r="N553">
        <v>0</v>
      </c>
    </row>
    <row r="554" spans="1:14" x14ac:dyDescent="0.25">
      <c r="A554">
        <v>325.55148200000002</v>
      </c>
      <c r="B554" s="1">
        <f>DATE(2011,3,22) + TIME(13,14,8)</f>
        <v>40624.551481481481</v>
      </c>
      <c r="C554">
        <v>80</v>
      </c>
      <c r="D554">
        <v>60.110546112000002</v>
      </c>
      <c r="E554">
        <v>50</v>
      </c>
      <c r="F554">
        <v>49.931739807</v>
      </c>
      <c r="G554">
        <v>1300.2745361</v>
      </c>
      <c r="H554">
        <v>1287.9885254000001</v>
      </c>
      <c r="I554">
        <v>1374.7625731999999</v>
      </c>
      <c r="J554">
        <v>1361.1506348</v>
      </c>
      <c r="K554">
        <v>0</v>
      </c>
      <c r="L554">
        <v>1650</v>
      </c>
      <c r="M554">
        <v>1650</v>
      </c>
      <c r="N554">
        <v>0</v>
      </c>
    </row>
    <row r="555" spans="1:14" x14ac:dyDescent="0.25">
      <c r="A555">
        <v>328.396683</v>
      </c>
      <c r="B555" s="1">
        <f>DATE(2011,3,25) + TIME(9,31,13)</f>
        <v>40627.396678240744</v>
      </c>
      <c r="C555">
        <v>80</v>
      </c>
      <c r="D555">
        <v>59.542533874999997</v>
      </c>
      <c r="E555">
        <v>50</v>
      </c>
      <c r="F555">
        <v>49.932010650999999</v>
      </c>
      <c r="G555">
        <v>1299.947876</v>
      </c>
      <c r="H555">
        <v>1287.4931641000001</v>
      </c>
      <c r="I555">
        <v>1374.7219238</v>
      </c>
      <c r="J555">
        <v>1361.1141356999999</v>
      </c>
      <c r="K555">
        <v>0</v>
      </c>
      <c r="L555">
        <v>1650</v>
      </c>
      <c r="M555">
        <v>1650</v>
      </c>
      <c r="N555">
        <v>0</v>
      </c>
    </row>
    <row r="556" spans="1:14" x14ac:dyDescent="0.25">
      <c r="A556">
        <v>331.27239600000001</v>
      </c>
      <c r="B556" s="1">
        <f>DATE(2011,3,28) + TIME(6,32,15)</f>
        <v>40630.27239583333</v>
      </c>
      <c r="C556">
        <v>80</v>
      </c>
      <c r="D556">
        <v>58.956523894999997</v>
      </c>
      <c r="E556">
        <v>50</v>
      </c>
      <c r="F556">
        <v>49.932281494000001</v>
      </c>
      <c r="G556">
        <v>1299.6184082</v>
      </c>
      <c r="H556">
        <v>1286.9910889</v>
      </c>
      <c r="I556">
        <v>1374.6811522999999</v>
      </c>
      <c r="J556">
        <v>1361.0773925999999</v>
      </c>
      <c r="K556">
        <v>0</v>
      </c>
      <c r="L556">
        <v>1650</v>
      </c>
      <c r="M556">
        <v>1650</v>
      </c>
      <c r="N556">
        <v>0</v>
      </c>
    </row>
    <row r="557" spans="1:14" x14ac:dyDescent="0.25">
      <c r="A557">
        <v>334.18569600000001</v>
      </c>
      <c r="B557" s="1">
        <f>DATE(2011,3,31) + TIME(4,27,24)</f>
        <v>40633.185694444444</v>
      </c>
      <c r="C557">
        <v>80</v>
      </c>
      <c r="D557">
        <v>58.353534697999997</v>
      </c>
      <c r="E557">
        <v>50</v>
      </c>
      <c r="F557">
        <v>49.932556151999997</v>
      </c>
      <c r="G557">
        <v>1299.2873535000001</v>
      </c>
      <c r="H557">
        <v>1286.4837646000001</v>
      </c>
      <c r="I557">
        <v>1374.6402588000001</v>
      </c>
      <c r="J557">
        <v>1361.0405272999999</v>
      </c>
      <c r="K557">
        <v>0</v>
      </c>
      <c r="L557">
        <v>1650</v>
      </c>
      <c r="M557">
        <v>1650</v>
      </c>
      <c r="N557">
        <v>0</v>
      </c>
    </row>
    <row r="558" spans="1:14" x14ac:dyDescent="0.25">
      <c r="A558">
        <v>335</v>
      </c>
      <c r="B558" s="1">
        <f>DATE(2011,4,1) + TIME(0,0,0)</f>
        <v>40634</v>
      </c>
      <c r="C558">
        <v>80</v>
      </c>
      <c r="D558">
        <v>57.990509033000002</v>
      </c>
      <c r="E558">
        <v>50</v>
      </c>
      <c r="F558">
        <v>49.932624816999997</v>
      </c>
      <c r="G558">
        <v>1298.9666748</v>
      </c>
      <c r="H558">
        <v>1286.0443115</v>
      </c>
      <c r="I558">
        <v>1374.5979004000001</v>
      </c>
      <c r="J558">
        <v>1361.0023193</v>
      </c>
      <c r="K558">
        <v>0</v>
      </c>
      <c r="L558">
        <v>1650</v>
      </c>
      <c r="M558">
        <v>1650</v>
      </c>
      <c r="N558">
        <v>0</v>
      </c>
    </row>
    <row r="559" spans="1:14" x14ac:dyDescent="0.25">
      <c r="A559">
        <v>337.95817599999998</v>
      </c>
      <c r="B559" s="1">
        <f>DATE(2011,4,3) + TIME(22,59,46)</f>
        <v>40636.958171296297</v>
      </c>
      <c r="C559">
        <v>80</v>
      </c>
      <c r="D559">
        <v>57.506866455000001</v>
      </c>
      <c r="E559">
        <v>50</v>
      </c>
      <c r="F559">
        <v>49.932903289999999</v>
      </c>
      <c r="G559">
        <v>1298.8458252</v>
      </c>
      <c r="H559">
        <v>1285.7895507999999</v>
      </c>
      <c r="I559">
        <v>1374.5876464999999</v>
      </c>
      <c r="J559">
        <v>1360.9930420000001</v>
      </c>
      <c r="K559">
        <v>0</v>
      </c>
      <c r="L559">
        <v>1650</v>
      </c>
      <c r="M559">
        <v>1650</v>
      </c>
      <c r="N559">
        <v>0</v>
      </c>
    </row>
    <row r="560" spans="1:14" x14ac:dyDescent="0.25">
      <c r="A560">
        <v>340.96551699999998</v>
      </c>
      <c r="B560" s="1">
        <f>DATE(2011,4,6) + TIME(23,10,20)</f>
        <v>40639.965509259258</v>
      </c>
      <c r="C560">
        <v>80</v>
      </c>
      <c r="D560">
        <v>56.904598235999998</v>
      </c>
      <c r="E560">
        <v>50</v>
      </c>
      <c r="F560">
        <v>49.933181763</v>
      </c>
      <c r="G560">
        <v>1298.5239257999999</v>
      </c>
      <c r="H560">
        <v>1285.2995605000001</v>
      </c>
      <c r="I560">
        <v>1374.5461425999999</v>
      </c>
      <c r="J560">
        <v>1360.9555664</v>
      </c>
      <c r="K560">
        <v>0</v>
      </c>
      <c r="L560">
        <v>1650</v>
      </c>
      <c r="M560">
        <v>1650</v>
      </c>
      <c r="N560">
        <v>0</v>
      </c>
    </row>
    <row r="561" spans="1:14" x14ac:dyDescent="0.25">
      <c r="A561">
        <v>344.01615099999998</v>
      </c>
      <c r="B561" s="1">
        <f>DATE(2011,4,10) + TIME(0,23,15)</f>
        <v>40643.016145833331</v>
      </c>
      <c r="C561">
        <v>80</v>
      </c>
      <c r="D561">
        <v>56.258296967</v>
      </c>
      <c r="E561">
        <v>50</v>
      </c>
      <c r="F561">
        <v>49.933456421000002</v>
      </c>
      <c r="G561">
        <v>1298.1916504000001</v>
      </c>
      <c r="H561">
        <v>1284.7839355000001</v>
      </c>
      <c r="I561">
        <v>1374.5041504000001</v>
      </c>
      <c r="J561">
        <v>1360.9176024999999</v>
      </c>
      <c r="K561">
        <v>0</v>
      </c>
      <c r="L561">
        <v>1650</v>
      </c>
      <c r="M561">
        <v>1650</v>
      </c>
      <c r="N561">
        <v>0</v>
      </c>
    </row>
    <row r="562" spans="1:14" x14ac:dyDescent="0.25">
      <c r="A562">
        <v>347.11829999999998</v>
      </c>
      <c r="B562" s="1">
        <f>DATE(2011,4,13) + TIME(2,50,21)</f>
        <v>40646.118298611109</v>
      </c>
      <c r="C562">
        <v>80</v>
      </c>
      <c r="D562">
        <v>55.589294434000003</v>
      </c>
      <c r="E562">
        <v>50</v>
      </c>
      <c r="F562">
        <v>49.933738708</v>
      </c>
      <c r="G562">
        <v>1297.8564452999999</v>
      </c>
      <c r="H562">
        <v>1284.2585449000001</v>
      </c>
      <c r="I562">
        <v>1374.4617920000001</v>
      </c>
      <c r="J562">
        <v>1360.8793945</v>
      </c>
      <c r="K562">
        <v>0</v>
      </c>
      <c r="L562">
        <v>1650</v>
      </c>
      <c r="M562">
        <v>1650</v>
      </c>
      <c r="N562">
        <v>0</v>
      </c>
    </row>
    <row r="563" spans="1:14" x14ac:dyDescent="0.25">
      <c r="A563">
        <v>350.26991500000003</v>
      </c>
      <c r="B563" s="1">
        <f>DATE(2011,4,16) + TIME(6,28,40)</f>
        <v>40649.269907407404</v>
      </c>
      <c r="C563">
        <v>80</v>
      </c>
      <c r="D563">
        <v>54.903572083</v>
      </c>
      <c r="E563">
        <v>50</v>
      </c>
      <c r="F563">
        <v>49.934017181000002</v>
      </c>
      <c r="G563">
        <v>1297.5200195</v>
      </c>
      <c r="H563">
        <v>1283.7277832</v>
      </c>
      <c r="I563">
        <v>1374.4189452999999</v>
      </c>
      <c r="J563">
        <v>1360.8405762</v>
      </c>
      <c r="K563">
        <v>0</v>
      </c>
      <c r="L563">
        <v>1650</v>
      </c>
      <c r="M563">
        <v>1650</v>
      </c>
      <c r="N563">
        <v>0</v>
      </c>
    </row>
    <row r="564" spans="1:14" x14ac:dyDescent="0.25">
      <c r="A564">
        <v>353.47164400000003</v>
      </c>
      <c r="B564" s="1">
        <f>DATE(2011,4,19) + TIME(11,19,10)</f>
        <v>40652.471643518518</v>
      </c>
      <c r="C564">
        <v>80</v>
      </c>
      <c r="D564">
        <v>54.204036713000001</v>
      </c>
      <c r="E564">
        <v>50</v>
      </c>
      <c r="F564">
        <v>49.934303284000002</v>
      </c>
      <c r="G564">
        <v>1297.1835937999999</v>
      </c>
      <c r="H564">
        <v>1283.1938477000001</v>
      </c>
      <c r="I564">
        <v>1374.3756103999999</v>
      </c>
      <c r="J564">
        <v>1360.8011475000001</v>
      </c>
      <c r="K564">
        <v>0</v>
      </c>
      <c r="L564">
        <v>1650</v>
      </c>
      <c r="M564">
        <v>1650</v>
      </c>
      <c r="N564">
        <v>0</v>
      </c>
    </row>
    <row r="565" spans="1:14" x14ac:dyDescent="0.25">
      <c r="A565">
        <v>356.712177</v>
      </c>
      <c r="B565" s="1">
        <f>DATE(2011,4,22) + TIME(17,5,32)</f>
        <v>40655.712175925924</v>
      </c>
      <c r="C565">
        <v>80</v>
      </c>
      <c r="D565">
        <v>53.493263245000001</v>
      </c>
      <c r="E565">
        <v>50</v>
      </c>
      <c r="F565">
        <v>49.934585571</v>
      </c>
      <c r="G565">
        <v>1296.8481445</v>
      </c>
      <c r="H565">
        <v>1282.6583252</v>
      </c>
      <c r="I565">
        <v>1374.3316649999999</v>
      </c>
      <c r="J565">
        <v>1360.7613524999999</v>
      </c>
      <c r="K565">
        <v>0</v>
      </c>
      <c r="L565">
        <v>1650</v>
      </c>
      <c r="M565">
        <v>1650</v>
      </c>
      <c r="N565">
        <v>0</v>
      </c>
    </row>
    <row r="566" spans="1:14" x14ac:dyDescent="0.25">
      <c r="A566">
        <v>360.00058999999999</v>
      </c>
      <c r="B566" s="1">
        <f>DATE(2011,4,26) + TIME(0,0,51)</f>
        <v>40659.000590277778</v>
      </c>
      <c r="C566">
        <v>80</v>
      </c>
      <c r="D566">
        <v>52.77406311</v>
      </c>
      <c r="E566">
        <v>50</v>
      </c>
      <c r="F566">
        <v>49.934867859000001</v>
      </c>
      <c r="G566">
        <v>1296.515625</v>
      </c>
      <c r="H566">
        <v>1282.1239014</v>
      </c>
      <c r="I566">
        <v>1374.2872314000001</v>
      </c>
      <c r="J566">
        <v>1360.7209473</v>
      </c>
      <c r="K566">
        <v>0</v>
      </c>
      <c r="L566">
        <v>1650</v>
      </c>
      <c r="M566">
        <v>1650</v>
      </c>
      <c r="N566">
        <v>0</v>
      </c>
    </row>
    <row r="567" spans="1:14" x14ac:dyDescent="0.25">
      <c r="A567">
        <v>363.34639099999998</v>
      </c>
      <c r="B567" s="1">
        <f>DATE(2011,4,29) + TIME(8,18,48)</f>
        <v>40662.346388888887</v>
      </c>
      <c r="C567">
        <v>80</v>
      </c>
      <c r="D567">
        <v>52.047210692999997</v>
      </c>
      <c r="E567">
        <v>50</v>
      </c>
      <c r="F567">
        <v>49.935157775999997</v>
      </c>
      <c r="G567">
        <v>1296.1859131000001</v>
      </c>
      <c r="H567">
        <v>1281.5906981999999</v>
      </c>
      <c r="I567">
        <v>1374.2424315999999</v>
      </c>
      <c r="J567">
        <v>1360.6801757999999</v>
      </c>
      <c r="K567">
        <v>0</v>
      </c>
      <c r="L567">
        <v>1650</v>
      </c>
      <c r="M567">
        <v>1650</v>
      </c>
      <c r="N567">
        <v>0</v>
      </c>
    </row>
    <row r="568" spans="1:14" x14ac:dyDescent="0.25">
      <c r="A568">
        <v>365</v>
      </c>
      <c r="B568" s="1">
        <f>DATE(2011,5,1) + TIME(0,0,0)</f>
        <v>40664</v>
      </c>
      <c r="C568">
        <v>80</v>
      </c>
      <c r="D568">
        <v>51.460689545000001</v>
      </c>
      <c r="E568">
        <v>50</v>
      </c>
      <c r="F568">
        <v>49.935291290000002</v>
      </c>
      <c r="G568">
        <v>1295.8620605000001</v>
      </c>
      <c r="H568">
        <v>1281.1009521000001</v>
      </c>
      <c r="I568">
        <v>1374.1962891000001</v>
      </c>
      <c r="J568">
        <v>1360.6380615</v>
      </c>
      <c r="K568">
        <v>0</v>
      </c>
      <c r="L568">
        <v>1650</v>
      </c>
      <c r="M568">
        <v>1650</v>
      </c>
      <c r="N568">
        <v>0</v>
      </c>
    </row>
    <row r="569" spans="1:14" x14ac:dyDescent="0.25">
      <c r="A569">
        <v>365.000001</v>
      </c>
      <c r="B569" s="1">
        <f>DATE(2011,5,1) + TIME(0,0,0)</f>
        <v>40664</v>
      </c>
      <c r="C569">
        <v>80</v>
      </c>
      <c r="D569">
        <v>51.460807799999998</v>
      </c>
      <c r="E569">
        <v>50</v>
      </c>
      <c r="F569">
        <v>49.935214995999999</v>
      </c>
      <c r="G569">
        <v>1312.1561279</v>
      </c>
      <c r="H569">
        <v>1296.5715332</v>
      </c>
      <c r="I569">
        <v>1360.0371094</v>
      </c>
      <c r="J569">
        <v>1347.2324219</v>
      </c>
      <c r="K569">
        <v>1650</v>
      </c>
      <c r="L569">
        <v>0</v>
      </c>
      <c r="M569">
        <v>0</v>
      </c>
      <c r="N569">
        <v>1650</v>
      </c>
    </row>
    <row r="570" spans="1:14" x14ac:dyDescent="0.25">
      <c r="A570">
        <v>365.00000399999999</v>
      </c>
      <c r="B570" s="1">
        <f>DATE(2011,5,1) + TIME(0,0,0)</f>
        <v>40664</v>
      </c>
      <c r="C570">
        <v>80</v>
      </c>
      <c r="D570">
        <v>51.461128234999997</v>
      </c>
      <c r="E570">
        <v>50</v>
      </c>
      <c r="F570">
        <v>49.935012817</v>
      </c>
      <c r="G570">
        <v>1313.8189697</v>
      </c>
      <c r="H570">
        <v>1298.4477539</v>
      </c>
      <c r="I570">
        <v>1358.4342041</v>
      </c>
      <c r="J570">
        <v>1345.6282959</v>
      </c>
      <c r="K570">
        <v>1650</v>
      </c>
      <c r="L570">
        <v>0</v>
      </c>
      <c r="M570">
        <v>0</v>
      </c>
      <c r="N570">
        <v>1650</v>
      </c>
    </row>
    <row r="571" spans="1:14" x14ac:dyDescent="0.25">
      <c r="A571">
        <v>365.00001300000002</v>
      </c>
      <c r="B571" s="1">
        <f>DATE(2011,5,1) + TIME(0,0,1)</f>
        <v>40664.000011574077</v>
      </c>
      <c r="C571">
        <v>80</v>
      </c>
      <c r="D571">
        <v>51.461898804</v>
      </c>
      <c r="E571">
        <v>50</v>
      </c>
      <c r="F571">
        <v>49.934558868000003</v>
      </c>
      <c r="G571">
        <v>1317.6444091999999</v>
      </c>
      <c r="H571">
        <v>1302.5933838000001</v>
      </c>
      <c r="I571">
        <v>1354.8376464999999</v>
      </c>
      <c r="J571">
        <v>1342.0303954999999</v>
      </c>
      <c r="K571">
        <v>1650</v>
      </c>
      <c r="L571">
        <v>0</v>
      </c>
      <c r="M571">
        <v>0</v>
      </c>
      <c r="N571">
        <v>1650</v>
      </c>
    </row>
    <row r="572" spans="1:14" x14ac:dyDescent="0.25">
      <c r="A572">
        <v>365.00004000000001</v>
      </c>
      <c r="B572" s="1">
        <f>DATE(2011,5,1) + TIME(0,0,3)</f>
        <v>40664.000034722223</v>
      </c>
      <c r="C572">
        <v>80</v>
      </c>
      <c r="D572">
        <v>51.463497162000003</v>
      </c>
      <c r="E572">
        <v>50</v>
      </c>
      <c r="F572">
        <v>49.933799743999998</v>
      </c>
      <c r="G572">
        <v>1324.3020019999999</v>
      </c>
      <c r="H572">
        <v>1309.4326172000001</v>
      </c>
      <c r="I572">
        <v>1348.8240966999999</v>
      </c>
      <c r="J572">
        <v>1336.0184326000001</v>
      </c>
      <c r="K572">
        <v>1650</v>
      </c>
      <c r="L572">
        <v>0</v>
      </c>
      <c r="M572">
        <v>0</v>
      </c>
      <c r="N572">
        <v>1650</v>
      </c>
    </row>
    <row r="573" spans="1:14" x14ac:dyDescent="0.25">
      <c r="A573">
        <v>365.00012099999998</v>
      </c>
      <c r="B573" s="1">
        <f>DATE(2011,5,1) + TIME(0,0,10)</f>
        <v>40664.000115740739</v>
      </c>
      <c r="C573">
        <v>80</v>
      </c>
      <c r="D573">
        <v>51.466773987000003</v>
      </c>
      <c r="E573">
        <v>50</v>
      </c>
      <c r="F573">
        <v>49.932861328000001</v>
      </c>
      <c r="G573">
        <v>1332.7602539</v>
      </c>
      <c r="H573">
        <v>1317.8171387</v>
      </c>
      <c r="I573">
        <v>1341.4768065999999</v>
      </c>
      <c r="J573">
        <v>1328.6800536999999</v>
      </c>
      <c r="K573">
        <v>1650</v>
      </c>
      <c r="L573">
        <v>0</v>
      </c>
      <c r="M573">
        <v>0</v>
      </c>
      <c r="N573">
        <v>1650</v>
      </c>
    </row>
    <row r="574" spans="1:14" x14ac:dyDescent="0.25">
      <c r="A574">
        <v>365.00036399999999</v>
      </c>
      <c r="B574" s="1">
        <f>DATE(2011,5,1) + TIME(0,0,31)</f>
        <v>40664.000358796293</v>
      </c>
      <c r="C574">
        <v>80</v>
      </c>
      <c r="D574">
        <v>51.474586487000003</v>
      </c>
      <c r="E574">
        <v>50</v>
      </c>
      <c r="F574">
        <v>49.931858063</v>
      </c>
      <c r="G574">
        <v>1341.7276611</v>
      </c>
      <c r="H574">
        <v>1326.6518555</v>
      </c>
      <c r="I574">
        <v>1333.9012451000001</v>
      </c>
      <c r="J574">
        <v>1321.1203613</v>
      </c>
      <c r="K574">
        <v>1650</v>
      </c>
      <c r="L574">
        <v>0</v>
      </c>
      <c r="M574">
        <v>0</v>
      </c>
      <c r="N574">
        <v>1650</v>
      </c>
    </row>
    <row r="575" spans="1:14" x14ac:dyDescent="0.25">
      <c r="A575">
        <v>365.00109300000003</v>
      </c>
      <c r="B575" s="1">
        <f>DATE(2011,5,1) + TIME(0,1,34)</f>
        <v>40664.001087962963</v>
      </c>
      <c r="C575">
        <v>80</v>
      </c>
      <c r="D575">
        <v>51.495971679999997</v>
      </c>
      <c r="E575">
        <v>50</v>
      </c>
      <c r="F575">
        <v>49.930751801</v>
      </c>
      <c r="G575">
        <v>1351.0402832</v>
      </c>
      <c r="H575">
        <v>1335.8503418</v>
      </c>
      <c r="I575">
        <v>1326.2723389</v>
      </c>
      <c r="J575">
        <v>1313.5058594</v>
      </c>
      <c r="K575">
        <v>1650</v>
      </c>
      <c r="L575">
        <v>0</v>
      </c>
      <c r="M575">
        <v>0</v>
      </c>
      <c r="N575">
        <v>1650</v>
      </c>
    </row>
    <row r="576" spans="1:14" x14ac:dyDescent="0.25">
      <c r="A576">
        <v>365.00328000000002</v>
      </c>
      <c r="B576" s="1">
        <f>DATE(2011,5,1) + TIME(0,4,43)</f>
        <v>40664.003275462965</v>
      </c>
      <c r="C576">
        <v>80</v>
      </c>
      <c r="D576">
        <v>51.558139801000003</v>
      </c>
      <c r="E576">
        <v>50</v>
      </c>
      <c r="F576">
        <v>49.929313659999998</v>
      </c>
      <c r="G576">
        <v>1360.8292236</v>
      </c>
      <c r="H576">
        <v>1345.5531006000001</v>
      </c>
      <c r="I576">
        <v>1318.3831786999999</v>
      </c>
      <c r="J576">
        <v>1305.5938721</v>
      </c>
      <c r="K576">
        <v>1650</v>
      </c>
      <c r="L576">
        <v>0</v>
      </c>
      <c r="M576">
        <v>0</v>
      </c>
      <c r="N576">
        <v>1650</v>
      </c>
    </row>
    <row r="577" spans="1:14" x14ac:dyDescent="0.25">
      <c r="A577">
        <v>365.00984099999999</v>
      </c>
      <c r="B577" s="1">
        <f>DATE(2011,5,1) + TIME(0,14,10)</f>
        <v>40664.009837962964</v>
      </c>
      <c r="C577">
        <v>80</v>
      </c>
      <c r="D577">
        <v>51.741844176999997</v>
      </c>
      <c r="E577">
        <v>50</v>
      </c>
      <c r="F577">
        <v>49.926994323999999</v>
      </c>
      <c r="G577">
        <v>1370.0897216999999</v>
      </c>
      <c r="H577">
        <v>1354.7836914</v>
      </c>
      <c r="I577">
        <v>1310.6158447</v>
      </c>
      <c r="J577">
        <v>1297.7725829999999</v>
      </c>
      <c r="K577">
        <v>1650</v>
      </c>
      <c r="L577">
        <v>0</v>
      </c>
      <c r="M577">
        <v>0</v>
      </c>
      <c r="N577">
        <v>1650</v>
      </c>
    </row>
    <row r="578" spans="1:14" x14ac:dyDescent="0.25">
      <c r="A578">
        <v>365.02952399999998</v>
      </c>
      <c r="B578" s="1">
        <f>DATE(2011,5,1) + TIME(0,42,30)</f>
        <v>40664.029513888891</v>
      </c>
      <c r="C578">
        <v>80</v>
      </c>
      <c r="D578">
        <v>52.281288146999998</v>
      </c>
      <c r="E578">
        <v>50</v>
      </c>
      <c r="F578">
        <v>49.922264099000003</v>
      </c>
      <c r="G578">
        <v>1376.6710204999999</v>
      </c>
      <c r="H578">
        <v>1361.4582519999999</v>
      </c>
      <c r="I578">
        <v>1304.7454834</v>
      </c>
      <c r="J578">
        <v>1291.8629149999999</v>
      </c>
      <c r="K578">
        <v>1650</v>
      </c>
      <c r="L578">
        <v>0</v>
      </c>
      <c r="M578">
        <v>0</v>
      </c>
      <c r="N578">
        <v>1650</v>
      </c>
    </row>
    <row r="579" spans="1:14" x14ac:dyDescent="0.25">
      <c r="A579">
        <v>365.06127199999997</v>
      </c>
      <c r="B579" s="1">
        <f>DATE(2011,5,1) + TIME(1,28,13)</f>
        <v>40664.061261574076</v>
      </c>
      <c r="C579">
        <v>80</v>
      </c>
      <c r="D579">
        <v>53.125053405999999</v>
      </c>
      <c r="E579">
        <v>50</v>
      </c>
      <c r="F579">
        <v>49.915626525999997</v>
      </c>
      <c r="G579">
        <v>1379.1610106999999</v>
      </c>
      <c r="H579">
        <v>1364.137207</v>
      </c>
      <c r="I579">
        <v>1302.5010986</v>
      </c>
      <c r="J579">
        <v>1289.6058350000001</v>
      </c>
      <c r="K579">
        <v>1650</v>
      </c>
      <c r="L579">
        <v>0</v>
      </c>
      <c r="M579">
        <v>0</v>
      </c>
      <c r="N579">
        <v>1650</v>
      </c>
    </row>
    <row r="580" spans="1:14" x14ac:dyDescent="0.25">
      <c r="A580">
        <v>365.09369500000003</v>
      </c>
      <c r="B580" s="1">
        <f>DATE(2011,5,1) + TIME(2,14,55)</f>
        <v>40664.093692129631</v>
      </c>
      <c r="C580">
        <v>80</v>
      </c>
      <c r="D580">
        <v>53.961082458</v>
      </c>
      <c r="E580">
        <v>50</v>
      </c>
      <c r="F580">
        <v>49.909114838000001</v>
      </c>
      <c r="G580">
        <v>1379.8272704999999</v>
      </c>
      <c r="H580">
        <v>1364.9842529</v>
      </c>
      <c r="I580">
        <v>1301.9219971</v>
      </c>
      <c r="J580">
        <v>1289.0231934000001</v>
      </c>
      <c r="K580">
        <v>1650</v>
      </c>
      <c r="L580">
        <v>0</v>
      </c>
      <c r="M580">
        <v>0</v>
      </c>
      <c r="N580">
        <v>1650</v>
      </c>
    </row>
    <row r="581" spans="1:14" x14ac:dyDescent="0.25">
      <c r="A581">
        <v>365.12675400000001</v>
      </c>
      <c r="B581" s="1">
        <f>DATE(2011,5,1) + TIME(3,2,31)</f>
        <v>40664.126747685186</v>
      </c>
      <c r="C581">
        <v>80</v>
      </c>
      <c r="D581">
        <v>54.787651062000002</v>
      </c>
      <c r="E581">
        <v>50</v>
      </c>
      <c r="F581">
        <v>49.902584075999997</v>
      </c>
      <c r="G581">
        <v>1379.9285889</v>
      </c>
      <c r="H581">
        <v>1365.2618408000001</v>
      </c>
      <c r="I581">
        <v>1301.7956543</v>
      </c>
      <c r="J581">
        <v>1288.8956298999999</v>
      </c>
      <c r="K581">
        <v>1650</v>
      </c>
      <c r="L581">
        <v>0</v>
      </c>
      <c r="M581">
        <v>0</v>
      </c>
      <c r="N581">
        <v>1650</v>
      </c>
    </row>
    <row r="582" spans="1:14" x14ac:dyDescent="0.25">
      <c r="A582">
        <v>365.16046499999999</v>
      </c>
      <c r="B582" s="1">
        <f>DATE(2011,5,1) + TIME(3,51,4)</f>
        <v>40664.160462962966</v>
      </c>
      <c r="C582">
        <v>80</v>
      </c>
      <c r="D582">
        <v>55.604423523000001</v>
      </c>
      <c r="E582">
        <v>50</v>
      </c>
      <c r="F582">
        <v>49.895996093999997</v>
      </c>
      <c r="G582">
        <v>1379.8293457</v>
      </c>
      <c r="H582">
        <v>1365.3325195</v>
      </c>
      <c r="I582">
        <v>1301.7886963000001</v>
      </c>
      <c r="J582">
        <v>1288.8879394999999</v>
      </c>
      <c r="K582">
        <v>1650</v>
      </c>
      <c r="L582">
        <v>0</v>
      </c>
      <c r="M582">
        <v>0</v>
      </c>
      <c r="N582">
        <v>1650</v>
      </c>
    </row>
    <row r="583" spans="1:14" x14ac:dyDescent="0.25">
      <c r="A583">
        <v>365.19485500000002</v>
      </c>
      <c r="B583" s="1">
        <f>DATE(2011,5,1) + TIME(4,40,35)</f>
        <v>40664.194849537038</v>
      </c>
      <c r="C583">
        <v>80</v>
      </c>
      <c r="D583">
        <v>56.411323547000002</v>
      </c>
      <c r="E583">
        <v>50</v>
      </c>
      <c r="F583">
        <v>49.889339446999998</v>
      </c>
      <c r="G583">
        <v>1379.6538086</v>
      </c>
      <c r="H583">
        <v>1365.3205565999999</v>
      </c>
      <c r="I583">
        <v>1301.8057861</v>
      </c>
      <c r="J583">
        <v>1288.9044189000001</v>
      </c>
      <c r="K583">
        <v>1650</v>
      </c>
      <c r="L583">
        <v>0</v>
      </c>
      <c r="M583">
        <v>0</v>
      </c>
      <c r="N583">
        <v>1650</v>
      </c>
    </row>
    <row r="584" spans="1:14" x14ac:dyDescent="0.25">
      <c r="A584">
        <v>365.22995600000002</v>
      </c>
      <c r="B584" s="1">
        <f>DATE(2011,5,1) + TIME(5,31,8)</f>
        <v>40664.229953703703</v>
      </c>
      <c r="C584">
        <v>80</v>
      </c>
      <c r="D584">
        <v>57.208324431999998</v>
      </c>
      <c r="E584">
        <v>50</v>
      </c>
      <c r="F584">
        <v>49.882602691999999</v>
      </c>
      <c r="G584">
        <v>1379.449707</v>
      </c>
      <c r="H584">
        <v>1365.2739257999999</v>
      </c>
      <c r="I584">
        <v>1301.8220214999999</v>
      </c>
      <c r="J584">
        <v>1288.9201660000001</v>
      </c>
      <c r="K584">
        <v>1650</v>
      </c>
      <c r="L584">
        <v>0</v>
      </c>
      <c r="M584">
        <v>0</v>
      </c>
      <c r="N584">
        <v>1650</v>
      </c>
    </row>
    <row r="585" spans="1:14" x14ac:dyDescent="0.25">
      <c r="A585">
        <v>365.26577200000003</v>
      </c>
      <c r="B585" s="1">
        <f>DATE(2011,5,1) + TIME(6,22,42)</f>
        <v>40664.265763888892</v>
      </c>
      <c r="C585">
        <v>80</v>
      </c>
      <c r="D585">
        <v>57.994712829999997</v>
      </c>
      <c r="E585">
        <v>50</v>
      </c>
      <c r="F585">
        <v>49.875785827999998</v>
      </c>
      <c r="G585">
        <v>1379.2374268000001</v>
      </c>
      <c r="H585">
        <v>1365.2128906</v>
      </c>
      <c r="I585">
        <v>1301.8332519999999</v>
      </c>
      <c r="J585">
        <v>1288.9307861</v>
      </c>
      <c r="K585">
        <v>1650</v>
      </c>
      <c r="L585">
        <v>0</v>
      </c>
      <c r="M585">
        <v>0</v>
      </c>
      <c r="N585">
        <v>1650</v>
      </c>
    </row>
    <row r="586" spans="1:14" x14ac:dyDescent="0.25">
      <c r="A586">
        <v>365.30230999999998</v>
      </c>
      <c r="B586" s="1">
        <f>DATE(2011,5,1) + TIME(7,15,19)</f>
        <v>40664.302303240744</v>
      </c>
      <c r="C586">
        <v>80</v>
      </c>
      <c r="D586">
        <v>58.769931792999998</v>
      </c>
      <c r="E586">
        <v>50</v>
      </c>
      <c r="F586">
        <v>49.868892670000001</v>
      </c>
      <c r="G586">
        <v>1379.0256348</v>
      </c>
      <c r="H586">
        <v>1365.1464844</v>
      </c>
      <c r="I586">
        <v>1301.8400879000001</v>
      </c>
      <c r="J586">
        <v>1288.9371338000001</v>
      </c>
      <c r="K586">
        <v>1650</v>
      </c>
      <c r="L586">
        <v>0</v>
      </c>
      <c r="M586">
        <v>0</v>
      </c>
      <c r="N586">
        <v>1650</v>
      </c>
    </row>
    <row r="587" spans="1:14" x14ac:dyDescent="0.25">
      <c r="A587">
        <v>365.339606</v>
      </c>
      <c r="B587" s="1">
        <f>DATE(2011,5,1) + TIME(8,9,1)</f>
        <v>40664.339594907404</v>
      </c>
      <c r="C587">
        <v>80</v>
      </c>
      <c r="D587">
        <v>59.533992767000001</v>
      </c>
      <c r="E587">
        <v>50</v>
      </c>
      <c r="F587">
        <v>49.861919403000002</v>
      </c>
      <c r="G587">
        <v>1378.8183594</v>
      </c>
      <c r="H587">
        <v>1365.0788574000001</v>
      </c>
      <c r="I587">
        <v>1301.8439940999999</v>
      </c>
      <c r="J587">
        <v>1288.9405518000001</v>
      </c>
      <c r="K587">
        <v>1650</v>
      </c>
      <c r="L587">
        <v>0</v>
      </c>
      <c r="M587">
        <v>0</v>
      </c>
      <c r="N587">
        <v>1650</v>
      </c>
    </row>
    <row r="588" spans="1:14" x14ac:dyDescent="0.25">
      <c r="A588">
        <v>365.37769900000001</v>
      </c>
      <c r="B588" s="1">
        <f>DATE(2011,5,1) + TIME(9,3,53)</f>
        <v>40664.377696759257</v>
      </c>
      <c r="C588">
        <v>80</v>
      </c>
      <c r="D588">
        <v>60.286693573000001</v>
      </c>
      <c r="E588">
        <v>50</v>
      </c>
      <c r="F588">
        <v>49.854854584000002</v>
      </c>
      <c r="G588">
        <v>1378.6173096</v>
      </c>
      <c r="H588">
        <v>1365.0119629000001</v>
      </c>
      <c r="I588">
        <v>1301.8463135</v>
      </c>
      <c r="J588">
        <v>1288.9422606999999</v>
      </c>
      <c r="K588">
        <v>1650</v>
      </c>
      <c r="L588">
        <v>0</v>
      </c>
      <c r="M588">
        <v>0</v>
      </c>
      <c r="N588">
        <v>1650</v>
      </c>
    </row>
    <row r="589" spans="1:14" x14ac:dyDescent="0.25">
      <c r="A589">
        <v>365.41663199999999</v>
      </c>
      <c r="B589" s="1">
        <f>DATE(2011,5,1) + TIME(9,59,56)</f>
        <v>40664.416620370372</v>
      </c>
      <c r="C589">
        <v>80</v>
      </c>
      <c r="D589">
        <v>61.027889252000001</v>
      </c>
      <c r="E589">
        <v>50</v>
      </c>
      <c r="F589">
        <v>49.847702026</v>
      </c>
      <c r="G589">
        <v>1378.4230957</v>
      </c>
      <c r="H589">
        <v>1364.9466553</v>
      </c>
      <c r="I589">
        <v>1301.8475341999999</v>
      </c>
      <c r="J589">
        <v>1288.9429932</v>
      </c>
      <c r="K589">
        <v>1650</v>
      </c>
      <c r="L589">
        <v>0</v>
      </c>
      <c r="M589">
        <v>0</v>
      </c>
      <c r="N589">
        <v>1650</v>
      </c>
    </row>
    <row r="590" spans="1:14" x14ac:dyDescent="0.25">
      <c r="A590">
        <v>365.45644600000003</v>
      </c>
      <c r="B590" s="1">
        <f>DATE(2011,5,1) + TIME(10,57,16)</f>
        <v>40664.456435185188</v>
      </c>
      <c r="C590">
        <v>80</v>
      </c>
      <c r="D590">
        <v>61.757873535000002</v>
      </c>
      <c r="E590">
        <v>50</v>
      </c>
      <c r="F590">
        <v>49.840450287000003</v>
      </c>
      <c r="G590">
        <v>1378.2359618999999</v>
      </c>
      <c r="H590">
        <v>1364.8834228999999</v>
      </c>
      <c r="I590">
        <v>1301.8482666</v>
      </c>
      <c r="J590">
        <v>1288.9431152</v>
      </c>
      <c r="K590">
        <v>1650</v>
      </c>
      <c r="L590">
        <v>0</v>
      </c>
      <c r="M590">
        <v>0</v>
      </c>
      <c r="N590">
        <v>1650</v>
      </c>
    </row>
    <row r="591" spans="1:14" x14ac:dyDescent="0.25">
      <c r="A591">
        <v>365.49719099999999</v>
      </c>
      <c r="B591" s="1">
        <f>DATE(2011,5,1) + TIME(11,55,57)</f>
        <v>40664.497187499997</v>
      </c>
      <c r="C591">
        <v>80</v>
      </c>
      <c r="D591">
        <v>62.476604461999997</v>
      </c>
      <c r="E591">
        <v>50</v>
      </c>
      <c r="F591">
        <v>49.833091736</v>
      </c>
      <c r="G591">
        <v>1378.0556641000001</v>
      </c>
      <c r="H591">
        <v>1364.8223877</v>
      </c>
      <c r="I591">
        <v>1301.8486327999999</v>
      </c>
      <c r="J591">
        <v>1288.9428711</v>
      </c>
      <c r="K591">
        <v>1650</v>
      </c>
      <c r="L591">
        <v>0</v>
      </c>
      <c r="M591">
        <v>0</v>
      </c>
      <c r="N591">
        <v>1650</v>
      </c>
    </row>
    <row r="592" spans="1:14" x14ac:dyDescent="0.25">
      <c r="A592">
        <v>365.53891199999998</v>
      </c>
      <c r="B592" s="1">
        <f>DATE(2011,5,1) + TIME(12,56,1)</f>
        <v>40664.538900462961</v>
      </c>
      <c r="C592">
        <v>80</v>
      </c>
      <c r="D592">
        <v>63.183948516999997</v>
      </c>
      <c r="E592">
        <v>50</v>
      </c>
      <c r="F592">
        <v>49.825626372999999</v>
      </c>
      <c r="G592">
        <v>1377.8822021000001</v>
      </c>
      <c r="H592">
        <v>1364.7635498</v>
      </c>
      <c r="I592">
        <v>1301.8487548999999</v>
      </c>
      <c r="J592">
        <v>1288.9425048999999</v>
      </c>
      <c r="K592">
        <v>1650</v>
      </c>
      <c r="L592">
        <v>0</v>
      </c>
      <c r="M592">
        <v>0</v>
      </c>
      <c r="N592">
        <v>1650</v>
      </c>
    </row>
    <row r="593" spans="1:14" x14ac:dyDescent="0.25">
      <c r="A593">
        <v>365.581661</v>
      </c>
      <c r="B593" s="1">
        <f>DATE(2011,5,1) + TIME(13,57,35)</f>
        <v>40664.581655092596</v>
      </c>
      <c r="C593">
        <v>80</v>
      </c>
      <c r="D593">
        <v>63.879825592000003</v>
      </c>
      <c r="E593">
        <v>50</v>
      </c>
      <c r="F593">
        <v>49.81804657</v>
      </c>
      <c r="G593">
        <v>1377.7150879000001</v>
      </c>
      <c r="H593">
        <v>1364.7066649999999</v>
      </c>
      <c r="I593">
        <v>1301.8488769999999</v>
      </c>
      <c r="J593">
        <v>1288.9418945</v>
      </c>
      <c r="K593">
        <v>1650</v>
      </c>
      <c r="L593">
        <v>0</v>
      </c>
      <c r="M593">
        <v>0</v>
      </c>
      <c r="N593">
        <v>1650</v>
      </c>
    </row>
    <row r="594" spans="1:14" x14ac:dyDescent="0.25">
      <c r="A594">
        <v>365.62550199999998</v>
      </c>
      <c r="B594" s="1">
        <f>DATE(2011,5,1) + TIME(15,0,43)</f>
        <v>40664.625497685185</v>
      </c>
      <c r="C594">
        <v>80</v>
      </c>
      <c r="D594">
        <v>64.564231872999997</v>
      </c>
      <c r="E594">
        <v>50</v>
      </c>
      <c r="F594">
        <v>49.810344696000001</v>
      </c>
      <c r="G594">
        <v>1377.5540771000001</v>
      </c>
      <c r="H594">
        <v>1364.6518555</v>
      </c>
      <c r="I594">
        <v>1301.8487548999999</v>
      </c>
      <c r="J594">
        <v>1288.9412841999999</v>
      </c>
      <c r="K594">
        <v>1650</v>
      </c>
      <c r="L594">
        <v>0</v>
      </c>
      <c r="M594">
        <v>0</v>
      </c>
      <c r="N594">
        <v>1650</v>
      </c>
    </row>
    <row r="595" spans="1:14" x14ac:dyDescent="0.25">
      <c r="A595">
        <v>365.67049800000001</v>
      </c>
      <c r="B595" s="1">
        <f>DATE(2011,5,1) + TIME(16,5,30)</f>
        <v>40664.670486111114</v>
      </c>
      <c r="C595">
        <v>80</v>
      </c>
      <c r="D595">
        <v>65.237121582</v>
      </c>
      <c r="E595">
        <v>50</v>
      </c>
      <c r="F595">
        <v>49.802505492999998</v>
      </c>
      <c r="G595">
        <v>1377.3989257999999</v>
      </c>
      <c r="H595">
        <v>1364.5987548999999</v>
      </c>
      <c r="I595">
        <v>1301.8486327999999</v>
      </c>
      <c r="J595">
        <v>1288.9405518000001</v>
      </c>
      <c r="K595">
        <v>1650</v>
      </c>
      <c r="L595">
        <v>0</v>
      </c>
      <c r="M595">
        <v>0</v>
      </c>
      <c r="N595">
        <v>1650</v>
      </c>
    </row>
    <row r="596" spans="1:14" x14ac:dyDescent="0.25">
      <c r="A596">
        <v>365.71671500000002</v>
      </c>
      <c r="B596" s="1">
        <f>DATE(2011,5,1) + TIME(17,12,4)</f>
        <v>40664.71671296296</v>
      </c>
      <c r="C596">
        <v>80</v>
      </c>
      <c r="D596">
        <v>65.898429871000005</v>
      </c>
      <c r="E596">
        <v>50</v>
      </c>
      <c r="F596">
        <v>49.794532775999997</v>
      </c>
      <c r="G596">
        <v>1377.2493896000001</v>
      </c>
      <c r="H596">
        <v>1364.5473632999999</v>
      </c>
      <c r="I596">
        <v>1301.8485106999999</v>
      </c>
      <c r="J596">
        <v>1288.9396973</v>
      </c>
      <c r="K596">
        <v>1650</v>
      </c>
      <c r="L596">
        <v>0</v>
      </c>
      <c r="M596">
        <v>0</v>
      </c>
      <c r="N596">
        <v>1650</v>
      </c>
    </row>
    <row r="597" spans="1:14" x14ac:dyDescent="0.25">
      <c r="A597">
        <v>365.76422700000001</v>
      </c>
      <c r="B597" s="1">
        <f>DATE(2011,5,1) + TIME(18,20,29)</f>
        <v>40664.764224537037</v>
      </c>
      <c r="C597">
        <v>80</v>
      </c>
      <c r="D597">
        <v>66.547920227000006</v>
      </c>
      <c r="E597">
        <v>50</v>
      </c>
      <c r="F597">
        <v>49.786407470999997</v>
      </c>
      <c r="G597">
        <v>1377.1051024999999</v>
      </c>
      <c r="H597">
        <v>1364.4975586</v>
      </c>
      <c r="I597">
        <v>1301.8482666</v>
      </c>
      <c r="J597">
        <v>1288.9388428</v>
      </c>
      <c r="K597">
        <v>1650</v>
      </c>
      <c r="L597">
        <v>0</v>
      </c>
      <c r="M597">
        <v>0</v>
      </c>
      <c r="N597">
        <v>1650</v>
      </c>
    </row>
    <row r="598" spans="1:14" x14ac:dyDescent="0.25">
      <c r="A598">
        <v>365.81311199999999</v>
      </c>
      <c r="B598" s="1">
        <f>DATE(2011,5,1) + TIME(19,30,52)</f>
        <v>40664.813101851854</v>
      </c>
      <c r="C598">
        <v>80</v>
      </c>
      <c r="D598">
        <v>67.185440063000001</v>
      </c>
      <c r="E598">
        <v>50</v>
      </c>
      <c r="F598">
        <v>49.778125762999998</v>
      </c>
      <c r="G598">
        <v>1376.9656981999999</v>
      </c>
      <c r="H598">
        <v>1364.4490966999999</v>
      </c>
      <c r="I598">
        <v>1301.8479004000001</v>
      </c>
      <c r="J598">
        <v>1288.9378661999999</v>
      </c>
      <c r="K598">
        <v>1650</v>
      </c>
      <c r="L598">
        <v>0</v>
      </c>
      <c r="M598">
        <v>0</v>
      </c>
      <c r="N598">
        <v>1650</v>
      </c>
    </row>
    <row r="599" spans="1:14" x14ac:dyDescent="0.25">
      <c r="A599">
        <v>365.86345699999998</v>
      </c>
      <c r="B599" s="1">
        <f>DATE(2011,5,1) + TIME(20,43,22)</f>
        <v>40664.863449074073</v>
      </c>
      <c r="C599">
        <v>80</v>
      </c>
      <c r="D599">
        <v>67.810844420999999</v>
      </c>
      <c r="E599">
        <v>50</v>
      </c>
      <c r="F599">
        <v>49.769680022999999</v>
      </c>
      <c r="G599">
        <v>1376.8311768000001</v>
      </c>
      <c r="H599">
        <v>1364.4019774999999</v>
      </c>
      <c r="I599">
        <v>1301.8476562000001</v>
      </c>
      <c r="J599">
        <v>1288.9368896000001</v>
      </c>
      <c r="K599">
        <v>1650</v>
      </c>
      <c r="L599">
        <v>0</v>
      </c>
      <c r="M599">
        <v>0</v>
      </c>
      <c r="N599">
        <v>1650</v>
      </c>
    </row>
    <row r="600" spans="1:14" x14ac:dyDescent="0.25">
      <c r="A600">
        <v>365.91535499999998</v>
      </c>
      <c r="B600" s="1">
        <f>DATE(2011,5,1) + TIME(21,58,6)</f>
        <v>40664.915347222224</v>
      </c>
      <c r="C600">
        <v>80</v>
      </c>
      <c r="D600">
        <v>68.423942565999994</v>
      </c>
      <c r="E600">
        <v>50</v>
      </c>
      <c r="F600">
        <v>49.761051178000002</v>
      </c>
      <c r="G600">
        <v>1376.7010498</v>
      </c>
      <c r="H600">
        <v>1364.3560791</v>
      </c>
      <c r="I600">
        <v>1301.847168</v>
      </c>
      <c r="J600">
        <v>1288.9357910000001</v>
      </c>
      <c r="K600">
        <v>1650</v>
      </c>
      <c r="L600">
        <v>0</v>
      </c>
      <c r="M600">
        <v>0</v>
      </c>
      <c r="N600">
        <v>1650</v>
      </c>
    </row>
    <row r="601" spans="1:14" x14ac:dyDescent="0.25">
      <c r="A601">
        <v>365.968906</v>
      </c>
      <c r="B601" s="1">
        <f>DATE(2011,5,1) + TIME(23,15,13)</f>
        <v>40664.968900462962</v>
      </c>
      <c r="C601">
        <v>80</v>
      </c>
      <c r="D601">
        <v>69.024551392000006</v>
      </c>
      <c r="E601">
        <v>50</v>
      </c>
      <c r="F601">
        <v>49.752231598000002</v>
      </c>
      <c r="G601">
        <v>1376.5751952999999</v>
      </c>
      <c r="H601">
        <v>1364.3110352000001</v>
      </c>
      <c r="I601">
        <v>1301.8466797000001</v>
      </c>
      <c r="J601">
        <v>1288.9345702999999</v>
      </c>
      <c r="K601">
        <v>1650</v>
      </c>
      <c r="L601">
        <v>0</v>
      </c>
      <c r="M601">
        <v>0</v>
      </c>
      <c r="N601">
        <v>1650</v>
      </c>
    </row>
    <row r="602" spans="1:14" x14ac:dyDescent="0.25">
      <c r="A602">
        <v>366.02422799999999</v>
      </c>
      <c r="B602" s="1">
        <f>DATE(2011,5,2) + TIME(0,34,53)</f>
        <v>40665.024224537039</v>
      </c>
      <c r="C602">
        <v>80</v>
      </c>
      <c r="D602">
        <v>69.612503051999994</v>
      </c>
      <c r="E602">
        <v>50</v>
      </c>
      <c r="F602">
        <v>49.743206024000003</v>
      </c>
      <c r="G602">
        <v>1376.4532471</v>
      </c>
      <c r="H602">
        <v>1364.2669678</v>
      </c>
      <c r="I602">
        <v>1301.8461914</v>
      </c>
      <c r="J602">
        <v>1288.9333495999999</v>
      </c>
      <c r="K602">
        <v>1650</v>
      </c>
      <c r="L602">
        <v>0</v>
      </c>
      <c r="M602">
        <v>0</v>
      </c>
      <c r="N602">
        <v>1650</v>
      </c>
    </row>
    <row r="603" spans="1:14" x14ac:dyDescent="0.25">
      <c r="A603">
        <v>366.08145999999999</v>
      </c>
      <c r="B603" s="1">
        <f>DATE(2011,5,2) + TIME(1,57,18)</f>
        <v>40665.081458333334</v>
      </c>
      <c r="C603">
        <v>80</v>
      </c>
      <c r="D603">
        <v>70.187622070000003</v>
      </c>
      <c r="E603">
        <v>50</v>
      </c>
      <c r="F603">
        <v>49.733959198000001</v>
      </c>
      <c r="G603">
        <v>1376.3350829999999</v>
      </c>
      <c r="H603">
        <v>1364.2236327999999</v>
      </c>
      <c r="I603">
        <v>1301.8457031</v>
      </c>
      <c r="J603">
        <v>1288.9321289</v>
      </c>
      <c r="K603">
        <v>1650</v>
      </c>
      <c r="L603">
        <v>0</v>
      </c>
      <c r="M603">
        <v>0</v>
      </c>
      <c r="N603">
        <v>1650</v>
      </c>
    </row>
    <row r="604" spans="1:14" x14ac:dyDescent="0.25">
      <c r="A604">
        <v>366.140716</v>
      </c>
      <c r="B604" s="1">
        <f>DATE(2011,5,2) + TIME(3,22,37)</f>
        <v>40665.140706018516</v>
      </c>
      <c r="C604">
        <v>80</v>
      </c>
      <c r="D604">
        <v>70.749298096000004</v>
      </c>
      <c r="E604">
        <v>50</v>
      </c>
      <c r="F604">
        <v>49.724479674999998</v>
      </c>
      <c r="G604">
        <v>1376.2204589999999</v>
      </c>
      <c r="H604">
        <v>1364.1809082</v>
      </c>
      <c r="I604">
        <v>1301.8450928</v>
      </c>
      <c r="J604">
        <v>1288.9307861</v>
      </c>
      <c r="K604">
        <v>1650</v>
      </c>
      <c r="L604">
        <v>0</v>
      </c>
      <c r="M604">
        <v>0</v>
      </c>
      <c r="N604">
        <v>1650</v>
      </c>
    </row>
    <row r="605" spans="1:14" x14ac:dyDescent="0.25">
      <c r="A605">
        <v>366.20214600000003</v>
      </c>
      <c r="B605" s="1">
        <f>DATE(2011,5,2) + TIME(4,51,5)</f>
        <v>40665.202141203707</v>
      </c>
      <c r="C605">
        <v>80</v>
      </c>
      <c r="D605">
        <v>71.297561646000005</v>
      </c>
      <c r="E605">
        <v>50</v>
      </c>
      <c r="F605">
        <v>49.714748383</v>
      </c>
      <c r="G605">
        <v>1376.1091309000001</v>
      </c>
      <c r="H605">
        <v>1364.1386719</v>
      </c>
      <c r="I605">
        <v>1301.8443603999999</v>
      </c>
      <c r="J605">
        <v>1288.9293213000001</v>
      </c>
      <c r="K605">
        <v>1650</v>
      </c>
      <c r="L605">
        <v>0</v>
      </c>
      <c r="M605">
        <v>0</v>
      </c>
      <c r="N605">
        <v>1650</v>
      </c>
    </row>
    <row r="606" spans="1:14" x14ac:dyDescent="0.25">
      <c r="A606">
        <v>366.26591400000001</v>
      </c>
      <c r="B606" s="1">
        <f>DATE(2011,5,2) + TIME(6,22,54)</f>
        <v>40665.265902777777</v>
      </c>
      <c r="C606">
        <v>80</v>
      </c>
      <c r="D606">
        <v>71.832153320000003</v>
      </c>
      <c r="E606">
        <v>50</v>
      </c>
      <c r="F606">
        <v>49.704746245999999</v>
      </c>
      <c r="G606">
        <v>1376.0008545000001</v>
      </c>
      <c r="H606">
        <v>1364.0968018000001</v>
      </c>
      <c r="I606">
        <v>1301.8436279</v>
      </c>
      <c r="J606">
        <v>1288.9278564000001</v>
      </c>
      <c r="K606">
        <v>1650</v>
      </c>
      <c r="L606">
        <v>0</v>
      </c>
      <c r="M606">
        <v>0</v>
      </c>
      <c r="N606">
        <v>1650</v>
      </c>
    </row>
    <row r="607" spans="1:14" x14ac:dyDescent="0.25">
      <c r="A607">
        <v>366.332202</v>
      </c>
      <c r="B607" s="1">
        <f>DATE(2011,5,2) + TIME(7,58,22)</f>
        <v>40665.332199074073</v>
      </c>
      <c r="C607">
        <v>80</v>
      </c>
      <c r="D607">
        <v>72.352790833</v>
      </c>
      <c r="E607">
        <v>50</v>
      </c>
      <c r="F607">
        <v>49.694450377999999</v>
      </c>
      <c r="G607">
        <v>1375.8953856999999</v>
      </c>
      <c r="H607">
        <v>1364.0551757999999</v>
      </c>
      <c r="I607">
        <v>1301.8428954999999</v>
      </c>
      <c r="J607">
        <v>1288.9262695</v>
      </c>
      <c r="K607">
        <v>1650</v>
      </c>
      <c r="L607">
        <v>0</v>
      </c>
      <c r="M607">
        <v>0</v>
      </c>
      <c r="N607">
        <v>1650</v>
      </c>
    </row>
    <row r="608" spans="1:14" x14ac:dyDescent="0.25">
      <c r="A608">
        <v>366.40121399999998</v>
      </c>
      <c r="B608" s="1">
        <f>DATE(2011,5,2) + TIME(9,37,44)</f>
        <v>40665.401203703703</v>
      </c>
      <c r="C608">
        <v>80</v>
      </c>
      <c r="D608">
        <v>72.859184264999996</v>
      </c>
      <c r="E608">
        <v>50</v>
      </c>
      <c r="F608">
        <v>49.683841704999999</v>
      </c>
      <c r="G608">
        <v>1375.7927245999999</v>
      </c>
      <c r="H608">
        <v>1364.0136719</v>
      </c>
      <c r="I608">
        <v>1301.8420410000001</v>
      </c>
      <c r="J608">
        <v>1288.9246826000001</v>
      </c>
      <c r="K608">
        <v>1650</v>
      </c>
      <c r="L608">
        <v>0</v>
      </c>
      <c r="M608">
        <v>0</v>
      </c>
      <c r="N608">
        <v>1650</v>
      </c>
    </row>
    <row r="609" spans="1:14" x14ac:dyDescent="0.25">
      <c r="A609">
        <v>366.47317800000002</v>
      </c>
      <c r="B609" s="1">
        <f>DATE(2011,5,2) + TIME(11,21,22)</f>
        <v>40665.473171296297</v>
      </c>
      <c r="C609">
        <v>80</v>
      </c>
      <c r="D609">
        <v>73.351043700999995</v>
      </c>
      <c r="E609">
        <v>50</v>
      </c>
      <c r="F609">
        <v>49.672889709000003</v>
      </c>
      <c r="G609">
        <v>1375.6923827999999</v>
      </c>
      <c r="H609">
        <v>1363.9720459</v>
      </c>
      <c r="I609">
        <v>1301.8411865</v>
      </c>
      <c r="J609">
        <v>1288.9229736</v>
      </c>
      <c r="K609">
        <v>1650</v>
      </c>
      <c r="L609">
        <v>0</v>
      </c>
      <c r="M609">
        <v>0</v>
      </c>
      <c r="N609">
        <v>1650</v>
      </c>
    </row>
    <row r="610" spans="1:14" x14ac:dyDescent="0.25">
      <c r="A610">
        <v>366.54835100000003</v>
      </c>
      <c r="B610" s="1">
        <f>DATE(2011,5,2) + TIME(13,9,37)</f>
        <v>40665.548344907409</v>
      </c>
      <c r="C610">
        <v>80</v>
      </c>
      <c r="D610">
        <v>73.828048706000004</v>
      </c>
      <c r="E610">
        <v>50</v>
      </c>
      <c r="F610">
        <v>49.661571502999998</v>
      </c>
      <c r="G610">
        <v>1375.5943603999999</v>
      </c>
      <c r="H610">
        <v>1363.9302978999999</v>
      </c>
      <c r="I610">
        <v>1301.840332</v>
      </c>
      <c r="J610">
        <v>1288.9212646000001</v>
      </c>
      <c r="K610">
        <v>1650</v>
      </c>
      <c r="L610">
        <v>0</v>
      </c>
      <c r="M610">
        <v>0</v>
      </c>
      <c r="N610">
        <v>1650</v>
      </c>
    </row>
    <row r="611" spans="1:14" x14ac:dyDescent="0.25">
      <c r="A611">
        <v>366.62702400000001</v>
      </c>
      <c r="B611" s="1">
        <f>DATE(2011,5,2) + TIME(15,2,54)</f>
        <v>40665.627013888887</v>
      </c>
      <c r="C611">
        <v>80</v>
      </c>
      <c r="D611">
        <v>74.289871215999995</v>
      </c>
      <c r="E611">
        <v>50</v>
      </c>
      <c r="F611">
        <v>49.649845122999999</v>
      </c>
      <c r="G611">
        <v>1375.4981689000001</v>
      </c>
      <c r="H611">
        <v>1363.8881836</v>
      </c>
      <c r="I611">
        <v>1301.8393555</v>
      </c>
      <c r="J611">
        <v>1288.9194336</v>
      </c>
      <c r="K611">
        <v>1650</v>
      </c>
      <c r="L611">
        <v>0</v>
      </c>
      <c r="M611">
        <v>0</v>
      </c>
      <c r="N611">
        <v>1650</v>
      </c>
    </row>
    <row r="612" spans="1:14" x14ac:dyDescent="0.25">
      <c r="A612">
        <v>366.70952699999998</v>
      </c>
      <c r="B612" s="1">
        <f>DATE(2011,5,2) + TIME(17,1,43)</f>
        <v>40665.70952546296</v>
      </c>
      <c r="C612">
        <v>80</v>
      </c>
      <c r="D612">
        <v>74.736175536999994</v>
      </c>
      <c r="E612">
        <v>50</v>
      </c>
      <c r="F612">
        <v>49.637683868000003</v>
      </c>
      <c r="G612">
        <v>1375.4039307</v>
      </c>
      <c r="H612">
        <v>1363.8455810999999</v>
      </c>
      <c r="I612">
        <v>1301.8382568</v>
      </c>
      <c r="J612">
        <v>1288.9174805</v>
      </c>
      <c r="K612">
        <v>1650</v>
      </c>
      <c r="L612">
        <v>0</v>
      </c>
      <c r="M612">
        <v>0</v>
      </c>
      <c r="N612">
        <v>1650</v>
      </c>
    </row>
    <row r="613" spans="1:14" x14ac:dyDescent="0.25">
      <c r="A613">
        <v>366.79628500000001</v>
      </c>
      <c r="B613" s="1">
        <f>DATE(2011,5,2) + TIME(19,6,39)</f>
        <v>40665.796284722222</v>
      </c>
      <c r="C613">
        <v>80</v>
      </c>
      <c r="D613">
        <v>75.166717528999996</v>
      </c>
      <c r="E613">
        <v>50</v>
      </c>
      <c r="F613">
        <v>49.625034331999998</v>
      </c>
      <c r="G613">
        <v>1375.3111572</v>
      </c>
      <c r="H613">
        <v>1363.8023682</v>
      </c>
      <c r="I613">
        <v>1301.8371582</v>
      </c>
      <c r="J613">
        <v>1288.9154053</v>
      </c>
      <c r="K613">
        <v>1650</v>
      </c>
      <c r="L613">
        <v>0</v>
      </c>
      <c r="M613">
        <v>0</v>
      </c>
      <c r="N613">
        <v>1650</v>
      </c>
    </row>
    <row r="614" spans="1:14" x14ac:dyDescent="0.25">
      <c r="A614">
        <v>366.88770799999998</v>
      </c>
      <c r="B614" s="1">
        <f>DATE(2011,5,2) + TIME(21,18,17)</f>
        <v>40665.887696759259</v>
      </c>
      <c r="C614">
        <v>80</v>
      </c>
      <c r="D614">
        <v>75.580886840999995</v>
      </c>
      <c r="E614">
        <v>50</v>
      </c>
      <c r="F614">
        <v>49.611850738999998</v>
      </c>
      <c r="G614">
        <v>1375.2196045000001</v>
      </c>
      <c r="H614">
        <v>1363.7583007999999</v>
      </c>
      <c r="I614">
        <v>1301.8359375</v>
      </c>
      <c r="J614">
        <v>1288.9133300999999</v>
      </c>
      <c r="K614">
        <v>1650</v>
      </c>
      <c r="L614">
        <v>0</v>
      </c>
      <c r="M614">
        <v>0</v>
      </c>
      <c r="N614">
        <v>1650</v>
      </c>
    </row>
    <row r="615" spans="1:14" x14ac:dyDescent="0.25">
      <c r="A615">
        <v>366.984285</v>
      </c>
      <c r="B615" s="1">
        <f>DATE(2011,5,2) + TIME(23,37,22)</f>
        <v>40665.984282407408</v>
      </c>
      <c r="C615">
        <v>80</v>
      </c>
      <c r="D615">
        <v>75.978446959999999</v>
      </c>
      <c r="E615">
        <v>50</v>
      </c>
      <c r="F615">
        <v>49.598079681000002</v>
      </c>
      <c r="G615">
        <v>1375.1291504000001</v>
      </c>
      <c r="H615">
        <v>1363.7131348</v>
      </c>
      <c r="I615">
        <v>1301.8347168</v>
      </c>
      <c r="J615">
        <v>1288.9110106999999</v>
      </c>
      <c r="K615">
        <v>1650</v>
      </c>
      <c r="L615">
        <v>0</v>
      </c>
      <c r="M615">
        <v>0</v>
      </c>
      <c r="N615">
        <v>1650</v>
      </c>
    </row>
    <row r="616" spans="1:14" x14ac:dyDescent="0.25">
      <c r="A616">
        <v>367.08660400000002</v>
      </c>
      <c r="B616" s="1">
        <f>DATE(2011,5,3) + TIME(2,4,42)</f>
        <v>40666.086597222224</v>
      </c>
      <c r="C616">
        <v>80</v>
      </c>
      <c r="D616">
        <v>76.359008789000001</v>
      </c>
      <c r="E616">
        <v>50</v>
      </c>
      <c r="F616">
        <v>49.583656310999999</v>
      </c>
      <c r="G616">
        <v>1375.0395507999999</v>
      </c>
      <c r="H616">
        <v>1363.6667480000001</v>
      </c>
      <c r="I616">
        <v>1301.833374</v>
      </c>
      <c r="J616">
        <v>1288.9086914</v>
      </c>
      <c r="K616">
        <v>1650</v>
      </c>
      <c r="L616">
        <v>0</v>
      </c>
      <c r="M616">
        <v>0</v>
      </c>
      <c r="N616">
        <v>1650</v>
      </c>
    </row>
    <row r="617" spans="1:14" x14ac:dyDescent="0.25">
      <c r="A617">
        <v>367.195356</v>
      </c>
      <c r="B617" s="1">
        <f>DATE(2011,5,3) + TIME(4,41,18)</f>
        <v>40666.195347222223</v>
      </c>
      <c r="C617">
        <v>80</v>
      </c>
      <c r="D617">
        <v>76.722198485999996</v>
      </c>
      <c r="E617">
        <v>50</v>
      </c>
      <c r="F617">
        <v>49.568511962999999</v>
      </c>
      <c r="G617">
        <v>1374.9504394999999</v>
      </c>
      <c r="H617">
        <v>1363.6190185999999</v>
      </c>
      <c r="I617">
        <v>1301.8319091999999</v>
      </c>
      <c r="J617">
        <v>1288.9061279</v>
      </c>
      <c r="K617">
        <v>1650</v>
      </c>
      <c r="L617">
        <v>0</v>
      </c>
      <c r="M617">
        <v>0</v>
      </c>
      <c r="N617">
        <v>1650</v>
      </c>
    </row>
    <row r="618" spans="1:14" x14ac:dyDescent="0.25">
      <c r="A618">
        <v>367.31134500000002</v>
      </c>
      <c r="B618" s="1">
        <f>DATE(2011,5,3) + TIME(7,28,20)</f>
        <v>40666.311342592591</v>
      </c>
      <c r="C618">
        <v>80</v>
      </c>
      <c r="D618">
        <v>77.067581176999994</v>
      </c>
      <c r="E618">
        <v>50</v>
      </c>
      <c r="F618">
        <v>49.552555083999998</v>
      </c>
      <c r="G618">
        <v>1374.8616943</v>
      </c>
      <c r="H618">
        <v>1363.5697021000001</v>
      </c>
      <c r="I618">
        <v>1301.8303223</v>
      </c>
      <c r="J618">
        <v>1288.9035644999999</v>
      </c>
      <c r="K618">
        <v>1650</v>
      </c>
      <c r="L618">
        <v>0</v>
      </c>
      <c r="M618">
        <v>0</v>
      </c>
      <c r="N618">
        <v>1650</v>
      </c>
    </row>
    <row r="619" spans="1:14" x14ac:dyDescent="0.25">
      <c r="A619">
        <v>367.43554699999999</v>
      </c>
      <c r="B619" s="1">
        <f>DATE(2011,5,3) + TIME(10,27,11)</f>
        <v>40666.435543981483</v>
      </c>
      <c r="C619">
        <v>80</v>
      </c>
      <c r="D619">
        <v>77.394767760999997</v>
      </c>
      <c r="E619">
        <v>50</v>
      </c>
      <c r="F619">
        <v>49.535678863999998</v>
      </c>
      <c r="G619">
        <v>1374.7727050999999</v>
      </c>
      <c r="H619">
        <v>1363.5183105000001</v>
      </c>
      <c r="I619">
        <v>1301.8286132999999</v>
      </c>
      <c r="J619">
        <v>1288.9007568</v>
      </c>
      <c r="K619">
        <v>1650</v>
      </c>
      <c r="L619">
        <v>0</v>
      </c>
      <c r="M619">
        <v>0</v>
      </c>
      <c r="N619">
        <v>1650</v>
      </c>
    </row>
    <row r="620" spans="1:14" x14ac:dyDescent="0.25">
      <c r="A620">
        <v>367.56916000000001</v>
      </c>
      <c r="B620" s="1">
        <f>DATE(2011,5,3) + TIME(13,39,35)</f>
        <v>40666.569155092591</v>
      </c>
      <c r="C620">
        <v>80</v>
      </c>
      <c r="D620">
        <v>77.703392029</v>
      </c>
      <c r="E620">
        <v>50</v>
      </c>
      <c r="F620">
        <v>49.517765044999997</v>
      </c>
      <c r="G620">
        <v>1374.6833495999999</v>
      </c>
      <c r="H620">
        <v>1363.4648437999999</v>
      </c>
      <c r="I620">
        <v>1301.8269043</v>
      </c>
      <c r="J620">
        <v>1288.8977050999999</v>
      </c>
      <c r="K620">
        <v>1650</v>
      </c>
      <c r="L620">
        <v>0</v>
      </c>
      <c r="M620">
        <v>0</v>
      </c>
      <c r="N620">
        <v>1650</v>
      </c>
    </row>
    <row r="621" spans="1:14" x14ac:dyDescent="0.25">
      <c r="A621">
        <v>367.713638</v>
      </c>
      <c r="B621" s="1">
        <f>DATE(2011,5,3) + TIME(17,7,38)</f>
        <v>40666.713634259257</v>
      </c>
      <c r="C621">
        <v>80</v>
      </c>
      <c r="D621">
        <v>77.993064880000006</v>
      </c>
      <c r="E621">
        <v>50</v>
      </c>
      <c r="F621">
        <v>49.498653412000003</v>
      </c>
      <c r="G621">
        <v>1374.5931396000001</v>
      </c>
      <c r="H621">
        <v>1363.4088135</v>
      </c>
      <c r="I621">
        <v>1301.8249512</v>
      </c>
      <c r="J621">
        <v>1288.8945312000001</v>
      </c>
      <c r="K621">
        <v>1650</v>
      </c>
      <c r="L621">
        <v>0</v>
      </c>
      <c r="M621">
        <v>0</v>
      </c>
      <c r="N621">
        <v>1650</v>
      </c>
    </row>
    <row r="622" spans="1:14" x14ac:dyDescent="0.25">
      <c r="A622">
        <v>367.85952400000002</v>
      </c>
      <c r="B622" s="1">
        <f>DATE(2011,5,3) + TIME(20,37,42)</f>
        <v>40666.859513888892</v>
      </c>
      <c r="C622">
        <v>80</v>
      </c>
      <c r="D622">
        <v>78.246604919000006</v>
      </c>
      <c r="E622">
        <v>50</v>
      </c>
      <c r="F622">
        <v>49.479476929</v>
      </c>
      <c r="G622">
        <v>1374.5072021000001</v>
      </c>
      <c r="H622">
        <v>1363.3524170000001</v>
      </c>
      <c r="I622">
        <v>1301.8226318</v>
      </c>
      <c r="J622">
        <v>1288.8911132999999</v>
      </c>
      <c r="K622">
        <v>1650</v>
      </c>
      <c r="L622">
        <v>0</v>
      </c>
      <c r="M622">
        <v>0</v>
      </c>
      <c r="N622">
        <v>1650</v>
      </c>
    </row>
    <row r="623" spans="1:14" x14ac:dyDescent="0.25">
      <c r="A623">
        <v>368.00691499999999</v>
      </c>
      <c r="B623" s="1">
        <f>DATE(2011,5,4) + TIME(0,9,57)</f>
        <v>40667.006909722222</v>
      </c>
      <c r="C623">
        <v>80</v>
      </c>
      <c r="D623">
        <v>78.468315125000004</v>
      </c>
      <c r="E623">
        <v>50</v>
      </c>
      <c r="F623">
        <v>49.460224152000002</v>
      </c>
      <c r="G623">
        <v>1374.4249268000001</v>
      </c>
      <c r="H623">
        <v>1363.2967529</v>
      </c>
      <c r="I623">
        <v>1301.8203125</v>
      </c>
      <c r="J623">
        <v>1288.8875731999999</v>
      </c>
      <c r="K623">
        <v>1650</v>
      </c>
      <c r="L623">
        <v>0</v>
      </c>
      <c r="M623">
        <v>0</v>
      </c>
      <c r="N623">
        <v>1650</v>
      </c>
    </row>
    <row r="624" spans="1:14" x14ac:dyDescent="0.25">
      <c r="A624">
        <v>368.15573699999999</v>
      </c>
      <c r="B624" s="1">
        <f>DATE(2011,5,4) + TIME(3,44,15)</f>
        <v>40667.155729166669</v>
      </c>
      <c r="C624">
        <v>80</v>
      </c>
      <c r="D624">
        <v>78.661819457999997</v>
      </c>
      <c r="E624">
        <v>50</v>
      </c>
      <c r="F624">
        <v>49.440895081000001</v>
      </c>
      <c r="G624">
        <v>1374.3459473</v>
      </c>
      <c r="H624">
        <v>1363.2418213000001</v>
      </c>
      <c r="I624">
        <v>1301.8179932</v>
      </c>
      <c r="J624">
        <v>1288.8841553</v>
      </c>
      <c r="K624">
        <v>1650</v>
      </c>
      <c r="L624">
        <v>0</v>
      </c>
      <c r="M624">
        <v>0</v>
      </c>
      <c r="N624">
        <v>1650</v>
      </c>
    </row>
    <row r="625" spans="1:14" x14ac:dyDescent="0.25">
      <c r="A625">
        <v>368.30631899999997</v>
      </c>
      <c r="B625" s="1">
        <f>DATE(2011,5,4) + TIME(7,21,5)</f>
        <v>40667.306307870371</v>
      </c>
      <c r="C625">
        <v>80</v>
      </c>
      <c r="D625">
        <v>78.830780028999996</v>
      </c>
      <c r="E625">
        <v>50</v>
      </c>
      <c r="F625">
        <v>49.421459198000001</v>
      </c>
      <c r="G625">
        <v>1374.2698975000001</v>
      </c>
      <c r="H625">
        <v>1363.1873779</v>
      </c>
      <c r="I625">
        <v>1301.8156738</v>
      </c>
      <c r="J625">
        <v>1288.8806152</v>
      </c>
      <c r="K625">
        <v>1650</v>
      </c>
      <c r="L625">
        <v>0</v>
      </c>
      <c r="M625">
        <v>0</v>
      </c>
      <c r="N625">
        <v>1650</v>
      </c>
    </row>
    <row r="626" spans="1:14" x14ac:dyDescent="0.25">
      <c r="A626">
        <v>368.45897100000002</v>
      </c>
      <c r="B626" s="1">
        <f>DATE(2011,5,4) + TIME(11,0,55)</f>
        <v>40667.458969907406</v>
      </c>
      <c r="C626">
        <v>80</v>
      </c>
      <c r="D626">
        <v>78.978317261000001</v>
      </c>
      <c r="E626">
        <v>50</v>
      </c>
      <c r="F626">
        <v>49.401874542000002</v>
      </c>
      <c r="G626">
        <v>1374.1961670000001</v>
      </c>
      <c r="H626">
        <v>1363.1335449000001</v>
      </c>
      <c r="I626">
        <v>1301.8132324000001</v>
      </c>
      <c r="J626">
        <v>1288.8769531</v>
      </c>
      <c r="K626">
        <v>1650</v>
      </c>
      <c r="L626">
        <v>0</v>
      </c>
      <c r="M626">
        <v>0</v>
      </c>
      <c r="N626">
        <v>1650</v>
      </c>
    </row>
    <row r="627" spans="1:14" x14ac:dyDescent="0.25">
      <c r="A627">
        <v>368.61400099999997</v>
      </c>
      <c r="B627" s="1">
        <f>DATE(2011,5,4) + TIME(14,44,9)</f>
        <v>40667.613993055558</v>
      </c>
      <c r="C627">
        <v>80</v>
      </c>
      <c r="D627">
        <v>79.107109070000007</v>
      </c>
      <c r="E627">
        <v>50</v>
      </c>
      <c r="F627">
        <v>49.382102965999998</v>
      </c>
      <c r="G627">
        <v>1374.1246338000001</v>
      </c>
      <c r="H627">
        <v>1363.0802002</v>
      </c>
      <c r="I627">
        <v>1301.8107910000001</v>
      </c>
      <c r="J627">
        <v>1288.8734131000001</v>
      </c>
      <c r="K627">
        <v>1650</v>
      </c>
      <c r="L627">
        <v>0</v>
      </c>
      <c r="M627">
        <v>0</v>
      </c>
      <c r="N627">
        <v>1650</v>
      </c>
    </row>
    <row r="628" spans="1:14" x14ac:dyDescent="0.25">
      <c r="A628">
        <v>368.771726</v>
      </c>
      <c r="B628" s="1">
        <f>DATE(2011,5,4) + TIME(18,31,17)</f>
        <v>40667.771724537037</v>
      </c>
      <c r="C628">
        <v>80</v>
      </c>
      <c r="D628">
        <v>79.219474792</v>
      </c>
      <c r="E628">
        <v>50</v>
      </c>
      <c r="F628">
        <v>49.362117767000001</v>
      </c>
      <c r="G628">
        <v>1374.0548096</v>
      </c>
      <c r="H628">
        <v>1363.0272216999999</v>
      </c>
      <c r="I628">
        <v>1301.8082274999999</v>
      </c>
      <c r="J628">
        <v>1288.8696289</v>
      </c>
      <c r="K628">
        <v>1650</v>
      </c>
      <c r="L628">
        <v>0</v>
      </c>
      <c r="M628">
        <v>0</v>
      </c>
      <c r="N628">
        <v>1650</v>
      </c>
    </row>
    <row r="629" spans="1:14" x14ac:dyDescent="0.25">
      <c r="A629">
        <v>368.93247200000002</v>
      </c>
      <c r="B629" s="1">
        <f>DATE(2011,5,4) + TIME(22,22,45)</f>
        <v>40667.93246527778</v>
      </c>
      <c r="C629">
        <v>80</v>
      </c>
      <c r="D629">
        <v>79.317436217999997</v>
      </c>
      <c r="E629">
        <v>50</v>
      </c>
      <c r="F629">
        <v>49.341873169000003</v>
      </c>
      <c r="G629">
        <v>1373.9865723</v>
      </c>
      <c r="H629">
        <v>1362.9744873</v>
      </c>
      <c r="I629">
        <v>1301.8056641000001</v>
      </c>
      <c r="J629">
        <v>1288.8659668</v>
      </c>
      <c r="K629">
        <v>1650</v>
      </c>
      <c r="L629">
        <v>0</v>
      </c>
      <c r="M629">
        <v>0</v>
      </c>
      <c r="N629">
        <v>1650</v>
      </c>
    </row>
    <row r="630" spans="1:14" x14ac:dyDescent="0.25">
      <c r="A630">
        <v>369.09665100000001</v>
      </c>
      <c r="B630" s="1">
        <f>DATE(2011,5,5) + TIME(2,19,10)</f>
        <v>40668.096643518518</v>
      </c>
      <c r="C630">
        <v>80</v>
      </c>
      <c r="D630">
        <v>79.402770996000001</v>
      </c>
      <c r="E630">
        <v>50</v>
      </c>
      <c r="F630">
        <v>49.321331024000003</v>
      </c>
      <c r="G630">
        <v>1373.9195557</v>
      </c>
      <c r="H630">
        <v>1362.921875</v>
      </c>
      <c r="I630">
        <v>1301.8031006000001</v>
      </c>
      <c r="J630">
        <v>1288.8620605000001</v>
      </c>
      <c r="K630">
        <v>1650</v>
      </c>
      <c r="L630">
        <v>0</v>
      </c>
      <c r="M630">
        <v>0</v>
      </c>
      <c r="N630">
        <v>1650</v>
      </c>
    </row>
    <row r="631" spans="1:14" x14ac:dyDescent="0.25">
      <c r="A631">
        <v>369.264385</v>
      </c>
      <c r="B631" s="1">
        <f>DATE(2011,5,5) + TIME(6,20,42)</f>
        <v>40668.264374999999</v>
      </c>
      <c r="C631">
        <v>80</v>
      </c>
      <c r="D631">
        <v>79.476905822999996</v>
      </c>
      <c r="E631">
        <v>50</v>
      </c>
      <c r="F631">
        <v>49.300472259999999</v>
      </c>
      <c r="G631">
        <v>1373.8536377</v>
      </c>
      <c r="H631">
        <v>1362.8696289</v>
      </c>
      <c r="I631">
        <v>1301.800293</v>
      </c>
      <c r="J631">
        <v>1288.8581543</v>
      </c>
      <c r="K631">
        <v>1650</v>
      </c>
      <c r="L631">
        <v>0</v>
      </c>
      <c r="M631">
        <v>0</v>
      </c>
      <c r="N631">
        <v>1650</v>
      </c>
    </row>
    <row r="632" spans="1:14" x14ac:dyDescent="0.25">
      <c r="A632">
        <v>369.435473</v>
      </c>
      <c r="B632" s="1">
        <f>DATE(2011,5,5) + TIME(10,27,4)</f>
        <v>40668.43546296296</v>
      </c>
      <c r="C632">
        <v>80</v>
      </c>
      <c r="D632">
        <v>79.541053771999998</v>
      </c>
      <c r="E632">
        <v>50</v>
      </c>
      <c r="F632">
        <v>49.279323578000003</v>
      </c>
      <c r="G632">
        <v>1373.7886963000001</v>
      </c>
      <c r="H632">
        <v>1362.8173827999999</v>
      </c>
      <c r="I632">
        <v>1301.7976074000001</v>
      </c>
      <c r="J632">
        <v>1288.854126</v>
      </c>
      <c r="K632">
        <v>1650</v>
      </c>
      <c r="L632">
        <v>0</v>
      </c>
      <c r="M632">
        <v>0</v>
      </c>
      <c r="N632">
        <v>1650</v>
      </c>
    </row>
    <row r="633" spans="1:14" x14ac:dyDescent="0.25">
      <c r="A633">
        <v>369.61026900000002</v>
      </c>
      <c r="B633" s="1">
        <f>DATE(2011,5,5) + TIME(14,38,47)</f>
        <v>40668.610266203701</v>
      </c>
      <c r="C633">
        <v>80</v>
      </c>
      <c r="D633">
        <v>79.596473693999997</v>
      </c>
      <c r="E633">
        <v>50</v>
      </c>
      <c r="F633">
        <v>49.257843018000003</v>
      </c>
      <c r="G633">
        <v>1373.7247314000001</v>
      </c>
      <c r="H633">
        <v>1362.7655029</v>
      </c>
      <c r="I633">
        <v>1301.7946777</v>
      </c>
      <c r="J633">
        <v>1288.8499756000001</v>
      </c>
      <c r="K633">
        <v>1650</v>
      </c>
      <c r="L633">
        <v>0</v>
      </c>
      <c r="M633">
        <v>0</v>
      </c>
      <c r="N633">
        <v>1650</v>
      </c>
    </row>
    <row r="634" spans="1:14" x14ac:dyDescent="0.25">
      <c r="A634">
        <v>369.78920499999998</v>
      </c>
      <c r="B634" s="1">
        <f>DATE(2011,5,5) + TIME(18,56,27)</f>
        <v>40668.789201388892</v>
      </c>
      <c r="C634">
        <v>80</v>
      </c>
      <c r="D634">
        <v>79.644294739000003</v>
      </c>
      <c r="E634">
        <v>50</v>
      </c>
      <c r="F634">
        <v>49.235992432000003</v>
      </c>
      <c r="G634">
        <v>1373.6616211</v>
      </c>
      <c r="H634">
        <v>1362.7138672000001</v>
      </c>
      <c r="I634">
        <v>1301.7917480000001</v>
      </c>
      <c r="J634">
        <v>1288.8458252</v>
      </c>
      <c r="K634">
        <v>1650</v>
      </c>
      <c r="L634">
        <v>0</v>
      </c>
      <c r="M634">
        <v>0</v>
      </c>
      <c r="N634">
        <v>1650</v>
      </c>
    </row>
    <row r="635" spans="1:14" x14ac:dyDescent="0.25">
      <c r="A635">
        <v>369.97258799999997</v>
      </c>
      <c r="B635" s="1">
        <f>DATE(2011,5,5) + TIME(23,20,31)</f>
        <v>40668.972581018519</v>
      </c>
      <c r="C635">
        <v>80</v>
      </c>
      <c r="D635">
        <v>79.685478209999999</v>
      </c>
      <c r="E635">
        <v>50</v>
      </c>
      <c r="F635">
        <v>49.213737488</v>
      </c>
      <c r="G635">
        <v>1373.598999</v>
      </c>
      <c r="H635">
        <v>1362.6622314000001</v>
      </c>
      <c r="I635">
        <v>1301.7886963000001</v>
      </c>
      <c r="J635">
        <v>1288.8414307</v>
      </c>
      <c r="K635">
        <v>1650</v>
      </c>
      <c r="L635">
        <v>0</v>
      </c>
      <c r="M635">
        <v>0</v>
      </c>
      <c r="N635">
        <v>1650</v>
      </c>
    </row>
    <row r="636" spans="1:14" x14ac:dyDescent="0.25">
      <c r="A636">
        <v>370.16083300000003</v>
      </c>
      <c r="B636" s="1">
        <f>DATE(2011,5,6) + TIME(3,51,35)</f>
        <v>40669.160821759258</v>
      </c>
      <c r="C636">
        <v>80</v>
      </c>
      <c r="D636">
        <v>79.720863342000001</v>
      </c>
      <c r="E636">
        <v>50</v>
      </c>
      <c r="F636">
        <v>49.191032409999998</v>
      </c>
      <c r="G636">
        <v>1373.5369873</v>
      </c>
      <c r="H636">
        <v>1362.6107178</v>
      </c>
      <c r="I636">
        <v>1301.7856445</v>
      </c>
      <c r="J636">
        <v>1288.8370361</v>
      </c>
      <c r="K636">
        <v>1650</v>
      </c>
      <c r="L636">
        <v>0</v>
      </c>
      <c r="M636">
        <v>0</v>
      </c>
      <c r="N636">
        <v>1650</v>
      </c>
    </row>
    <row r="637" spans="1:14" x14ac:dyDescent="0.25">
      <c r="A637">
        <v>370.35439100000002</v>
      </c>
      <c r="B637" s="1">
        <f>DATE(2011,5,6) + TIME(8,30,19)</f>
        <v>40669.354386574072</v>
      </c>
      <c r="C637">
        <v>80</v>
      </c>
      <c r="D637">
        <v>79.751205443999993</v>
      </c>
      <c r="E637">
        <v>50</v>
      </c>
      <c r="F637">
        <v>49.167835236000002</v>
      </c>
      <c r="G637">
        <v>1373.4753418</v>
      </c>
      <c r="H637">
        <v>1362.5592041</v>
      </c>
      <c r="I637">
        <v>1301.7823486</v>
      </c>
      <c r="J637">
        <v>1288.8325195</v>
      </c>
      <c r="K637">
        <v>1650</v>
      </c>
      <c r="L637">
        <v>0</v>
      </c>
      <c r="M637">
        <v>0</v>
      </c>
      <c r="N637">
        <v>1650</v>
      </c>
    </row>
    <row r="638" spans="1:14" x14ac:dyDescent="0.25">
      <c r="A638">
        <v>370.55375199999997</v>
      </c>
      <c r="B638" s="1">
        <f>DATE(2011,5,6) + TIME(13,17,24)</f>
        <v>40669.553749999999</v>
      </c>
      <c r="C638">
        <v>80</v>
      </c>
      <c r="D638">
        <v>79.777160644999995</v>
      </c>
      <c r="E638">
        <v>50</v>
      </c>
      <c r="F638">
        <v>49.144096374999997</v>
      </c>
      <c r="G638">
        <v>1373.4138184000001</v>
      </c>
      <c r="H638">
        <v>1362.5076904</v>
      </c>
      <c r="I638">
        <v>1301.7790527</v>
      </c>
      <c r="J638">
        <v>1288.8277588000001</v>
      </c>
      <c r="K638">
        <v>1650</v>
      </c>
      <c r="L638">
        <v>0</v>
      </c>
      <c r="M638">
        <v>0</v>
      </c>
      <c r="N638">
        <v>1650</v>
      </c>
    </row>
    <row r="639" spans="1:14" x14ac:dyDescent="0.25">
      <c r="A639">
        <v>370.75945999999999</v>
      </c>
      <c r="B639" s="1">
        <f>DATE(2011,5,6) + TIME(18,13,37)</f>
        <v>40669.759456018517</v>
      </c>
      <c r="C639">
        <v>80</v>
      </c>
      <c r="D639">
        <v>79.799301146999994</v>
      </c>
      <c r="E639">
        <v>50</v>
      </c>
      <c r="F639">
        <v>49.119766235</v>
      </c>
      <c r="G639">
        <v>1373.3525391000001</v>
      </c>
      <c r="H639">
        <v>1362.4559326000001</v>
      </c>
      <c r="I639">
        <v>1301.7756348</v>
      </c>
      <c r="J639">
        <v>1288.8229980000001</v>
      </c>
      <c r="K639">
        <v>1650</v>
      </c>
      <c r="L639">
        <v>0</v>
      </c>
      <c r="M639">
        <v>0</v>
      </c>
      <c r="N639">
        <v>1650</v>
      </c>
    </row>
    <row r="640" spans="1:14" x14ac:dyDescent="0.25">
      <c r="A640">
        <v>370.97211700000003</v>
      </c>
      <c r="B640" s="1">
        <f>DATE(2011,5,6) + TIME(23,19,50)</f>
        <v>40669.97210648148</v>
      </c>
      <c r="C640">
        <v>80</v>
      </c>
      <c r="D640">
        <v>79.818138122999997</v>
      </c>
      <c r="E640">
        <v>50</v>
      </c>
      <c r="F640">
        <v>49.094779967999997</v>
      </c>
      <c r="G640">
        <v>1373.2911377</v>
      </c>
      <c r="H640">
        <v>1362.4040527</v>
      </c>
      <c r="I640">
        <v>1301.7720947</v>
      </c>
      <c r="J640">
        <v>1288.8179932</v>
      </c>
      <c r="K640">
        <v>1650</v>
      </c>
      <c r="L640">
        <v>0</v>
      </c>
      <c r="M640">
        <v>0</v>
      </c>
      <c r="N640">
        <v>1650</v>
      </c>
    </row>
    <row r="641" spans="1:14" x14ac:dyDescent="0.25">
      <c r="A641">
        <v>371.19239299999998</v>
      </c>
      <c r="B641" s="1">
        <f>DATE(2011,5,7) + TIME(4,37,2)</f>
        <v>40670.192384259259</v>
      </c>
      <c r="C641">
        <v>80</v>
      </c>
      <c r="D641">
        <v>79.834121703999998</v>
      </c>
      <c r="E641">
        <v>50</v>
      </c>
      <c r="F641">
        <v>49.069080352999997</v>
      </c>
      <c r="G641">
        <v>1373.2296143000001</v>
      </c>
      <c r="H641">
        <v>1362.3519286999999</v>
      </c>
      <c r="I641">
        <v>1301.7684326000001</v>
      </c>
      <c r="J641">
        <v>1288.8127440999999</v>
      </c>
      <c r="K641">
        <v>1650</v>
      </c>
      <c r="L641">
        <v>0</v>
      </c>
      <c r="M641">
        <v>0</v>
      </c>
      <c r="N641">
        <v>1650</v>
      </c>
    </row>
    <row r="642" spans="1:14" x14ac:dyDescent="0.25">
      <c r="A642">
        <v>371.421043</v>
      </c>
      <c r="B642" s="1">
        <f>DATE(2011,5,7) + TIME(10,6,18)</f>
        <v>40670.421041666668</v>
      </c>
      <c r="C642">
        <v>80</v>
      </c>
      <c r="D642">
        <v>79.847625731999997</v>
      </c>
      <c r="E642">
        <v>50</v>
      </c>
      <c r="F642">
        <v>49.042591094999999</v>
      </c>
      <c r="G642">
        <v>1373.1678466999999</v>
      </c>
      <c r="H642">
        <v>1362.2994385</v>
      </c>
      <c r="I642">
        <v>1301.7645264</v>
      </c>
      <c r="J642">
        <v>1288.8073730000001</v>
      </c>
      <c r="K642">
        <v>1650</v>
      </c>
      <c r="L642">
        <v>0</v>
      </c>
      <c r="M642">
        <v>0</v>
      </c>
      <c r="N642">
        <v>1650</v>
      </c>
    </row>
    <row r="643" spans="1:14" x14ac:dyDescent="0.25">
      <c r="A643">
        <v>371.65891699999997</v>
      </c>
      <c r="B643" s="1">
        <f>DATE(2011,5,7) + TIME(15,48,50)</f>
        <v>40670.658912037034</v>
      </c>
      <c r="C643">
        <v>80</v>
      </c>
      <c r="D643">
        <v>79.859008789000001</v>
      </c>
      <c r="E643">
        <v>50</v>
      </c>
      <c r="F643">
        <v>49.015228270999998</v>
      </c>
      <c r="G643">
        <v>1373.1057129000001</v>
      </c>
      <c r="H643">
        <v>1362.246582</v>
      </c>
      <c r="I643">
        <v>1301.7606201000001</v>
      </c>
      <c r="J643">
        <v>1288.8018798999999</v>
      </c>
      <c r="K643">
        <v>1650</v>
      </c>
      <c r="L643">
        <v>0</v>
      </c>
      <c r="M643">
        <v>0</v>
      </c>
      <c r="N643">
        <v>1650</v>
      </c>
    </row>
    <row r="644" spans="1:14" x14ac:dyDescent="0.25">
      <c r="A644">
        <v>371.907107</v>
      </c>
      <c r="B644" s="1">
        <f>DATE(2011,5,7) + TIME(21,46,14)</f>
        <v>40670.907106481478</v>
      </c>
      <c r="C644">
        <v>80</v>
      </c>
      <c r="D644">
        <v>79.868568420000003</v>
      </c>
      <c r="E644">
        <v>50</v>
      </c>
      <c r="F644">
        <v>48.986900329999997</v>
      </c>
      <c r="G644">
        <v>1373.0428466999999</v>
      </c>
      <c r="H644">
        <v>1362.1929932</v>
      </c>
      <c r="I644">
        <v>1301.7564697</v>
      </c>
      <c r="J644">
        <v>1288.7960204999999</v>
      </c>
      <c r="K644">
        <v>1650</v>
      </c>
      <c r="L644">
        <v>0</v>
      </c>
      <c r="M644">
        <v>0</v>
      </c>
      <c r="N644">
        <v>1650</v>
      </c>
    </row>
    <row r="645" spans="1:14" x14ac:dyDescent="0.25">
      <c r="A645">
        <v>372.16665999999998</v>
      </c>
      <c r="B645" s="1">
        <f>DATE(2011,5,8) + TIME(3,59,59)</f>
        <v>40671.166655092595</v>
      </c>
      <c r="C645">
        <v>80</v>
      </c>
      <c r="D645">
        <v>79.876571655000006</v>
      </c>
      <c r="E645">
        <v>50</v>
      </c>
      <c r="F645">
        <v>48.957504272000001</v>
      </c>
      <c r="G645">
        <v>1372.9793701000001</v>
      </c>
      <c r="H645">
        <v>1362.1389160000001</v>
      </c>
      <c r="I645">
        <v>1301.7520752</v>
      </c>
      <c r="J645">
        <v>1288.7899170000001</v>
      </c>
      <c r="K645">
        <v>1650</v>
      </c>
      <c r="L645">
        <v>0</v>
      </c>
      <c r="M645">
        <v>0</v>
      </c>
      <c r="N645">
        <v>1650</v>
      </c>
    </row>
    <row r="646" spans="1:14" x14ac:dyDescent="0.25">
      <c r="A646">
        <v>372.436824</v>
      </c>
      <c r="B646" s="1">
        <f>DATE(2011,5,8) + TIME(10,29,1)</f>
        <v>40671.43681712963</v>
      </c>
      <c r="C646">
        <v>80</v>
      </c>
      <c r="D646">
        <v>79.883201599000003</v>
      </c>
      <c r="E646">
        <v>50</v>
      </c>
      <c r="F646">
        <v>48.927112579000003</v>
      </c>
      <c r="G646">
        <v>1372.9150391000001</v>
      </c>
      <c r="H646">
        <v>1362.0839844</v>
      </c>
      <c r="I646">
        <v>1301.7474365</v>
      </c>
      <c r="J646">
        <v>1288.7835693</v>
      </c>
      <c r="K646">
        <v>1650</v>
      </c>
      <c r="L646">
        <v>0</v>
      </c>
      <c r="M646">
        <v>0</v>
      </c>
      <c r="N646">
        <v>1650</v>
      </c>
    </row>
    <row r="647" spans="1:14" x14ac:dyDescent="0.25">
      <c r="A647">
        <v>372.71651100000003</v>
      </c>
      <c r="B647" s="1">
        <f>DATE(2011,5,8) + TIME(17,11,46)</f>
        <v>40671.716504629629</v>
      </c>
      <c r="C647">
        <v>80</v>
      </c>
      <c r="D647">
        <v>79.888648986999996</v>
      </c>
      <c r="E647">
        <v>50</v>
      </c>
      <c r="F647">
        <v>48.895828246999997</v>
      </c>
      <c r="G647">
        <v>1372.8500977000001</v>
      </c>
      <c r="H647">
        <v>1362.0285644999999</v>
      </c>
      <c r="I647">
        <v>1301.7426757999999</v>
      </c>
      <c r="J647">
        <v>1288.7768555</v>
      </c>
      <c r="K647">
        <v>1650</v>
      </c>
      <c r="L647">
        <v>0</v>
      </c>
      <c r="M647">
        <v>0</v>
      </c>
      <c r="N647">
        <v>1650</v>
      </c>
    </row>
    <row r="648" spans="1:14" x14ac:dyDescent="0.25">
      <c r="A648">
        <v>373.00669599999998</v>
      </c>
      <c r="B648" s="1">
        <f>DATE(2011,5,9) + TIME(0,9,38)</f>
        <v>40672.006689814814</v>
      </c>
      <c r="C648">
        <v>80</v>
      </c>
      <c r="D648">
        <v>79.893112183</v>
      </c>
      <c r="E648">
        <v>50</v>
      </c>
      <c r="F648">
        <v>48.863571167000003</v>
      </c>
      <c r="G648">
        <v>1372.7847899999999</v>
      </c>
      <c r="H648">
        <v>1361.9729004000001</v>
      </c>
      <c r="I648">
        <v>1301.7376709</v>
      </c>
      <c r="J648">
        <v>1288.7700195</v>
      </c>
      <c r="K648">
        <v>1650</v>
      </c>
      <c r="L648">
        <v>0</v>
      </c>
      <c r="M648">
        <v>0</v>
      </c>
      <c r="N648">
        <v>1650</v>
      </c>
    </row>
    <row r="649" spans="1:14" x14ac:dyDescent="0.25">
      <c r="A649">
        <v>373.30139100000002</v>
      </c>
      <c r="B649" s="1">
        <f>DATE(2011,5,9) + TIME(7,14,0)</f>
        <v>40672.301388888889</v>
      </c>
      <c r="C649">
        <v>80</v>
      </c>
      <c r="D649">
        <v>79.896697997999993</v>
      </c>
      <c r="E649">
        <v>50</v>
      </c>
      <c r="F649">
        <v>48.830883026000002</v>
      </c>
      <c r="G649">
        <v>1372.7192382999999</v>
      </c>
      <c r="H649">
        <v>1361.9169922000001</v>
      </c>
      <c r="I649">
        <v>1301.7324219</v>
      </c>
      <c r="J649">
        <v>1288.7628173999999</v>
      </c>
      <c r="K649">
        <v>1650</v>
      </c>
      <c r="L649">
        <v>0</v>
      </c>
      <c r="M649">
        <v>0</v>
      </c>
      <c r="N649">
        <v>1650</v>
      </c>
    </row>
    <row r="650" spans="1:14" x14ac:dyDescent="0.25">
      <c r="A650">
        <v>373.597734</v>
      </c>
      <c r="B650" s="1">
        <f>DATE(2011,5,9) + TIME(14,20,44)</f>
        <v>40672.597731481481</v>
      </c>
      <c r="C650">
        <v>80</v>
      </c>
      <c r="D650">
        <v>79.899566649999997</v>
      </c>
      <c r="E650">
        <v>50</v>
      </c>
      <c r="F650">
        <v>48.798034668</v>
      </c>
      <c r="G650">
        <v>1372.6546631000001</v>
      </c>
      <c r="H650">
        <v>1361.8619385</v>
      </c>
      <c r="I650">
        <v>1301.7269286999999</v>
      </c>
      <c r="J650">
        <v>1288.7556152</v>
      </c>
      <c r="K650">
        <v>1650</v>
      </c>
      <c r="L650">
        <v>0</v>
      </c>
      <c r="M650">
        <v>0</v>
      </c>
      <c r="N650">
        <v>1650</v>
      </c>
    </row>
    <row r="651" spans="1:14" x14ac:dyDescent="0.25">
      <c r="A651">
        <v>373.89643599999999</v>
      </c>
      <c r="B651" s="1">
        <f>DATE(2011,5,9) + TIME(21,30,52)</f>
        <v>40672.896435185183</v>
      </c>
      <c r="C651">
        <v>80</v>
      </c>
      <c r="D651">
        <v>79.901870728000006</v>
      </c>
      <c r="E651">
        <v>50</v>
      </c>
      <c r="F651">
        <v>48.76499939</v>
      </c>
      <c r="G651">
        <v>1372.5915527</v>
      </c>
      <c r="H651">
        <v>1361.8082274999999</v>
      </c>
      <c r="I651">
        <v>1301.7215576000001</v>
      </c>
      <c r="J651">
        <v>1288.7482910000001</v>
      </c>
      <c r="K651">
        <v>1650</v>
      </c>
      <c r="L651">
        <v>0</v>
      </c>
      <c r="M651">
        <v>0</v>
      </c>
      <c r="N651">
        <v>1650</v>
      </c>
    </row>
    <row r="652" spans="1:14" x14ac:dyDescent="0.25">
      <c r="A652">
        <v>374.19818900000001</v>
      </c>
      <c r="B652" s="1">
        <f>DATE(2011,5,10) + TIME(4,45,23)</f>
        <v>40673.198182870372</v>
      </c>
      <c r="C652">
        <v>80</v>
      </c>
      <c r="D652">
        <v>79.903732300000001</v>
      </c>
      <c r="E652">
        <v>50</v>
      </c>
      <c r="F652">
        <v>48.731735229000002</v>
      </c>
      <c r="G652">
        <v>1372.5296631000001</v>
      </c>
      <c r="H652">
        <v>1361.7557373</v>
      </c>
      <c r="I652">
        <v>1301.7160644999999</v>
      </c>
      <c r="J652">
        <v>1288.7408447</v>
      </c>
      <c r="K652">
        <v>1650</v>
      </c>
      <c r="L652">
        <v>0</v>
      </c>
      <c r="M652">
        <v>0</v>
      </c>
      <c r="N652">
        <v>1650</v>
      </c>
    </row>
    <row r="653" spans="1:14" x14ac:dyDescent="0.25">
      <c r="A653">
        <v>374.50377500000002</v>
      </c>
      <c r="B653" s="1">
        <f>DATE(2011,5,10) + TIME(12,5,26)</f>
        <v>40673.50377314815</v>
      </c>
      <c r="C653">
        <v>80</v>
      </c>
      <c r="D653">
        <v>79.905242920000006</v>
      </c>
      <c r="E653">
        <v>50</v>
      </c>
      <c r="F653">
        <v>48.698181151999997</v>
      </c>
      <c r="G653">
        <v>1372.4689940999999</v>
      </c>
      <c r="H653">
        <v>1361.7041016000001</v>
      </c>
      <c r="I653">
        <v>1301.7105713000001</v>
      </c>
      <c r="J653">
        <v>1288.7332764</v>
      </c>
      <c r="K653">
        <v>1650</v>
      </c>
      <c r="L653">
        <v>0</v>
      </c>
      <c r="M653">
        <v>0</v>
      </c>
      <c r="N653">
        <v>1650</v>
      </c>
    </row>
    <row r="654" spans="1:14" x14ac:dyDescent="0.25">
      <c r="A654">
        <v>374.81375700000001</v>
      </c>
      <c r="B654" s="1">
        <f>DATE(2011,5,10) + TIME(19,31,48)</f>
        <v>40673.813750000001</v>
      </c>
      <c r="C654">
        <v>80</v>
      </c>
      <c r="D654">
        <v>79.906478882000002</v>
      </c>
      <c r="E654">
        <v>50</v>
      </c>
      <c r="F654">
        <v>48.664306641000003</v>
      </c>
      <c r="G654">
        <v>1372.4090576000001</v>
      </c>
      <c r="H654">
        <v>1361.6533202999999</v>
      </c>
      <c r="I654">
        <v>1301.7049560999999</v>
      </c>
      <c r="J654">
        <v>1288.7255858999999</v>
      </c>
      <c r="K654">
        <v>1650</v>
      </c>
      <c r="L654">
        <v>0</v>
      </c>
      <c r="M654">
        <v>0</v>
      </c>
      <c r="N654">
        <v>1650</v>
      </c>
    </row>
    <row r="655" spans="1:14" x14ac:dyDescent="0.25">
      <c r="A655">
        <v>375.12884000000003</v>
      </c>
      <c r="B655" s="1">
        <f>DATE(2011,5,11) + TIME(3,5,31)</f>
        <v>40674.128831018519</v>
      </c>
      <c r="C655">
        <v>80</v>
      </c>
      <c r="D655">
        <v>79.907501221000004</v>
      </c>
      <c r="E655">
        <v>50</v>
      </c>
      <c r="F655">
        <v>48.630050658999998</v>
      </c>
      <c r="G655">
        <v>1372.3499756000001</v>
      </c>
      <c r="H655">
        <v>1361.6032714999999</v>
      </c>
      <c r="I655">
        <v>1301.6992187999999</v>
      </c>
      <c r="J655">
        <v>1288.7178954999999</v>
      </c>
      <c r="K655">
        <v>1650</v>
      </c>
      <c r="L655">
        <v>0</v>
      </c>
      <c r="M655">
        <v>0</v>
      </c>
      <c r="N655">
        <v>1650</v>
      </c>
    </row>
    <row r="656" spans="1:14" x14ac:dyDescent="0.25">
      <c r="A656">
        <v>375.44975199999999</v>
      </c>
      <c r="B656" s="1">
        <f>DATE(2011,5,11) + TIME(10,47,38)</f>
        <v>40674.449745370373</v>
      </c>
      <c r="C656">
        <v>80</v>
      </c>
      <c r="D656">
        <v>79.908340453999998</v>
      </c>
      <c r="E656">
        <v>50</v>
      </c>
      <c r="F656">
        <v>48.595359801999997</v>
      </c>
      <c r="G656">
        <v>1372.2915039</v>
      </c>
      <c r="H656">
        <v>1361.5538329999999</v>
      </c>
      <c r="I656">
        <v>1301.6933594</v>
      </c>
      <c r="J656">
        <v>1288.7099608999999</v>
      </c>
      <c r="K656">
        <v>1650</v>
      </c>
      <c r="L656">
        <v>0</v>
      </c>
      <c r="M656">
        <v>0</v>
      </c>
      <c r="N656">
        <v>1650</v>
      </c>
    </row>
    <row r="657" spans="1:14" x14ac:dyDescent="0.25">
      <c r="A657">
        <v>375.77726699999999</v>
      </c>
      <c r="B657" s="1">
        <f>DATE(2011,5,11) + TIME(18,39,15)</f>
        <v>40674.777256944442</v>
      </c>
      <c r="C657">
        <v>80</v>
      </c>
      <c r="D657">
        <v>79.909042357999994</v>
      </c>
      <c r="E657">
        <v>50</v>
      </c>
      <c r="F657">
        <v>48.560169219999999</v>
      </c>
      <c r="G657">
        <v>1372.2333983999999</v>
      </c>
      <c r="H657">
        <v>1361.5047606999999</v>
      </c>
      <c r="I657">
        <v>1301.6873779</v>
      </c>
      <c r="J657">
        <v>1288.7017822</v>
      </c>
      <c r="K657">
        <v>1650</v>
      </c>
      <c r="L657">
        <v>0</v>
      </c>
      <c r="M657">
        <v>0</v>
      </c>
      <c r="N657">
        <v>1650</v>
      </c>
    </row>
    <row r="658" spans="1:14" x14ac:dyDescent="0.25">
      <c r="A658">
        <v>376.11036999999999</v>
      </c>
      <c r="B658" s="1">
        <f>DATE(2011,5,12) + TIME(2,38,55)</f>
        <v>40675.110358796293</v>
      </c>
      <c r="C658">
        <v>80</v>
      </c>
      <c r="D658">
        <v>79.909622192</v>
      </c>
      <c r="E658">
        <v>50</v>
      </c>
      <c r="F658">
        <v>48.524562836000001</v>
      </c>
      <c r="G658">
        <v>1372.1755370999999</v>
      </c>
      <c r="H658">
        <v>1361.4559326000001</v>
      </c>
      <c r="I658">
        <v>1301.6812743999999</v>
      </c>
      <c r="J658">
        <v>1288.6934814000001</v>
      </c>
      <c r="K658">
        <v>1650</v>
      </c>
      <c r="L658">
        <v>0</v>
      </c>
      <c r="M658">
        <v>0</v>
      </c>
      <c r="N658">
        <v>1650</v>
      </c>
    </row>
    <row r="659" spans="1:14" x14ac:dyDescent="0.25">
      <c r="A659">
        <v>376.44925599999999</v>
      </c>
      <c r="B659" s="1">
        <f>DATE(2011,5,12) + TIME(10,46,55)</f>
        <v>40675.449247685188</v>
      </c>
      <c r="C659">
        <v>80</v>
      </c>
      <c r="D659">
        <v>79.910110474000007</v>
      </c>
      <c r="E659">
        <v>50</v>
      </c>
      <c r="F659">
        <v>48.488536834999998</v>
      </c>
      <c r="G659">
        <v>1372.1182861</v>
      </c>
      <c r="H659">
        <v>1361.4077147999999</v>
      </c>
      <c r="I659">
        <v>1301.6750488</v>
      </c>
      <c r="J659">
        <v>1288.6850586</v>
      </c>
      <c r="K659">
        <v>1650</v>
      </c>
      <c r="L659">
        <v>0</v>
      </c>
      <c r="M659">
        <v>0</v>
      </c>
      <c r="N659">
        <v>1650</v>
      </c>
    </row>
    <row r="660" spans="1:14" x14ac:dyDescent="0.25">
      <c r="A660">
        <v>376.79467</v>
      </c>
      <c r="B660" s="1">
        <f>DATE(2011,5,12) + TIME(19,4,19)</f>
        <v>40675.794664351852</v>
      </c>
      <c r="C660">
        <v>80</v>
      </c>
      <c r="D660">
        <v>79.910514832000004</v>
      </c>
      <c r="E660">
        <v>50</v>
      </c>
      <c r="F660">
        <v>48.452022552000003</v>
      </c>
      <c r="G660">
        <v>1372.0614014</v>
      </c>
      <c r="H660">
        <v>1361.3598632999999</v>
      </c>
      <c r="I660">
        <v>1301.6687012</v>
      </c>
      <c r="J660">
        <v>1288.6763916</v>
      </c>
      <c r="K660">
        <v>1650</v>
      </c>
      <c r="L660">
        <v>0</v>
      </c>
      <c r="M660">
        <v>0</v>
      </c>
      <c r="N660">
        <v>1650</v>
      </c>
    </row>
    <row r="661" spans="1:14" x14ac:dyDescent="0.25">
      <c r="A661">
        <v>377.14739400000002</v>
      </c>
      <c r="B661" s="1">
        <f>DATE(2011,5,13) + TIME(3,32,14)</f>
        <v>40676.14738425926</v>
      </c>
      <c r="C661">
        <v>80</v>
      </c>
      <c r="D661">
        <v>79.910858153999996</v>
      </c>
      <c r="E661">
        <v>50</v>
      </c>
      <c r="F661">
        <v>48.414966583000002</v>
      </c>
      <c r="G661">
        <v>1372.0048827999999</v>
      </c>
      <c r="H661">
        <v>1361.3123779</v>
      </c>
      <c r="I661">
        <v>1301.6622314000001</v>
      </c>
      <c r="J661">
        <v>1288.6676024999999</v>
      </c>
      <c r="K661">
        <v>1650</v>
      </c>
      <c r="L661">
        <v>0</v>
      </c>
      <c r="M661">
        <v>0</v>
      </c>
      <c r="N661">
        <v>1650</v>
      </c>
    </row>
    <row r="662" spans="1:14" x14ac:dyDescent="0.25">
      <c r="A662">
        <v>377.50827299999997</v>
      </c>
      <c r="B662" s="1">
        <f>DATE(2011,5,13) + TIME(12,11,54)</f>
        <v>40676.508263888885</v>
      </c>
      <c r="C662">
        <v>80</v>
      </c>
      <c r="D662">
        <v>79.911148071</v>
      </c>
      <c r="E662">
        <v>50</v>
      </c>
      <c r="F662">
        <v>48.377296448000003</v>
      </c>
      <c r="G662">
        <v>1371.9484863</v>
      </c>
      <c r="H662">
        <v>1361.2651367000001</v>
      </c>
      <c r="I662">
        <v>1301.6555175999999</v>
      </c>
      <c r="J662">
        <v>1288.6585693</v>
      </c>
      <c r="K662">
        <v>1650</v>
      </c>
      <c r="L662">
        <v>0</v>
      </c>
      <c r="M662">
        <v>0</v>
      </c>
      <c r="N662">
        <v>1650</v>
      </c>
    </row>
    <row r="663" spans="1:14" x14ac:dyDescent="0.25">
      <c r="A663">
        <v>377.87822299999999</v>
      </c>
      <c r="B663" s="1">
        <f>DATE(2011,5,13) + TIME(21,4,38)</f>
        <v>40676.878217592595</v>
      </c>
      <c r="C663">
        <v>80</v>
      </c>
      <c r="D663">
        <v>79.911392211999996</v>
      </c>
      <c r="E663">
        <v>50</v>
      </c>
      <c r="F663">
        <v>48.338939666999998</v>
      </c>
      <c r="G663">
        <v>1371.8922118999999</v>
      </c>
      <c r="H663">
        <v>1361.2178954999999</v>
      </c>
      <c r="I663">
        <v>1301.6486815999999</v>
      </c>
      <c r="J663">
        <v>1288.6492920000001</v>
      </c>
      <c r="K663">
        <v>1650</v>
      </c>
      <c r="L663">
        <v>0</v>
      </c>
      <c r="M663">
        <v>0</v>
      </c>
      <c r="N663">
        <v>1650</v>
      </c>
    </row>
    <row r="664" spans="1:14" x14ac:dyDescent="0.25">
      <c r="A664">
        <v>378.25825099999997</v>
      </c>
      <c r="B664" s="1">
        <f>DATE(2011,5,14) + TIME(6,11,52)</f>
        <v>40677.258240740739</v>
      </c>
      <c r="C664">
        <v>80</v>
      </c>
      <c r="D664">
        <v>79.911605835000003</v>
      </c>
      <c r="E664">
        <v>50</v>
      </c>
      <c r="F664">
        <v>48.299808501999998</v>
      </c>
      <c r="G664">
        <v>1371.8359375</v>
      </c>
      <c r="H664">
        <v>1361.1707764</v>
      </c>
      <c r="I664">
        <v>1301.6416016000001</v>
      </c>
      <c r="J664">
        <v>1288.6396483999999</v>
      </c>
      <c r="K664">
        <v>1650</v>
      </c>
      <c r="L664">
        <v>0</v>
      </c>
      <c r="M664">
        <v>0</v>
      </c>
      <c r="N664">
        <v>1650</v>
      </c>
    </row>
    <row r="665" spans="1:14" x14ac:dyDescent="0.25">
      <c r="A665">
        <v>378.649473</v>
      </c>
      <c r="B665" s="1">
        <f>DATE(2011,5,14) + TIME(15,35,14)</f>
        <v>40677.649467592593</v>
      </c>
      <c r="C665">
        <v>80</v>
      </c>
      <c r="D665">
        <v>79.911781310999999</v>
      </c>
      <c r="E665">
        <v>50</v>
      </c>
      <c r="F665">
        <v>48.259819030999999</v>
      </c>
      <c r="G665">
        <v>1371.7794189000001</v>
      </c>
      <c r="H665">
        <v>1361.1235352000001</v>
      </c>
      <c r="I665">
        <v>1301.6342772999999</v>
      </c>
      <c r="J665">
        <v>1288.6297606999999</v>
      </c>
      <c r="K665">
        <v>1650</v>
      </c>
      <c r="L665">
        <v>0</v>
      </c>
      <c r="M665">
        <v>0</v>
      </c>
      <c r="N665">
        <v>1650</v>
      </c>
    </row>
    <row r="666" spans="1:14" x14ac:dyDescent="0.25">
      <c r="A666">
        <v>379.05312900000001</v>
      </c>
      <c r="B666" s="1">
        <f>DATE(2011,5,15) + TIME(1,16,30)</f>
        <v>40678.053124999999</v>
      </c>
      <c r="C666">
        <v>80</v>
      </c>
      <c r="D666">
        <v>79.911933899000005</v>
      </c>
      <c r="E666">
        <v>50</v>
      </c>
      <c r="F666">
        <v>48.218864441000001</v>
      </c>
      <c r="G666">
        <v>1371.7226562000001</v>
      </c>
      <c r="H666">
        <v>1361.0761719</v>
      </c>
      <c r="I666">
        <v>1301.6268310999999</v>
      </c>
      <c r="J666">
        <v>1288.6196289</v>
      </c>
      <c r="K666">
        <v>1650</v>
      </c>
      <c r="L666">
        <v>0</v>
      </c>
      <c r="M666">
        <v>0</v>
      </c>
      <c r="N666">
        <v>1650</v>
      </c>
    </row>
    <row r="667" spans="1:14" x14ac:dyDescent="0.25">
      <c r="A667">
        <v>379.47061300000001</v>
      </c>
      <c r="B667" s="1">
        <f>DATE(2011,5,15) + TIME(11,17,40)</f>
        <v>40678.470601851855</v>
      </c>
      <c r="C667">
        <v>80</v>
      </c>
      <c r="D667">
        <v>79.912055968999994</v>
      </c>
      <c r="E667">
        <v>50</v>
      </c>
      <c r="F667">
        <v>48.176834106000001</v>
      </c>
      <c r="G667">
        <v>1371.6654053</v>
      </c>
      <c r="H667">
        <v>1361.0284423999999</v>
      </c>
      <c r="I667">
        <v>1301.6190185999999</v>
      </c>
      <c r="J667">
        <v>1288.6090088000001</v>
      </c>
      <c r="K667">
        <v>1650</v>
      </c>
      <c r="L667">
        <v>0</v>
      </c>
      <c r="M667">
        <v>0</v>
      </c>
      <c r="N667">
        <v>1650</v>
      </c>
    </row>
    <row r="668" spans="1:14" x14ac:dyDescent="0.25">
      <c r="A668">
        <v>379.90377999999998</v>
      </c>
      <c r="B668" s="1">
        <f>DATE(2011,5,15) + TIME(21,41,26)</f>
        <v>40678.903773148151</v>
      </c>
      <c r="C668">
        <v>80</v>
      </c>
      <c r="D668">
        <v>79.912170410000002</v>
      </c>
      <c r="E668">
        <v>50</v>
      </c>
      <c r="F668">
        <v>48.133583068999997</v>
      </c>
      <c r="G668">
        <v>1371.6076660000001</v>
      </c>
      <c r="H668">
        <v>1360.9803466999999</v>
      </c>
      <c r="I668">
        <v>1301.6108397999999</v>
      </c>
      <c r="J668">
        <v>1288.5980225000001</v>
      </c>
      <c r="K668">
        <v>1650</v>
      </c>
      <c r="L668">
        <v>0</v>
      </c>
      <c r="M668">
        <v>0</v>
      </c>
      <c r="N668">
        <v>1650</v>
      </c>
    </row>
    <row r="669" spans="1:14" x14ac:dyDescent="0.25">
      <c r="A669">
        <v>380.35423100000003</v>
      </c>
      <c r="B669" s="1">
        <f>DATE(2011,5,16) + TIME(8,30,5)</f>
        <v>40679.354224537034</v>
      </c>
      <c r="C669">
        <v>80</v>
      </c>
      <c r="D669">
        <v>79.912254333000007</v>
      </c>
      <c r="E669">
        <v>50</v>
      </c>
      <c r="F669">
        <v>48.088973998999997</v>
      </c>
      <c r="G669">
        <v>1371.5491943</v>
      </c>
      <c r="H669">
        <v>1360.9317627</v>
      </c>
      <c r="I669">
        <v>1301.6024170000001</v>
      </c>
      <c r="J669">
        <v>1288.5865478999999</v>
      </c>
      <c r="K669">
        <v>1650</v>
      </c>
      <c r="L669">
        <v>0</v>
      </c>
      <c r="M669">
        <v>0</v>
      </c>
      <c r="N669">
        <v>1650</v>
      </c>
    </row>
    <row r="670" spans="1:14" x14ac:dyDescent="0.25">
      <c r="A670">
        <v>380.80682100000001</v>
      </c>
      <c r="B670" s="1">
        <f>DATE(2011,5,16) + TIME(19,21,49)</f>
        <v>40679.806817129633</v>
      </c>
      <c r="C670">
        <v>80</v>
      </c>
      <c r="D670">
        <v>79.912330627000003</v>
      </c>
      <c r="E670">
        <v>50</v>
      </c>
      <c r="F670">
        <v>48.044101714999996</v>
      </c>
      <c r="G670">
        <v>1371.4897461</v>
      </c>
      <c r="H670">
        <v>1360.8823242000001</v>
      </c>
      <c r="I670">
        <v>1301.5933838000001</v>
      </c>
      <c r="J670">
        <v>1288.5745850000001</v>
      </c>
      <c r="K670">
        <v>1650</v>
      </c>
      <c r="L670">
        <v>0</v>
      </c>
      <c r="M670">
        <v>0</v>
      </c>
      <c r="N670">
        <v>1650</v>
      </c>
    </row>
    <row r="671" spans="1:14" x14ac:dyDescent="0.25">
      <c r="A671">
        <v>381.26211699999999</v>
      </c>
      <c r="B671" s="1">
        <f>DATE(2011,5,17) + TIME(6,17,26)</f>
        <v>40680.262106481481</v>
      </c>
      <c r="C671">
        <v>80</v>
      </c>
      <c r="D671">
        <v>79.912384032999995</v>
      </c>
      <c r="E671">
        <v>50</v>
      </c>
      <c r="F671">
        <v>47.998996734999999</v>
      </c>
      <c r="G671">
        <v>1371.4315185999999</v>
      </c>
      <c r="H671">
        <v>1360.8339844</v>
      </c>
      <c r="I671">
        <v>1301.5843506000001</v>
      </c>
      <c r="J671">
        <v>1288.5625</v>
      </c>
      <c r="K671">
        <v>1650</v>
      </c>
      <c r="L671">
        <v>0</v>
      </c>
      <c r="M671">
        <v>0</v>
      </c>
      <c r="N671">
        <v>1650</v>
      </c>
    </row>
    <row r="672" spans="1:14" x14ac:dyDescent="0.25">
      <c r="A672">
        <v>381.72137500000002</v>
      </c>
      <c r="B672" s="1">
        <f>DATE(2011,5,17) + TIME(17,18,46)</f>
        <v>40680.721365740741</v>
      </c>
      <c r="C672">
        <v>80</v>
      </c>
      <c r="D672">
        <v>79.912429810000006</v>
      </c>
      <c r="E672">
        <v>50</v>
      </c>
      <c r="F672">
        <v>47.953632355000003</v>
      </c>
      <c r="G672">
        <v>1371.3742675999999</v>
      </c>
      <c r="H672">
        <v>1360.786499</v>
      </c>
      <c r="I672">
        <v>1301.5753173999999</v>
      </c>
      <c r="J672">
        <v>1288.550293</v>
      </c>
      <c r="K672">
        <v>1650</v>
      </c>
      <c r="L672">
        <v>0</v>
      </c>
      <c r="M672">
        <v>0</v>
      </c>
      <c r="N672">
        <v>1650</v>
      </c>
    </row>
    <row r="673" spans="1:14" x14ac:dyDescent="0.25">
      <c r="A673">
        <v>382.18550800000003</v>
      </c>
      <c r="B673" s="1">
        <f>DATE(2011,5,18) + TIME(4,27,7)</f>
        <v>40681.185497685183</v>
      </c>
      <c r="C673">
        <v>80</v>
      </c>
      <c r="D673">
        <v>79.912460327000005</v>
      </c>
      <c r="E673">
        <v>50</v>
      </c>
      <c r="F673">
        <v>47.907974242999998</v>
      </c>
      <c r="G673">
        <v>1371.3178711</v>
      </c>
      <c r="H673">
        <v>1360.7398682</v>
      </c>
      <c r="I673">
        <v>1301.5660399999999</v>
      </c>
      <c r="J673">
        <v>1288.5378418</v>
      </c>
      <c r="K673">
        <v>1650</v>
      </c>
      <c r="L673">
        <v>0</v>
      </c>
      <c r="M673">
        <v>0</v>
      </c>
      <c r="N673">
        <v>1650</v>
      </c>
    </row>
    <row r="674" spans="1:14" x14ac:dyDescent="0.25">
      <c r="A674">
        <v>382.65561300000002</v>
      </c>
      <c r="B674" s="1">
        <f>DATE(2011,5,18) + TIME(15,44,4)</f>
        <v>40681.655601851853</v>
      </c>
      <c r="C674">
        <v>80</v>
      </c>
      <c r="D674">
        <v>79.912490844999994</v>
      </c>
      <c r="E674">
        <v>50</v>
      </c>
      <c r="F674">
        <v>47.861961364999999</v>
      </c>
      <c r="G674">
        <v>1371.2620850000001</v>
      </c>
      <c r="H674">
        <v>1360.6937256000001</v>
      </c>
      <c r="I674">
        <v>1301.5566406</v>
      </c>
      <c r="J674">
        <v>1288.5251464999999</v>
      </c>
      <c r="K674">
        <v>1650</v>
      </c>
      <c r="L674">
        <v>0</v>
      </c>
      <c r="M674">
        <v>0</v>
      </c>
      <c r="N674">
        <v>1650</v>
      </c>
    </row>
    <row r="675" spans="1:14" x14ac:dyDescent="0.25">
      <c r="A675">
        <v>383.13281000000001</v>
      </c>
      <c r="B675" s="1">
        <f>DATE(2011,5,19) + TIME(3,11,14)</f>
        <v>40682.132800925923</v>
      </c>
      <c r="C675">
        <v>80</v>
      </c>
      <c r="D675">
        <v>79.912506104000002</v>
      </c>
      <c r="E675">
        <v>50</v>
      </c>
      <c r="F675">
        <v>47.815532683999997</v>
      </c>
      <c r="G675">
        <v>1371.2069091999999</v>
      </c>
      <c r="H675">
        <v>1360.6480713000001</v>
      </c>
      <c r="I675">
        <v>1301.5469971</v>
      </c>
      <c r="J675">
        <v>1288.512207</v>
      </c>
      <c r="K675">
        <v>1650</v>
      </c>
      <c r="L675">
        <v>0</v>
      </c>
      <c r="M675">
        <v>0</v>
      </c>
      <c r="N675">
        <v>1650</v>
      </c>
    </row>
    <row r="676" spans="1:14" x14ac:dyDescent="0.25">
      <c r="A676">
        <v>383.61825800000003</v>
      </c>
      <c r="B676" s="1">
        <f>DATE(2011,5,19) + TIME(14,50,17)</f>
        <v>40682.618252314816</v>
      </c>
      <c r="C676">
        <v>80</v>
      </c>
      <c r="D676">
        <v>79.912513732999997</v>
      </c>
      <c r="E676">
        <v>50</v>
      </c>
      <c r="F676">
        <v>47.768600464000002</v>
      </c>
      <c r="G676">
        <v>1371.1520995999999</v>
      </c>
      <c r="H676">
        <v>1360.6027832</v>
      </c>
      <c r="I676">
        <v>1301.5372314000001</v>
      </c>
      <c r="J676">
        <v>1288.4990233999999</v>
      </c>
      <c r="K676">
        <v>1650</v>
      </c>
      <c r="L676">
        <v>0</v>
      </c>
      <c r="M676">
        <v>0</v>
      </c>
      <c r="N676">
        <v>1650</v>
      </c>
    </row>
    <row r="677" spans="1:14" x14ac:dyDescent="0.25">
      <c r="A677">
        <v>384.11319300000002</v>
      </c>
      <c r="B677" s="1">
        <f>DATE(2011,5,20) + TIME(2,42,59)</f>
        <v>40683.113182870373</v>
      </c>
      <c r="C677">
        <v>80</v>
      </c>
      <c r="D677">
        <v>79.912521362000007</v>
      </c>
      <c r="E677">
        <v>50</v>
      </c>
      <c r="F677">
        <v>47.721076965000002</v>
      </c>
      <c r="G677">
        <v>1371.0975341999999</v>
      </c>
      <c r="H677">
        <v>1360.5577393000001</v>
      </c>
      <c r="I677">
        <v>1301.5272216999999</v>
      </c>
      <c r="J677">
        <v>1288.4854736</v>
      </c>
      <c r="K677">
        <v>1650</v>
      </c>
      <c r="L677">
        <v>0</v>
      </c>
      <c r="M677">
        <v>0</v>
      </c>
      <c r="N677">
        <v>1650</v>
      </c>
    </row>
    <row r="678" spans="1:14" x14ac:dyDescent="0.25">
      <c r="A678">
        <v>384.61893500000002</v>
      </c>
      <c r="B678" s="1">
        <f>DATE(2011,5,20) + TIME(14,51,15)</f>
        <v>40683.618923611109</v>
      </c>
      <c r="C678">
        <v>80</v>
      </c>
      <c r="D678">
        <v>79.912528992000006</v>
      </c>
      <c r="E678">
        <v>50</v>
      </c>
      <c r="F678">
        <v>47.672859191999997</v>
      </c>
      <c r="G678">
        <v>1371.0429687999999</v>
      </c>
      <c r="H678">
        <v>1360.5128173999999</v>
      </c>
      <c r="I678">
        <v>1301.5168457</v>
      </c>
      <c r="J678">
        <v>1288.4715576000001</v>
      </c>
      <c r="K678">
        <v>1650</v>
      </c>
      <c r="L678">
        <v>0</v>
      </c>
      <c r="M678">
        <v>0</v>
      </c>
      <c r="N678">
        <v>1650</v>
      </c>
    </row>
    <row r="679" spans="1:14" x14ac:dyDescent="0.25">
      <c r="A679">
        <v>385.13320700000003</v>
      </c>
      <c r="B679" s="1">
        <f>DATE(2011,5,21) + TIME(3,11,49)</f>
        <v>40684.133206018516</v>
      </c>
      <c r="C679">
        <v>80</v>
      </c>
      <c r="D679">
        <v>79.912521362000007</v>
      </c>
      <c r="E679">
        <v>50</v>
      </c>
      <c r="F679">
        <v>47.624095916999998</v>
      </c>
      <c r="G679">
        <v>1370.9885254000001</v>
      </c>
      <c r="H679">
        <v>1360.4680175999999</v>
      </c>
      <c r="I679">
        <v>1301.5062256000001</v>
      </c>
      <c r="J679">
        <v>1288.4572754000001</v>
      </c>
      <c r="K679">
        <v>1650</v>
      </c>
      <c r="L679">
        <v>0</v>
      </c>
      <c r="M679">
        <v>0</v>
      </c>
      <c r="N679">
        <v>1650</v>
      </c>
    </row>
    <row r="680" spans="1:14" x14ac:dyDescent="0.25">
      <c r="A680">
        <v>385.65610500000003</v>
      </c>
      <c r="B680" s="1">
        <f>DATE(2011,5,21) + TIME(15,44,47)</f>
        <v>40684.656099537038</v>
      </c>
      <c r="C680">
        <v>80</v>
      </c>
      <c r="D680">
        <v>79.912521362000007</v>
      </c>
      <c r="E680">
        <v>50</v>
      </c>
      <c r="F680">
        <v>47.574779509999999</v>
      </c>
      <c r="G680">
        <v>1370.9343262</v>
      </c>
      <c r="H680">
        <v>1360.4233397999999</v>
      </c>
      <c r="I680">
        <v>1301.4953613</v>
      </c>
      <c r="J680">
        <v>1288.4425048999999</v>
      </c>
      <c r="K680">
        <v>1650</v>
      </c>
      <c r="L680">
        <v>0</v>
      </c>
      <c r="M680">
        <v>0</v>
      </c>
      <c r="N680">
        <v>1650</v>
      </c>
    </row>
    <row r="681" spans="1:14" x14ac:dyDescent="0.25">
      <c r="A681">
        <v>386.188872</v>
      </c>
      <c r="B681" s="1">
        <f>DATE(2011,5,22) + TIME(4,31,58)</f>
        <v>40685.18886574074</v>
      </c>
      <c r="C681">
        <v>80</v>
      </c>
      <c r="D681">
        <v>79.912513732999997</v>
      </c>
      <c r="E681">
        <v>50</v>
      </c>
      <c r="F681">
        <v>47.524837494000003</v>
      </c>
      <c r="G681">
        <v>1370.8803711</v>
      </c>
      <c r="H681">
        <v>1360.3789062000001</v>
      </c>
      <c r="I681">
        <v>1301.4842529</v>
      </c>
      <c r="J681">
        <v>1288.4274902</v>
      </c>
      <c r="K681">
        <v>1650</v>
      </c>
      <c r="L681">
        <v>0</v>
      </c>
      <c r="M681">
        <v>0</v>
      </c>
      <c r="N681">
        <v>1650</v>
      </c>
    </row>
    <row r="682" spans="1:14" x14ac:dyDescent="0.25">
      <c r="A682">
        <v>386.73283199999997</v>
      </c>
      <c r="B682" s="1">
        <f>DATE(2011,5,22) + TIME(17,35,16)</f>
        <v>40685.732824074075</v>
      </c>
      <c r="C682">
        <v>80</v>
      </c>
      <c r="D682">
        <v>79.912506104000002</v>
      </c>
      <c r="E682">
        <v>50</v>
      </c>
      <c r="F682">
        <v>47.474182128999999</v>
      </c>
      <c r="G682">
        <v>1370.8264160000001</v>
      </c>
      <c r="H682">
        <v>1360.3347168</v>
      </c>
      <c r="I682">
        <v>1301.4727783000001</v>
      </c>
      <c r="J682">
        <v>1288.4119873</v>
      </c>
      <c r="K682">
        <v>1650</v>
      </c>
      <c r="L682">
        <v>0</v>
      </c>
      <c r="M682">
        <v>0</v>
      </c>
      <c r="N682">
        <v>1650</v>
      </c>
    </row>
    <row r="683" spans="1:14" x14ac:dyDescent="0.25">
      <c r="A683">
        <v>387.28941700000001</v>
      </c>
      <c r="B683" s="1">
        <f>DATE(2011,5,23) + TIME(6,56,45)</f>
        <v>40686.289409722223</v>
      </c>
      <c r="C683">
        <v>80</v>
      </c>
      <c r="D683">
        <v>79.912490844999994</v>
      </c>
      <c r="E683">
        <v>50</v>
      </c>
      <c r="F683">
        <v>47.422706603999998</v>
      </c>
      <c r="G683">
        <v>1370.7725829999999</v>
      </c>
      <c r="H683">
        <v>1360.2904053</v>
      </c>
      <c r="I683">
        <v>1301.4610596</v>
      </c>
      <c r="J683">
        <v>1288.3961182</v>
      </c>
      <c r="K683">
        <v>1650</v>
      </c>
      <c r="L683">
        <v>0</v>
      </c>
      <c r="M683">
        <v>0</v>
      </c>
      <c r="N683">
        <v>1650</v>
      </c>
    </row>
    <row r="684" spans="1:14" x14ac:dyDescent="0.25">
      <c r="A684">
        <v>387.86018799999999</v>
      </c>
      <c r="B684" s="1">
        <f>DATE(2011,5,23) + TIME(20,38,40)</f>
        <v>40686.860185185185</v>
      </c>
      <c r="C684">
        <v>80</v>
      </c>
      <c r="D684">
        <v>79.912483214999995</v>
      </c>
      <c r="E684">
        <v>50</v>
      </c>
      <c r="F684">
        <v>47.370304107999999</v>
      </c>
      <c r="G684">
        <v>1370.7186279</v>
      </c>
      <c r="H684">
        <v>1360.2460937999999</v>
      </c>
      <c r="I684">
        <v>1301.4488524999999</v>
      </c>
      <c r="J684">
        <v>1288.3796387</v>
      </c>
      <c r="K684">
        <v>1650</v>
      </c>
      <c r="L684">
        <v>0</v>
      </c>
      <c r="M684">
        <v>0</v>
      </c>
      <c r="N684">
        <v>1650</v>
      </c>
    </row>
    <row r="685" spans="1:14" x14ac:dyDescent="0.25">
      <c r="A685">
        <v>388.44687900000002</v>
      </c>
      <c r="B685" s="1">
        <f>DATE(2011,5,24) + TIME(10,43,30)</f>
        <v>40687.446875000001</v>
      </c>
      <c r="C685">
        <v>80</v>
      </c>
      <c r="D685">
        <v>79.912467957000004</v>
      </c>
      <c r="E685">
        <v>50</v>
      </c>
      <c r="F685">
        <v>47.316841125000003</v>
      </c>
      <c r="G685">
        <v>1370.6643065999999</v>
      </c>
      <c r="H685">
        <v>1360.2016602000001</v>
      </c>
      <c r="I685">
        <v>1301.4362793</v>
      </c>
      <c r="J685">
        <v>1288.3625488</v>
      </c>
      <c r="K685">
        <v>1650</v>
      </c>
      <c r="L685">
        <v>0</v>
      </c>
      <c r="M685">
        <v>0</v>
      </c>
      <c r="N685">
        <v>1650</v>
      </c>
    </row>
    <row r="686" spans="1:14" x14ac:dyDescent="0.25">
      <c r="A686">
        <v>389.05143199999998</v>
      </c>
      <c r="B686" s="1">
        <f>DATE(2011,5,25) + TIME(1,14,3)</f>
        <v>40688.051423611112</v>
      </c>
      <c r="C686">
        <v>80</v>
      </c>
      <c r="D686">
        <v>79.912452697999996</v>
      </c>
      <c r="E686">
        <v>50</v>
      </c>
      <c r="F686">
        <v>47.262176513999997</v>
      </c>
      <c r="G686">
        <v>1370.6097411999999</v>
      </c>
      <c r="H686">
        <v>1360.1568603999999</v>
      </c>
      <c r="I686">
        <v>1301.4232178</v>
      </c>
      <c r="J686">
        <v>1288.3448486</v>
      </c>
      <c r="K686">
        <v>1650</v>
      </c>
      <c r="L686">
        <v>0</v>
      </c>
      <c r="M686">
        <v>0</v>
      </c>
      <c r="N686">
        <v>1650</v>
      </c>
    </row>
    <row r="687" spans="1:14" x14ac:dyDescent="0.25">
      <c r="A687">
        <v>389.66875199999998</v>
      </c>
      <c r="B687" s="1">
        <f>DATE(2011,5,25) + TIME(16,3,0)</f>
        <v>40688.668749999997</v>
      </c>
      <c r="C687">
        <v>80</v>
      </c>
      <c r="D687">
        <v>79.912445067999997</v>
      </c>
      <c r="E687">
        <v>50</v>
      </c>
      <c r="F687">
        <v>47.206588744999998</v>
      </c>
      <c r="G687">
        <v>1370.5545654</v>
      </c>
      <c r="H687">
        <v>1360.1116943</v>
      </c>
      <c r="I687">
        <v>1301.409668</v>
      </c>
      <c r="J687">
        <v>1288.3265381000001</v>
      </c>
      <c r="K687">
        <v>1650</v>
      </c>
      <c r="L687">
        <v>0</v>
      </c>
      <c r="M687">
        <v>0</v>
      </c>
      <c r="N687">
        <v>1650</v>
      </c>
    </row>
    <row r="688" spans="1:14" x14ac:dyDescent="0.25">
      <c r="A688">
        <v>390.28752100000003</v>
      </c>
      <c r="B688" s="1">
        <f>DATE(2011,5,26) + TIME(6,54,1)</f>
        <v>40689.287511574075</v>
      </c>
      <c r="C688">
        <v>80</v>
      </c>
      <c r="D688">
        <v>79.912429810000006</v>
      </c>
      <c r="E688">
        <v>50</v>
      </c>
      <c r="F688">
        <v>47.150794982999997</v>
      </c>
      <c r="G688">
        <v>1370.4993896000001</v>
      </c>
      <c r="H688">
        <v>1360.0665283000001</v>
      </c>
      <c r="I688">
        <v>1301.3956298999999</v>
      </c>
      <c r="J688">
        <v>1288.3074951000001</v>
      </c>
      <c r="K688">
        <v>1650</v>
      </c>
      <c r="L688">
        <v>0</v>
      </c>
      <c r="M688">
        <v>0</v>
      </c>
      <c r="N688">
        <v>1650</v>
      </c>
    </row>
    <row r="689" spans="1:14" x14ac:dyDescent="0.25">
      <c r="A689">
        <v>390.90918900000003</v>
      </c>
      <c r="B689" s="1">
        <f>DATE(2011,5,26) + TIME(21,49,13)</f>
        <v>40689.909178240741</v>
      </c>
      <c r="C689">
        <v>80</v>
      </c>
      <c r="D689">
        <v>79.912414550999998</v>
      </c>
      <c r="E689">
        <v>50</v>
      </c>
      <c r="F689">
        <v>47.094821930000002</v>
      </c>
      <c r="G689">
        <v>1370.4453125</v>
      </c>
      <c r="H689">
        <v>1360.0222168</v>
      </c>
      <c r="I689">
        <v>1301.3813477000001</v>
      </c>
      <c r="J689">
        <v>1288.2882079999999</v>
      </c>
      <c r="K689">
        <v>1650</v>
      </c>
      <c r="L689">
        <v>0</v>
      </c>
      <c r="M689">
        <v>0</v>
      </c>
      <c r="N689">
        <v>1650</v>
      </c>
    </row>
    <row r="690" spans="1:14" x14ac:dyDescent="0.25">
      <c r="A690">
        <v>391.53528999999997</v>
      </c>
      <c r="B690" s="1">
        <f>DATE(2011,5,27) + TIME(12,50,49)</f>
        <v>40690.53528935185</v>
      </c>
      <c r="C690">
        <v>80</v>
      </c>
      <c r="D690">
        <v>79.912399292000003</v>
      </c>
      <c r="E690">
        <v>50</v>
      </c>
      <c r="F690">
        <v>47.038646698000001</v>
      </c>
      <c r="G690">
        <v>1370.3919678</v>
      </c>
      <c r="H690">
        <v>1359.9785156</v>
      </c>
      <c r="I690">
        <v>1301.3669434000001</v>
      </c>
      <c r="J690">
        <v>1288.2686768000001</v>
      </c>
      <c r="K690">
        <v>1650</v>
      </c>
      <c r="L690">
        <v>0</v>
      </c>
      <c r="M690">
        <v>0</v>
      </c>
      <c r="N690">
        <v>1650</v>
      </c>
    </row>
    <row r="691" spans="1:14" x14ac:dyDescent="0.25">
      <c r="A691">
        <v>392.167281</v>
      </c>
      <c r="B691" s="1">
        <f>DATE(2011,5,28) + TIME(4,0,53)</f>
        <v>40691.167280092595</v>
      </c>
      <c r="C691">
        <v>80</v>
      </c>
      <c r="D691">
        <v>79.912384032999995</v>
      </c>
      <c r="E691">
        <v>50</v>
      </c>
      <c r="F691">
        <v>46.982208252</v>
      </c>
      <c r="G691">
        <v>1370.3392334</v>
      </c>
      <c r="H691">
        <v>1359.9354248</v>
      </c>
      <c r="I691">
        <v>1301.3522949000001</v>
      </c>
      <c r="J691">
        <v>1288.2486572</v>
      </c>
      <c r="K691">
        <v>1650</v>
      </c>
      <c r="L691">
        <v>0</v>
      </c>
      <c r="M691">
        <v>0</v>
      </c>
      <c r="N691">
        <v>1650</v>
      </c>
    </row>
    <row r="692" spans="1:14" x14ac:dyDescent="0.25">
      <c r="A692">
        <v>392.80643600000002</v>
      </c>
      <c r="B692" s="1">
        <f>DATE(2011,5,28) + TIME(19,21,16)</f>
        <v>40691.806435185186</v>
      </c>
      <c r="C692">
        <v>80</v>
      </c>
      <c r="D692">
        <v>79.912368774000001</v>
      </c>
      <c r="E692">
        <v>50</v>
      </c>
      <c r="F692">
        <v>46.925445557000003</v>
      </c>
      <c r="G692">
        <v>1370.2871094</v>
      </c>
      <c r="H692">
        <v>1359.8928223</v>
      </c>
      <c r="I692">
        <v>1301.3374022999999</v>
      </c>
      <c r="J692">
        <v>1288.2282714999999</v>
      </c>
      <c r="K692">
        <v>1650</v>
      </c>
      <c r="L692">
        <v>0</v>
      </c>
      <c r="M692">
        <v>0</v>
      </c>
      <c r="N692">
        <v>1650</v>
      </c>
    </row>
    <row r="693" spans="1:14" x14ac:dyDescent="0.25">
      <c r="A693">
        <v>393.45422100000002</v>
      </c>
      <c r="B693" s="1">
        <f>DATE(2011,5,29) + TIME(10,54,4)</f>
        <v>40692.454212962963</v>
      </c>
      <c r="C693">
        <v>80</v>
      </c>
      <c r="D693">
        <v>79.912361145000006</v>
      </c>
      <c r="E693">
        <v>50</v>
      </c>
      <c r="F693">
        <v>46.868255615000002</v>
      </c>
      <c r="G693">
        <v>1370.2353516000001</v>
      </c>
      <c r="H693">
        <v>1359.8505858999999</v>
      </c>
      <c r="I693">
        <v>1301.3221435999999</v>
      </c>
      <c r="J693">
        <v>1288.2073975000001</v>
      </c>
      <c r="K693">
        <v>1650</v>
      </c>
      <c r="L693">
        <v>0</v>
      </c>
      <c r="M693">
        <v>0</v>
      </c>
      <c r="N693">
        <v>1650</v>
      </c>
    </row>
    <row r="694" spans="1:14" x14ac:dyDescent="0.25">
      <c r="A694">
        <v>394.11215199999998</v>
      </c>
      <c r="B694" s="1">
        <f>DATE(2011,5,30) + TIME(2,41,29)</f>
        <v>40693.112141203703</v>
      </c>
      <c r="C694">
        <v>80</v>
      </c>
      <c r="D694">
        <v>79.912345885999997</v>
      </c>
      <c r="E694">
        <v>50</v>
      </c>
      <c r="F694">
        <v>46.810535430999998</v>
      </c>
      <c r="G694">
        <v>1370.1839600000001</v>
      </c>
      <c r="H694">
        <v>1359.8084716999999</v>
      </c>
      <c r="I694">
        <v>1301.3065185999999</v>
      </c>
      <c r="J694">
        <v>1288.1859131000001</v>
      </c>
      <c r="K694">
        <v>1650</v>
      </c>
      <c r="L694">
        <v>0</v>
      </c>
      <c r="M694">
        <v>0</v>
      </c>
      <c r="N694">
        <v>1650</v>
      </c>
    </row>
    <row r="695" spans="1:14" x14ac:dyDescent="0.25">
      <c r="A695">
        <v>394.78181899999998</v>
      </c>
      <c r="B695" s="1">
        <f>DATE(2011,5,30) + TIME(18,45,49)</f>
        <v>40693.781817129631</v>
      </c>
      <c r="C695">
        <v>80</v>
      </c>
      <c r="D695">
        <v>79.912338257000002</v>
      </c>
      <c r="E695">
        <v>50</v>
      </c>
      <c r="F695">
        <v>46.752166748</v>
      </c>
      <c r="G695">
        <v>1370.1325684000001</v>
      </c>
      <c r="H695">
        <v>1359.7666016000001</v>
      </c>
      <c r="I695">
        <v>1301.2904053</v>
      </c>
      <c r="J695">
        <v>1288.1638184000001</v>
      </c>
      <c r="K695">
        <v>1650</v>
      </c>
      <c r="L695">
        <v>0</v>
      </c>
      <c r="M695">
        <v>0</v>
      </c>
      <c r="N695">
        <v>1650</v>
      </c>
    </row>
    <row r="696" spans="1:14" x14ac:dyDescent="0.25">
      <c r="A696">
        <v>395.46492899999998</v>
      </c>
      <c r="B696" s="1">
        <f>DATE(2011,5,31) + TIME(11,9,29)</f>
        <v>40694.464918981481</v>
      </c>
      <c r="C696">
        <v>80</v>
      </c>
      <c r="D696">
        <v>79.912322997999993</v>
      </c>
      <c r="E696">
        <v>50</v>
      </c>
      <c r="F696">
        <v>46.693019866999997</v>
      </c>
      <c r="G696">
        <v>1370.0812988</v>
      </c>
      <c r="H696">
        <v>1359.7247314000001</v>
      </c>
      <c r="I696">
        <v>1301.2739257999999</v>
      </c>
      <c r="J696">
        <v>1288.1411132999999</v>
      </c>
      <c r="K696">
        <v>1650</v>
      </c>
      <c r="L696">
        <v>0</v>
      </c>
      <c r="M696">
        <v>0</v>
      </c>
      <c r="N696">
        <v>1650</v>
      </c>
    </row>
    <row r="697" spans="1:14" x14ac:dyDescent="0.25">
      <c r="A697">
        <v>396</v>
      </c>
      <c r="B697" s="1">
        <f>DATE(2011,6,1) + TIME(0,0,0)</f>
        <v>40695</v>
      </c>
      <c r="C697">
        <v>80</v>
      </c>
      <c r="D697">
        <v>79.912307738999999</v>
      </c>
      <c r="E697">
        <v>50</v>
      </c>
      <c r="F697">
        <v>46.642894745</v>
      </c>
      <c r="G697">
        <v>1370.0299072</v>
      </c>
      <c r="H697">
        <v>1359.6827393000001</v>
      </c>
      <c r="I697">
        <v>1301.2561035000001</v>
      </c>
      <c r="J697">
        <v>1288.1182861</v>
      </c>
      <c r="K697">
        <v>1650</v>
      </c>
      <c r="L697">
        <v>0</v>
      </c>
      <c r="M697">
        <v>0</v>
      </c>
      <c r="N697">
        <v>1650</v>
      </c>
    </row>
    <row r="698" spans="1:14" x14ac:dyDescent="0.25">
      <c r="A698">
        <v>396.69840599999998</v>
      </c>
      <c r="B698" s="1">
        <f>DATE(2011,6,1) + TIME(16,45,42)</f>
        <v>40695.69840277778</v>
      </c>
      <c r="C698">
        <v>80</v>
      </c>
      <c r="D698">
        <v>79.912307738999999</v>
      </c>
      <c r="E698">
        <v>50</v>
      </c>
      <c r="F698">
        <v>46.584182738999999</v>
      </c>
      <c r="G698">
        <v>1369.9903564000001</v>
      </c>
      <c r="H698">
        <v>1359.6505127</v>
      </c>
      <c r="I698">
        <v>1301.2432861</v>
      </c>
      <c r="J698">
        <v>1288.0985106999999</v>
      </c>
      <c r="K698">
        <v>1650</v>
      </c>
      <c r="L698">
        <v>0</v>
      </c>
      <c r="M698">
        <v>0</v>
      </c>
      <c r="N698">
        <v>1650</v>
      </c>
    </row>
    <row r="699" spans="1:14" x14ac:dyDescent="0.25">
      <c r="A699">
        <v>397.42894799999999</v>
      </c>
      <c r="B699" s="1">
        <f>DATE(2011,6,2) + TIME(10,17,41)</f>
        <v>40696.428946759261</v>
      </c>
      <c r="C699">
        <v>80</v>
      </c>
      <c r="D699">
        <v>79.912300110000004</v>
      </c>
      <c r="E699">
        <v>50</v>
      </c>
      <c r="F699">
        <v>46.523208617999998</v>
      </c>
      <c r="G699">
        <v>1369.9396973</v>
      </c>
      <c r="H699">
        <v>1359.6091309000001</v>
      </c>
      <c r="I699">
        <v>1301.2255858999999</v>
      </c>
      <c r="J699">
        <v>1288.0738524999999</v>
      </c>
      <c r="K699">
        <v>1650</v>
      </c>
      <c r="L699">
        <v>0</v>
      </c>
      <c r="M699">
        <v>0</v>
      </c>
      <c r="N699">
        <v>1650</v>
      </c>
    </row>
    <row r="700" spans="1:14" x14ac:dyDescent="0.25">
      <c r="A700">
        <v>398.17717299999998</v>
      </c>
      <c r="B700" s="1">
        <f>DATE(2011,6,3) + TIME(4,15,7)</f>
        <v>40697.177164351851</v>
      </c>
      <c r="C700">
        <v>80</v>
      </c>
      <c r="D700">
        <v>79.912300110000004</v>
      </c>
      <c r="E700">
        <v>50</v>
      </c>
      <c r="F700">
        <v>46.460670471</v>
      </c>
      <c r="G700">
        <v>1369.8874512</v>
      </c>
      <c r="H700">
        <v>1359.5665283000001</v>
      </c>
      <c r="I700">
        <v>1301.2066649999999</v>
      </c>
      <c r="J700">
        <v>1288.0478516000001</v>
      </c>
      <c r="K700">
        <v>1650</v>
      </c>
      <c r="L700">
        <v>0</v>
      </c>
      <c r="M700">
        <v>0</v>
      </c>
      <c r="N700">
        <v>1650</v>
      </c>
    </row>
    <row r="701" spans="1:14" x14ac:dyDescent="0.25">
      <c r="A701">
        <v>398.93937699999998</v>
      </c>
      <c r="B701" s="1">
        <f>DATE(2011,6,3) + TIME(22,32,42)</f>
        <v>40697.939375000002</v>
      </c>
      <c r="C701">
        <v>80</v>
      </c>
      <c r="D701">
        <v>79.912292480000005</v>
      </c>
      <c r="E701">
        <v>50</v>
      </c>
      <c r="F701">
        <v>46.396873474000003</v>
      </c>
      <c r="G701">
        <v>1369.8349608999999</v>
      </c>
      <c r="H701">
        <v>1359.5236815999999</v>
      </c>
      <c r="I701">
        <v>1301.1870117000001</v>
      </c>
      <c r="J701">
        <v>1288.0207519999999</v>
      </c>
      <c r="K701">
        <v>1650</v>
      </c>
      <c r="L701">
        <v>0</v>
      </c>
      <c r="M701">
        <v>0</v>
      </c>
      <c r="N701">
        <v>1650</v>
      </c>
    </row>
    <row r="702" spans="1:14" x14ac:dyDescent="0.25">
      <c r="A702">
        <v>399.71749399999999</v>
      </c>
      <c r="B702" s="1">
        <f>DATE(2011,6,4) + TIME(17,13,11)</f>
        <v>40698.717488425929</v>
      </c>
      <c r="C702">
        <v>80</v>
      </c>
      <c r="D702">
        <v>79.912292480000005</v>
      </c>
      <c r="E702">
        <v>50</v>
      </c>
      <c r="F702">
        <v>46.331836699999997</v>
      </c>
      <c r="G702">
        <v>1369.7824707</v>
      </c>
      <c r="H702">
        <v>1359.4808350000001</v>
      </c>
      <c r="I702">
        <v>1301.1667480000001</v>
      </c>
      <c r="J702">
        <v>1287.9926757999999</v>
      </c>
      <c r="K702">
        <v>1650</v>
      </c>
      <c r="L702">
        <v>0</v>
      </c>
      <c r="M702">
        <v>0</v>
      </c>
      <c r="N702">
        <v>1650</v>
      </c>
    </row>
    <row r="703" spans="1:14" x14ac:dyDescent="0.25">
      <c r="A703">
        <v>400.50141600000001</v>
      </c>
      <c r="B703" s="1">
        <f>DATE(2011,6,5) + TIME(12,2,2)</f>
        <v>40699.50141203704</v>
      </c>
      <c r="C703">
        <v>80</v>
      </c>
      <c r="D703">
        <v>79.912284850999995</v>
      </c>
      <c r="E703">
        <v>50</v>
      </c>
      <c r="F703">
        <v>46.266139983999999</v>
      </c>
      <c r="G703">
        <v>1369.7298584</v>
      </c>
      <c r="H703">
        <v>1359.4379882999999</v>
      </c>
      <c r="I703">
        <v>1301.145874</v>
      </c>
      <c r="J703">
        <v>1287.963501</v>
      </c>
      <c r="K703">
        <v>1650</v>
      </c>
      <c r="L703">
        <v>0</v>
      </c>
      <c r="M703">
        <v>0</v>
      </c>
      <c r="N703">
        <v>1650</v>
      </c>
    </row>
    <row r="704" spans="1:14" x14ac:dyDescent="0.25">
      <c r="A704">
        <v>401.287757</v>
      </c>
      <c r="B704" s="1">
        <f>DATE(2011,6,6) + TIME(6,54,22)</f>
        <v>40700.287754629629</v>
      </c>
      <c r="C704">
        <v>80</v>
      </c>
      <c r="D704">
        <v>79.912284850999995</v>
      </c>
      <c r="E704">
        <v>50</v>
      </c>
      <c r="F704">
        <v>46.200119018999999</v>
      </c>
      <c r="G704">
        <v>1369.6777344</v>
      </c>
      <c r="H704">
        <v>1359.3955077999999</v>
      </c>
      <c r="I704">
        <v>1301.1243896000001</v>
      </c>
      <c r="J704">
        <v>1287.9337158000001</v>
      </c>
      <c r="K704">
        <v>1650</v>
      </c>
      <c r="L704">
        <v>0</v>
      </c>
      <c r="M704">
        <v>0</v>
      </c>
      <c r="N704">
        <v>1650</v>
      </c>
    </row>
    <row r="705" spans="1:14" x14ac:dyDescent="0.25">
      <c r="A705">
        <v>402.07843500000001</v>
      </c>
      <c r="B705" s="1">
        <f>DATE(2011,6,7) + TIME(1,52,56)</f>
        <v>40701.078425925924</v>
      </c>
      <c r="C705">
        <v>80</v>
      </c>
      <c r="D705">
        <v>79.912284850999995</v>
      </c>
      <c r="E705">
        <v>50</v>
      </c>
      <c r="F705">
        <v>46.133796691999997</v>
      </c>
      <c r="G705">
        <v>1369.6264647999999</v>
      </c>
      <c r="H705">
        <v>1359.3536377</v>
      </c>
      <c r="I705">
        <v>1301.1026611</v>
      </c>
      <c r="J705">
        <v>1287.9031981999999</v>
      </c>
      <c r="K705">
        <v>1650</v>
      </c>
      <c r="L705">
        <v>0</v>
      </c>
      <c r="M705">
        <v>0</v>
      </c>
      <c r="N705">
        <v>1650</v>
      </c>
    </row>
    <row r="706" spans="1:14" x14ac:dyDescent="0.25">
      <c r="A706">
        <v>402.87546500000002</v>
      </c>
      <c r="B706" s="1">
        <f>DATE(2011,6,7) + TIME(21,0,40)</f>
        <v>40701.875462962962</v>
      </c>
      <c r="C706">
        <v>80</v>
      </c>
      <c r="D706">
        <v>79.912284850999995</v>
      </c>
      <c r="E706">
        <v>50</v>
      </c>
      <c r="F706">
        <v>46.067134856999999</v>
      </c>
      <c r="G706">
        <v>1369.5756836</v>
      </c>
      <c r="H706">
        <v>1359.3122559000001</v>
      </c>
      <c r="I706">
        <v>1301.0804443</v>
      </c>
      <c r="J706">
        <v>1287.8720702999999</v>
      </c>
      <c r="K706">
        <v>1650</v>
      </c>
      <c r="L706">
        <v>0</v>
      </c>
      <c r="M706">
        <v>0</v>
      </c>
      <c r="N706">
        <v>1650</v>
      </c>
    </row>
    <row r="707" spans="1:14" x14ac:dyDescent="0.25">
      <c r="A707">
        <v>403.68042100000002</v>
      </c>
      <c r="B707" s="1">
        <f>DATE(2011,6,8) + TIME(16,19,48)</f>
        <v>40702.68041666667</v>
      </c>
      <c r="C707">
        <v>80</v>
      </c>
      <c r="D707">
        <v>79.912284850999995</v>
      </c>
      <c r="E707">
        <v>50</v>
      </c>
      <c r="F707">
        <v>46.000049591</v>
      </c>
      <c r="G707">
        <v>1369.5255127</v>
      </c>
      <c r="H707">
        <v>1359.2712402</v>
      </c>
      <c r="I707">
        <v>1301.0577393000001</v>
      </c>
      <c r="J707">
        <v>1287.8400879000001</v>
      </c>
      <c r="K707">
        <v>1650</v>
      </c>
      <c r="L707">
        <v>0</v>
      </c>
      <c r="M707">
        <v>0</v>
      </c>
      <c r="N707">
        <v>1650</v>
      </c>
    </row>
    <row r="708" spans="1:14" x14ac:dyDescent="0.25">
      <c r="A708">
        <v>404.49517900000001</v>
      </c>
      <c r="B708" s="1">
        <f>DATE(2011,6,9) + TIME(11,53,3)</f>
        <v>40703.495173611111</v>
      </c>
      <c r="C708">
        <v>80</v>
      </c>
      <c r="D708">
        <v>79.912284850999995</v>
      </c>
      <c r="E708">
        <v>50</v>
      </c>
      <c r="F708">
        <v>45.932437897</v>
      </c>
      <c r="G708">
        <v>1369.4755858999999</v>
      </c>
      <c r="H708">
        <v>1359.2305908000001</v>
      </c>
      <c r="I708">
        <v>1301.0344238</v>
      </c>
      <c r="J708">
        <v>1287.807251</v>
      </c>
      <c r="K708">
        <v>1650</v>
      </c>
      <c r="L708">
        <v>0</v>
      </c>
      <c r="M708">
        <v>0</v>
      </c>
      <c r="N708">
        <v>1650</v>
      </c>
    </row>
    <row r="709" spans="1:14" x14ac:dyDescent="0.25">
      <c r="A709">
        <v>405.321665</v>
      </c>
      <c r="B709" s="1">
        <f>DATE(2011,6,10) + TIME(7,43,11)</f>
        <v>40704.321655092594</v>
      </c>
      <c r="C709">
        <v>80</v>
      </c>
      <c r="D709">
        <v>79.912292480000005</v>
      </c>
      <c r="E709">
        <v>50</v>
      </c>
      <c r="F709">
        <v>45.864154816000003</v>
      </c>
      <c r="G709">
        <v>1369.4259033000001</v>
      </c>
      <c r="H709">
        <v>1359.1900635</v>
      </c>
      <c r="I709">
        <v>1301.0106201000001</v>
      </c>
      <c r="J709">
        <v>1287.7734375</v>
      </c>
      <c r="K709">
        <v>1650</v>
      </c>
      <c r="L709">
        <v>0</v>
      </c>
      <c r="M709">
        <v>0</v>
      </c>
      <c r="N709">
        <v>1650</v>
      </c>
    </row>
    <row r="710" spans="1:14" x14ac:dyDescent="0.25">
      <c r="A710">
        <v>406.161903</v>
      </c>
      <c r="B710" s="1">
        <f>DATE(2011,6,11) + TIME(3,53,8)</f>
        <v>40705.161898148152</v>
      </c>
      <c r="C710">
        <v>80</v>
      </c>
      <c r="D710">
        <v>79.912300110000004</v>
      </c>
      <c r="E710">
        <v>50</v>
      </c>
      <c r="F710">
        <v>45.795055388999998</v>
      </c>
      <c r="G710">
        <v>1369.3764647999999</v>
      </c>
      <c r="H710">
        <v>1359.1496582</v>
      </c>
      <c r="I710">
        <v>1300.9860839999999</v>
      </c>
      <c r="J710">
        <v>1287.7385254000001</v>
      </c>
      <c r="K710">
        <v>1650</v>
      </c>
      <c r="L710">
        <v>0</v>
      </c>
      <c r="M710">
        <v>0</v>
      </c>
      <c r="N710">
        <v>1650</v>
      </c>
    </row>
    <row r="711" spans="1:14" x14ac:dyDescent="0.25">
      <c r="A711">
        <v>407.01804600000003</v>
      </c>
      <c r="B711" s="1">
        <f>DATE(2011,6,12) + TIME(0,25,59)</f>
        <v>40706.018043981479</v>
      </c>
      <c r="C711">
        <v>80</v>
      </c>
      <c r="D711">
        <v>79.912307738999999</v>
      </c>
      <c r="E711">
        <v>50</v>
      </c>
      <c r="F711">
        <v>45.724971771</v>
      </c>
      <c r="G711">
        <v>1369.3269043</v>
      </c>
      <c r="H711">
        <v>1359.1092529</v>
      </c>
      <c r="I711">
        <v>1300.9608154</v>
      </c>
      <c r="J711">
        <v>1287.7023925999999</v>
      </c>
      <c r="K711">
        <v>1650</v>
      </c>
      <c r="L711">
        <v>0</v>
      </c>
      <c r="M711">
        <v>0</v>
      </c>
      <c r="N711">
        <v>1650</v>
      </c>
    </row>
    <row r="712" spans="1:14" x14ac:dyDescent="0.25">
      <c r="A712">
        <v>407.89242100000001</v>
      </c>
      <c r="B712" s="1">
        <f>DATE(2011,6,12) + TIME(21,25,5)</f>
        <v>40706.892418981479</v>
      </c>
      <c r="C712">
        <v>80</v>
      </c>
      <c r="D712">
        <v>79.912315368999998</v>
      </c>
      <c r="E712">
        <v>50</v>
      </c>
      <c r="F712">
        <v>45.653724670000003</v>
      </c>
      <c r="G712">
        <v>1369.2772216999999</v>
      </c>
      <c r="H712">
        <v>1359.0687256000001</v>
      </c>
      <c r="I712">
        <v>1300.9345702999999</v>
      </c>
      <c r="J712">
        <v>1287.6650391000001</v>
      </c>
      <c r="K712">
        <v>1650</v>
      </c>
      <c r="L712">
        <v>0</v>
      </c>
      <c r="M712">
        <v>0</v>
      </c>
      <c r="N712">
        <v>1650</v>
      </c>
    </row>
    <row r="713" spans="1:14" x14ac:dyDescent="0.25">
      <c r="A713">
        <v>408.78755100000001</v>
      </c>
      <c r="B713" s="1">
        <f>DATE(2011,6,13) + TIME(18,54,4)</f>
        <v>40707.787546296298</v>
      </c>
      <c r="C713">
        <v>80</v>
      </c>
      <c r="D713">
        <v>79.912322997999993</v>
      </c>
      <c r="E713">
        <v>50</v>
      </c>
      <c r="F713">
        <v>45.581115723000003</v>
      </c>
      <c r="G713">
        <v>1369.2274170000001</v>
      </c>
      <c r="H713">
        <v>1359.0280762</v>
      </c>
      <c r="I713">
        <v>1300.9074707</v>
      </c>
      <c r="J713">
        <v>1287.6260986</v>
      </c>
      <c r="K713">
        <v>1650</v>
      </c>
      <c r="L713">
        <v>0</v>
      </c>
      <c r="M713">
        <v>0</v>
      </c>
      <c r="N713">
        <v>1650</v>
      </c>
    </row>
    <row r="714" spans="1:14" x14ac:dyDescent="0.25">
      <c r="A714">
        <v>409.70618999999999</v>
      </c>
      <c r="B714" s="1">
        <f>DATE(2011,6,14) + TIME(16,56,54)</f>
        <v>40708.706180555557</v>
      </c>
      <c r="C714">
        <v>80</v>
      </c>
      <c r="D714">
        <v>79.912338257000002</v>
      </c>
      <c r="E714">
        <v>50</v>
      </c>
      <c r="F714">
        <v>45.506927490000002</v>
      </c>
      <c r="G714">
        <v>1369.1772461</v>
      </c>
      <c r="H714">
        <v>1358.9870605000001</v>
      </c>
      <c r="I714">
        <v>1300.8792725000001</v>
      </c>
      <c r="J714">
        <v>1287.5855713000001</v>
      </c>
      <c r="K714">
        <v>1650</v>
      </c>
      <c r="L714">
        <v>0</v>
      </c>
      <c r="M714">
        <v>0</v>
      </c>
      <c r="N714">
        <v>1650</v>
      </c>
    </row>
    <row r="715" spans="1:14" x14ac:dyDescent="0.25">
      <c r="A715">
        <v>410.65145699999999</v>
      </c>
      <c r="B715" s="1">
        <f>DATE(2011,6,15) + TIME(15,38,5)</f>
        <v>40709.651446759257</v>
      </c>
      <c r="C715">
        <v>80</v>
      </c>
      <c r="D715">
        <v>79.912353515999996</v>
      </c>
      <c r="E715">
        <v>50</v>
      </c>
      <c r="F715">
        <v>45.430923462000003</v>
      </c>
      <c r="G715">
        <v>1369.1264647999999</v>
      </c>
      <c r="H715">
        <v>1358.9456786999999</v>
      </c>
      <c r="I715">
        <v>1300.8498535000001</v>
      </c>
      <c r="J715">
        <v>1287.5432129000001</v>
      </c>
      <c r="K715">
        <v>1650</v>
      </c>
      <c r="L715">
        <v>0</v>
      </c>
      <c r="M715">
        <v>0</v>
      </c>
      <c r="N715">
        <v>1650</v>
      </c>
    </row>
    <row r="716" spans="1:14" x14ac:dyDescent="0.25">
      <c r="A716">
        <v>411.60635500000001</v>
      </c>
      <c r="B716" s="1">
        <f>DATE(2011,6,16) + TIME(14,33,9)</f>
        <v>40710.606354166666</v>
      </c>
      <c r="C716">
        <v>80</v>
      </c>
      <c r="D716">
        <v>79.912368774000001</v>
      </c>
      <c r="E716">
        <v>50</v>
      </c>
      <c r="F716">
        <v>45.353782654</v>
      </c>
      <c r="G716">
        <v>1369.0751952999999</v>
      </c>
      <c r="H716">
        <v>1358.9038086</v>
      </c>
      <c r="I716">
        <v>1300.8192139</v>
      </c>
      <c r="J716">
        <v>1287.4989014</v>
      </c>
      <c r="K716">
        <v>1650</v>
      </c>
      <c r="L716">
        <v>0</v>
      </c>
      <c r="M716">
        <v>0</v>
      </c>
      <c r="N716">
        <v>1650</v>
      </c>
    </row>
    <row r="717" spans="1:14" x14ac:dyDescent="0.25">
      <c r="A717">
        <v>412.570742</v>
      </c>
      <c r="B717" s="1">
        <f>DATE(2011,6,17) + TIME(13,41,52)</f>
        <v>40711.570740740739</v>
      </c>
      <c r="C717">
        <v>80</v>
      </c>
      <c r="D717">
        <v>79.912384032999995</v>
      </c>
      <c r="E717">
        <v>50</v>
      </c>
      <c r="F717">
        <v>45.275688170999999</v>
      </c>
      <c r="G717">
        <v>1369.0241699000001</v>
      </c>
      <c r="H717">
        <v>1358.8620605000001</v>
      </c>
      <c r="I717">
        <v>1300.7875977000001</v>
      </c>
      <c r="J717">
        <v>1287.4532471</v>
      </c>
      <c r="K717">
        <v>1650</v>
      </c>
      <c r="L717">
        <v>0</v>
      </c>
      <c r="M717">
        <v>0</v>
      </c>
      <c r="N717">
        <v>1650</v>
      </c>
    </row>
    <row r="718" spans="1:14" x14ac:dyDescent="0.25">
      <c r="A718">
        <v>413.54144600000001</v>
      </c>
      <c r="B718" s="1">
        <f>DATE(2011,6,18) + TIME(12,59,40)</f>
        <v>40712.541435185187</v>
      </c>
      <c r="C718">
        <v>80</v>
      </c>
      <c r="D718">
        <v>79.912399292000003</v>
      </c>
      <c r="E718">
        <v>50</v>
      </c>
      <c r="F718">
        <v>45.196884154999999</v>
      </c>
      <c r="G718">
        <v>1368.9735106999999</v>
      </c>
      <c r="H718">
        <v>1358.8206786999999</v>
      </c>
      <c r="I718">
        <v>1300.755249</v>
      </c>
      <c r="J718">
        <v>1287.40625</v>
      </c>
      <c r="K718">
        <v>1650</v>
      </c>
      <c r="L718">
        <v>0</v>
      </c>
      <c r="M718">
        <v>0</v>
      </c>
      <c r="N718">
        <v>1650</v>
      </c>
    </row>
    <row r="719" spans="1:14" x14ac:dyDescent="0.25">
      <c r="A719">
        <v>414.51702299999999</v>
      </c>
      <c r="B719" s="1">
        <f>DATE(2011,6,19) + TIME(12,24,30)</f>
        <v>40713.517013888886</v>
      </c>
      <c r="C719">
        <v>80</v>
      </c>
      <c r="D719">
        <v>79.912414550999998</v>
      </c>
      <c r="E719">
        <v>50</v>
      </c>
      <c r="F719">
        <v>45.117534636999999</v>
      </c>
      <c r="G719">
        <v>1368.9233397999999</v>
      </c>
      <c r="H719">
        <v>1358.7796631000001</v>
      </c>
      <c r="I719">
        <v>1300.7220459</v>
      </c>
      <c r="J719">
        <v>1287.3579102000001</v>
      </c>
      <c r="K719">
        <v>1650</v>
      </c>
      <c r="L719">
        <v>0</v>
      </c>
      <c r="M719">
        <v>0</v>
      </c>
      <c r="N719">
        <v>1650</v>
      </c>
    </row>
    <row r="720" spans="1:14" x14ac:dyDescent="0.25">
      <c r="A720">
        <v>415.50011999999998</v>
      </c>
      <c r="B720" s="1">
        <f>DATE(2011,6,20) + TIME(12,0,10)</f>
        <v>40714.500115740739</v>
      </c>
      <c r="C720">
        <v>80</v>
      </c>
      <c r="D720">
        <v>79.912437439000001</v>
      </c>
      <c r="E720">
        <v>50</v>
      </c>
      <c r="F720">
        <v>45.037578582999998</v>
      </c>
      <c r="G720">
        <v>1368.8737793</v>
      </c>
      <c r="H720">
        <v>1358.7390137</v>
      </c>
      <c r="I720">
        <v>1300.6882324000001</v>
      </c>
      <c r="J720">
        <v>1287.3084716999999</v>
      </c>
      <c r="K720">
        <v>1650</v>
      </c>
      <c r="L720">
        <v>0</v>
      </c>
      <c r="M720">
        <v>0</v>
      </c>
      <c r="N720">
        <v>1650</v>
      </c>
    </row>
    <row r="721" spans="1:14" x14ac:dyDescent="0.25">
      <c r="A721">
        <v>416.49267900000001</v>
      </c>
      <c r="B721" s="1">
        <f>DATE(2011,6,21) + TIME(11,49,27)</f>
        <v>40715.492673611108</v>
      </c>
      <c r="C721">
        <v>80</v>
      </c>
      <c r="D721">
        <v>79.912460327000005</v>
      </c>
      <c r="E721">
        <v>50</v>
      </c>
      <c r="F721">
        <v>44.956924438000001</v>
      </c>
      <c r="G721">
        <v>1368.8245850000001</v>
      </c>
      <c r="H721">
        <v>1358.6987305</v>
      </c>
      <c r="I721">
        <v>1300.6535644999999</v>
      </c>
      <c r="J721">
        <v>1287.2575684000001</v>
      </c>
      <c r="K721">
        <v>1650</v>
      </c>
      <c r="L721">
        <v>0</v>
      </c>
      <c r="M721">
        <v>0</v>
      </c>
      <c r="N721">
        <v>1650</v>
      </c>
    </row>
    <row r="722" spans="1:14" x14ac:dyDescent="0.25">
      <c r="A722">
        <v>417.49708399999997</v>
      </c>
      <c r="B722" s="1">
        <f>DATE(2011,6,22) + TIME(11,55,48)</f>
        <v>40716.497083333335</v>
      </c>
      <c r="C722">
        <v>80</v>
      </c>
      <c r="D722">
        <v>79.912483214999995</v>
      </c>
      <c r="E722">
        <v>50</v>
      </c>
      <c r="F722">
        <v>44.875411987</v>
      </c>
      <c r="G722">
        <v>1368.7756348</v>
      </c>
      <c r="H722">
        <v>1358.6586914</v>
      </c>
      <c r="I722">
        <v>1300.6181641000001</v>
      </c>
      <c r="J722">
        <v>1287.2052002</v>
      </c>
      <c r="K722">
        <v>1650</v>
      </c>
      <c r="L722">
        <v>0</v>
      </c>
      <c r="M722">
        <v>0</v>
      </c>
      <c r="N722">
        <v>1650</v>
      </c>
    </row>
    <row r="723" spans="1:14" x14ac:dyDescent="0.25">
      <c r="A723">
        <v>418.51577700000001</v>
      </c>
      <c r="B723" s="1">
        <f>DATE(2011,6,23) + TIME(12,22,43)</f>
        <v>40717.515775462962</v>
      </c>
      <c r="C723">
        <v>80</v>
      </c>
      <c r="D723">
        <v>79.912506104000002</v>
      </c>
      <c r="E723">
        <v>50</v>
      </c>
      <c r="F723">
        <v>44.792861938000001</v>
      </c>
      <c r="G723">
        <v>1368.7268065999999</v>
      </c>
      <c r="H723">
        <v>1358.6187743999999</v>
      </c>
      <c r="I723">
        <v>1300.5816649999999</v>
      </c>
      <c r="J723">
        <v>1287.1512451000001</v>
      </c>
      <c r="K723">
        <v>1650</v>
      </c>
      <c r="L723">
        <v>0</v>
      </c>
      <c r="M723">
        <v>0</v>
      </c>
      <c r="N723">
        <v>1650</v>
      </c>
    </row>
    <row r="724" spans="1:14" x14ac:dyDescent="0.25">
      <c r="A724">
        <v>419.55131299999999</v>
      </c>
      <c r="B724" s="1">
        <f>DATE(2011,6,24) + TIME(13,13,53)</f>
        <v>40718.551307870373</v>
      </c>
      <c r="C724">
        <v>80</v>
      </c>
      <c r="D724">
        <v>79.912528992000006</v>
      </c>
      <c r="E724">
        <v>50</v>
      </c>
      <c r="F724">
        <v>44.709072112999998</v>
      </c>
      <c r="G724">
        <v>1368.6781006000001</v>
      </c>
      <c r="H724">
        <v>1358.5788574000001</v>
      </c>
      <c r="I724">
        <v>1300.5440673999999</v>
      </c>
      <c r="J724">
        <v>1287.0954589999999</v>
      </c>
      <c r="K724">
        <v>1650</v>
      </c>
      <c r="L724">
        <v>0</v>
      </c>
      <c r="M724">
        <v>0</v>
      </c>
      <c r="N724">
        <v>1650</v>
      </c>
    </row>
    <row r="725" spans="1:14" x14ac:dyDescent="0.25">
      <c r="A725">
        <v>420.60599500000001</v>
      </c>
      <c r="B725" s="1">
        <f>DATE(2011,6,25) + TIME(14,32,37)</f>
        <v>40719.605983796297</v>
      </c>
      <c r="C725">
        <v>80</v>
      </c>
      <c r="D725">
        <v>79.912559509000005</v>
      </c>
      <c r="E725">
        <v>50</v>
      </c>
      <c r="F725">
        <v>44.623828887999998</v>
      </c>
      <c r="G725">
        <v>1368.6293945</v>
      </c>
      <c r="H725">
        <v>1358.5388184000001</v>
      </c>
      <c r="I725">
        <v>1300.505249</v>
      </c>
      <c r="J725">
        <v>1287.0377197</v>
      </c>
      <c r="K725">
        <v>1650</v>
      </c>
      <c r="L725">
        <v>0</v>
      </c>
      <c r="M725">
        <v>0</v>
      </c>
      <c r="N725">
        <v>1650</v>
      </c>
    </row>
    <row r="726" spans="1:14" x14ac:dyDescent="0.25">
      <c r="A726">
        <v>421.67693600000001</v>
      </c>
      <c r="B726" s="1">
        <f>DATE(2011,6,26) + TIME(16,14,47)</f>
        <v>40720.676932870374</v>
      </c>
      <c r="C726">
        <v>80</v>
      </c>
      <c r="D726">
        <v>79.912582396999994</v>
      </c>
      <c r="E726">
        <v>50</v>
      </c>
      <c r="F726">
        <v>44.537155151</v>
      </c>
      <c r="G726">
        <v>1368.5804443</v>
      </c>
      <c r="H726">
        <v>1358.4986572</v>
      </c>
      <c r="I726">
        <v>1300.4650879000001</v>
      </c>
      <c r="J726">
        <v>1286.9777832</v>
      </c>
      <c r="K726">
        <v>1650</v>
      </c>
      <c r="L726">
        <v>0</v>
      </c>
      <c r="M726">
        <v>0</v>
      </c>
      <c r="N726">
        <v>1650</v>
      </c>
    </row>
    <row r="727" spans="1:14" x14ac:dyDescent="0.25">
      <c r="A727">
        <v>422.76688200000001</v>
      </c>
      <c r="B727" s="1">
        <f>DATE(2011,6,27) + TIME(18,24,18)</f>
        <v>40721.766875000001</v>
      </c>
      <c r="C727">
        <v>80</v>
      </c>
      <c r="D727">
        <v>79.912620544000006</v>
      </c>
      <c r="E727">
        <v>50</v>
      </c>
      <c r="F727">
        <v>44.44890213</v>
      </c>
      <c r="G727">
        <v>1368.5314940999999</v>
      </c>
      <c r="H727">
        <v>1358.4584961</v>
      </c>
      <c r="I727">
        <v>1300.4237060999999</v>
      </c>
      <c r="J727">
        <v>1286.9157714999999</v>
      </c>
      <c r="K727">
        <v>1650</v>
      </c>
      <c r="L727">
        <v>0</v>
      </c>
      <c r="M727">
        <v>0</v>
      </c>
      <c r="N727">
        <v>1650</v>
      </c>
    </row>
    <row r="728" spans="1:14" x14ac:dyDescent="0.25">
      <c r="A728">
        <v>423.87867999999997</v>
      </c>
      <c r="B728" s="1">
        <f>DATE(2011,6,28) + TIME(21,5,17)</f>
        <v>40722.878668981481</v>
      </c>
      <c r="C728">
        <v>80</v>
      </c>
      <c r="D728">
        <v>79.912651061999995</v>
      </c>
      <c r="E728">
        <v>50</v>
      </c>
      <c r="F728">
        <v>44.358875275000003</v>
      </c>
      <c r="G728">
        <v>1368.4822998</v>
      </c>
      <c r="H728">
        <v>1358.4180908000001</v>
      </c>
      <c r="I728">
        <v>1300.3809814000001</v>
      </c>
      <c r="J728">
        <v>1286.8515625</v>
      </c>
      <c r="K728">
        <v>1650</v>
      </c>
      <c r="L728">
        <v>0</v>
      </c>
      <c r="M728">
        <v>0</v>
      </c>
      <c r="N728">
        <v>1650</v>
      </c>
    </row>
    <row r="729" spans="1:14" x14ac:dyDescent="0.25">
      <c r="A729">
        <v>425.01368500000001</v>
      </c>
      <c r="B729" s="1">
        <f>DATE(2011,6,30) + TIME(0,19,42)</f>
        <v>40724.013680555552</v>
      </c>
      <c r="C729">
        <v>80</v>
      </c>
      <c r="D729">
        <v>79.912681579999997</v>
      </c>
      <c r="E729">
        <v>50</v>
      </c>
      <c r="F729">
        <v>44.266899109000001</v>
      </c>
      <c r="G729">
        <v>1368.4329834</v>
      </c>
      <c r="H729">
        <v>1358.3775635</v>
      </c>
      <c r="I729">
        <v>1300.3366699000001</v>
      </c>
      <c r="J729">
        <v>1286.784668</v>
      </c>
      <c r="K729">
        <v>1650</v>
      </c>
      <c r="L729">
        <v>0</v>
      </c>
      <c r="M729">
        <v>0</v>
      </c>
      <c r="N729">
        <v>1650</v>
      </c>
    </row>
    <row r="730" spans="1:14" x14ac:dyDescent="0.25">
      <c r="A730">
        <v>426</v>
      </c>
      <c r="B730" s="1">
        <f>DATE(2011,7,1) + TIME(0,0,0)</f>
        <v>40725</v>
      </c>
      <c r="C730">
        <v>80</v>
      </c>
      <c r="D730">
        <v>79.912712096999996</v>
      </c>
      <c r="E730">
        <v>50</v>
      </c>
      <c r="F730">
        <v>44.180847168</v>
      </c>
      <c r="G730">
        <v>1368.3833007999999</v>
      </c>
      <c r="H730">
        <v>1358.3366699000001</v>
      </c>
      <c r="I730">
        <v>1300.2906493999999</v>
      </c>
      <c r="J730">
        <v>1286.7167969</v>
      </c>
      <c r="K730">
        <v>1650</v>
      </c>
      <c r="L730">
        <v>0</v>
      </c>
      <c r="M730">
        <v>0</v>
      </c>
      <c r="N730">
        <v>1650</v>
      </c>
    </row>
    <row r="731" spans="1:14" x14ac:dyDescent="0.25">
      <c r="A731">
        <v>427.14189399999998</v>
      </c>
      <c r="B731" s="1">
        <f>DATE(2011,7,2) + TIME(3,24,19)</f>
        <v>40726.141886574071</v>
      </c>
      <c r="C731">
        <v>80</v>
      </c>
      <c r="D731">
        <v>79.912750243999994</v>
      </c>
      <c r="E731">
        <v>50</v>
      </c>
      <c r="F731">
        <v>44.089366912999999</v>
      </c>
      <c r="G731">
        <v>1368.3408202999999</v>
      </c>
      <c r="H731">
        <v>1358.3017577999999</v>
      </c>
      <c r="I731">
        <v>1300.2498779</v>
      </c>
      <c r="J731">
        <v>1286.6527100000001</v>
      </c>
      <c r="K731">
        <v>1650</v>
      </c>
      <c r="L731">
        <v>0</v>
      </c>
      <c r="M731">
        <v>0</v>
      </c>
      <c r="N731">
        <v>1650</v>
      </c>
    </row>
    <row r="732" spans="1:14" x14ac:dyDescent="0.25">
      <c r="A732">
        <v>428.30371700000001</v>
      </c>
      <c r="B732" s="1">
        <f>DATE(2011,7,3) + TIME(7,17,21)</f>
        <v>40727.303715277776</v>
      </c>
      <c r="C732">
        <v>80</v>
      </c>
      <c r="D732">
        <v>79.912788391000007</v>
      </c>
      <c r="E732">
        <v>50</v>
      </c>
      <c r="F732">
        <v>43.995243072999997</v>
      </c>
      <c r="G732">
        <v>1368.2922363</v>
      </c>
      <c r="H732">
        <v>1358.2617187999999</v>
      </c>
      <c r="I732">
        <v>1300.2023925999999</v>
      </c>
      <c r="J732">
        <v>1286.5806885</v>
      </c>
      <c r="K732">
        <v>1650</v>
      </c>
      <c r="L732">
        <v>0</v>
      </c>
      <c r="M732">
        <v>0</v>
      </c>
      <c r="N732">
        <v>1650</v>
      </c>
    </row>
    <row r="733" spans="1:14" x14ac:dyDescent="0.25">
      <c r="A733">
        <v>429.48003699999998</v>
      </c>
      <c r="B733" s="1">
        <f>DATE(2011,7,4) + TIME(11,31,15)</f>
        <v>40728.480034722219</v>
      </c>
      <c r="C733">
        <v>80</v>
      </c>
      <c r="D733">
        <v>79.912826538000004</v>
      </c>
      <c r="E733">
        <v>50</v>
      </c>
      <c r="F733">
        <v>43.899009704999997</v>
      </c>
      <c r="G733">
        <v>1368.2435303</v>
      </c>
      <c r="H733">
        <v>1358.2215576000001</v>
      </c>
      <c r="I733">
        <v>1300.1534423999999</v>
      </c>
      <c r="J733">
        <v>1286.5059814000001</v>
      </c>
      <c r="K733">
        <v>1650</v>
      </c>
      <c r="L733">
        <v>0</v>
      </c>
      <c r="M733">
        <v>0</v>
      </c>
      <c r="N733">
        <v>1650</v>
      </c>
    </row>
    <row r="734" spans="1:14" x14ac:dyDescent="0.25">
      <c r="A734">
        <v>430.67386299999998</v>
      </c>
      <c r="B734" s="1">
        <f>DATE(2011,7,5) + TIME(16,10,21)</f>
        <v>40729.673854166664</v>
      </c>
      <c r="C734">
        <v>80</v>
      </c>
      <c r="D734">
        <v>79.912864685000002</v>
      </c>
      <c r="E734">
        <v>50</v>
      </c>
      <c r="F734">
        <v>43.800788879000002</v>
      </c>
      <c r="G734">
        <v>1368.1948242000001</v>
      </c>
      <c r="H734">
        <v>1358.1815185999999</v>
      </c>
      <c r="I734">
        <v>1300.1030272999999</v>
      </c>
      <c r="J734">
        <v>1286.4285889</v>
      </c>
      <c r="K734">
        <v>1650</v>
      </c>
      <c r="L734">
        <v>0</v>
      </c>
      <c r="M734">
        <v>0</v>
      </c>
      <c r="N734">
        <v>1650</v>
      </c>
    </row>
    <row r="735" spans="1:14" x14ac:dyDescent="0.25">
      <c r="A735">
        <v>431.880717</v>
      </c>
      <c r="B735" s="1">
        <f>DATE(2011,7,6) + TIME(21,8,13)</f>
        <v>40730.880706018521</v>
      </c>
      <c r="C735">
        <v>80</v>
      </c>
      <c r="D735">
        <v>79.912910460999996</v>
      </c>
      <c r="E735">
        <v>50</v>
      </c>
      <c r="F735">
        <v>43.700836182000003</v>
      </c>
      <c r="G735">
        <v>1368.1462402</v>
      </c>
      <c r="H735">
        <v>1358.1413574000001</v>
      </c>
      <c r="I735">
        <v>1300.0511475000001</v>
      </c>
      <c r="J735">
        <v>1286.3487548999999</v>
      </c>
      <c r="K735">
        <v>1650</v>
      </c>
      <c r="L735">
        <v>0</v>
      </c>
      <c r="M735">
        <v>0</v>
      </c>
      <c r="N735">
        <v>1650</v>
      </c>
    </row>
    <row r="736" spans="1:14" x14ac:dyDescent="0.25">
      <c r="A736">
        <v>433.09814799999998</v>
      </c>
      <c r="B736" s="1">
        <f>DATE(2011,7,8) + TIME(2,21,19)</f>
        <v>40732.098136574074</v>
      </c>
      <c r="C736">
        <v>80</v>
      </c>
      <c r="D736">
        <v>79.912956238000007</v>
      </c>
      <c r="E736">
        <v>50</v>
      </c>
      <c r="F736">
        <v>43.599361420000001</v>
      </c>
      <c r="G736">
        <v>1368.0976562000001</v>
      </c>
      <c r="H736">
        <v>1358.1011963000001</v>
      </c>
      <c r="I736">
        <v>1299.9979248</v>
      </c>
      <c r="J736">
        <v>1286.2666016000001</v>
      </c>
      <c r="K736">
        <v>1650</v>
      </c>
      <c r="L736">
        <v>0</v>
      </c>
      <c r="M736">
        <v>0</v>
      </c>
      <c r="N736">
        <v>1650</v>
      </c>
    </row>
    <row r="737" spans="1:14" x14ac:dyDescent="0.25">
      <c r="A737">
        <v>434.32890600000002</v>
      </c>
      <c r="B737" s="1">
        <f>DATE(2011,7,9) + TIME(7,53,37)</f>
        <v>40733.328900462962</v>
      </c>
      <c r="C737">
        <v>80</v>
      </c>
      <c r="D737">
        <v>79.913002014</v>
      </c>
      <c r="E737">
        <v>50</v>
      </c>
      <c r="F737">
        <v>43.496337891000003</v>
      </c>
      <c r="G737">
        <v>1368.0494385</v>
      </c>
      <c r="H737">
        <v>1358.0614014</v>
      </c>
      <c r="I737">
        <v>1299.9434814000001</v>
      </c>
      <c r="J737">
        <v>1286.1821289</v>
      </c>
      <c r="K737">
        <v>1650</v>
      </c>
      <c r="L737">
        <v>0</v>
      </c>
      <c r="M737">
        <v>0</v>
      </c>
      <c r="N737">
        <v>1650</v>
      </c>
    </row>
    <row r="738" spans="1:14" x14ac:dyDescent="0.25">
      <c r="A738">
        <v>435.57570700000002</v>
      </c>
      <c r="B738" s="1">
        <f>DATE(2011,7,10) + TIME(13,49,1)</f>
        <v>40734.575706018521</v>
      </c>
      <c r="C738">
        <v>80</v>
      </c>
      <c r="D738">
        <v>79.913047790999997</v>
      </c>
      <c r="E738">
        <v>50</v>
      </c>
      <c r="F738">
        <v>43.391620635999999</v>
      </c>
      <c r="G738">
        <v>1368.0013428</v>
      </c>
      <c r="H738">
        <v>1358.0214844</v>
      </c>
      <c r="I738">
        <v>1299.8876952999999</v>
      </c>
      <c r="J738">
        <v>1286.0952147999999</v>
      </c>
      <c r="K738">
        <v>1650</v>
      </c>
      <c r="L738">
        <v>0</v>
      </c>
      <c r="M738">
        <v>0</v>
      </c>
      <c r="N738">
        <v>1650</v>
      </c>
    </row>
    <row r="739" spans="1:14" x14ac:dyDescent="0.25">
      <c r="A739">
        <v>436.84155500000003</v>
      </c>
      <c r="B739" s="1">
        <f>DATE(2011,7,11) + TIME(20,11,50)</f>
        <v>40735.841550925928</v>
      </c>
      <c r="C739">
        <v>80</v>
      </c>
      <c r="D739">
        <v>79.913093567000004</v>
      </c>
      <c r="E739">
        <v>50</v>
      </c>
      <c r="F739">
        <v>43.285007477000001</v>
      </c>
      <c r="G739">
        <v>1367.9532471</v>
      </c>
      <c r="H739">
        <v>1357.9816894999999</v>
      </c>
      <c r="I739">
        <v>1299.8304443</v>
      </c>
      <c r="J739">
        <v>1286.0057373</v>
      </c>
      <c r="K739">
        <v>1650</v>
      </c>
      <c r="L739">
        <v>0</v>
      </c>
      <c r="M739">
        <v>0</v>
      </c>
      <c r="N739">
        <v>1650</v>
      </c>
    </row>
    <row r="740" spans="1:14" x14ac:dyDescent="0.25">
      <c r="A740">
        <v>438.129683</v>
      </c>
      <c r="B740" s="1">
        <f>DATE(2011,7,13) + TIME(3,6,44)</f>
        <v>40737.129675925928</v>
      </c>
      <c r="C740">
        <v>80</v>
      </c>
      <c r="D740">
        <v>79.913146972999996</v>
      </c>
      <c r="E740">
        <v>50</v>
      </c>
      <c r="F740">
        <v>43.176231383999998</v>
      </c>
      <c r="G740">
        <v>1367.9050293</v>
      </c>
      <c r="H740">
        <v>1357.9417725000001</v>
      </c>
      <c r="I740">
        <v>1299.7716064000001</v>
      </c>
      <c r="J740">
        <v>1285.9132079999999</v>
      </c>
      <c r="K740">
        <v>1650</v>
      </c>
      <c r="L740">
        <v>0</v>
      </c>
      <c r="M740">
        <v>0</v>
      </c>
      <c r="N740">
        <v>1650</v>
      </c>
    </row>
    <row r="741" spans="1:14" x14ac:dyDescent="0.25">
      <c r="A741">
        <v>439.44319400000001</v>
      </c>
      <c r="B741" s="1">
        <f>DATE(2011,7,14) + TIME(10,38,11)</f>
        <v>40738.443182870367</v>
      </c>
      <c r="C741">
        <v>80</v>
      </c>
      <c r="D741">
        <v>79.913200377999999</v>
      </c>
      <c r="E741">
        <v>50</v>
      </c>
      <c r="F741">
        <v>43.065017699999999</v>
      </c>
      <c r="G741">
        <v>1367.8566894999999</v>
      </c>
      <c r="H741">
        <v>1357.9017334</v>
      </c>
      <c r="I741">
        <v>1299.7109375</v>
      </c>
      <c r="J741">
        <v>1285.8176269999999</v>
      </c>
      <c r="K741">
        <v>1650</v>
      </c>
      <c r="L741">
        <v>0</v>
      </c>
      <c r="M741">
        <v>0</v>
      </c>
      <c r="N741">
        <v>1650</v>
      </c>
    </row>
    <row r="742" spans="1:14" x14ac:dyDescent="0.25">
      <c r="A742">
        <v>440.76443599999999</v>
      </c>
      <c r="B742" s="1">
        <f>DATE(2011,7,15) + TIME(18,20,47)</f>
        <v>40739.764432870368</v>
      </c>
      <c r="C742">
        <v>80</v>
      </c>
      <c r="D742">
        <v>79.913253784000005</v>
      </c>
      <c r="E742">
        <v>50</v>
      </c>
      <c r="F742">
        <v>42.951942443999997</v>
      </c>
      <c r="G742">
        <v>1367.8079834</v>
      </c>
      <c r="H742">
        <v>1357.8613281</v>
      </c>
      <c r="I742">
        <v>1299.6484375</v>
      </c>
      <c r="J742">
        <v>1285.7188721</v>
      </c>
      <c r="K742">
        <v>1650</v>
      </c>
      <c r="L742">
        <v>0</v>
      </c>
      <c r="M742">
        <v>0</v>
      </c>
      <c r="N742">
        <v>1650</v>
      </c>
    </row>
    <row r="743" spans="1:14" x14ac:dyDescent="0.25">
      <c r="A743">
        <v>442.09621700000002</v>
      </c>
      <c r="B743" s="1">
        <f>DATE(2011,7,17) + TIME(2,18,33)</f>
        <v>40741.096215277779</v>
      </c>
      <c r="C743">
        <v>80</v>
      </c>
      <c r="D743">
        <v>79.913307189999998</v>
      </c>
      <c r="E743">
        <v>50</v>
      </c>
      <c r="F743">
        <v>42.837181090999998</v>
      </c>
      <c r="G743">
        <v>1367.7597656</v>
      </c>
      <c r="H743">
        <v>1357.8211670000001</v>
      </c>
      <c r="I743">
        <v>1299.5847168</v>
      </c>
      <c r="J743">
        <v>1285.6177978999999</v>
      </c>
      <c r="K743">
        <v>1650</v>
      </c>
      <c r="L743">
        <v>0</v>
      </c>
      <c r="M743">
        <v>0</v>
      </c>
      <c r="N743">
        <v>1650</v>
      </c>
    </row>
    <row r="744" spans="1:14" x14ac:dyDescent="0.25">
      <c r="A744">
        <v>443.44169699999998</v>
      </c>
      <c r="B744" s="1">
        <f>DATE(2011,7,18) + TIME(10,36,2)</f>
        <v>40742.441689814812</v>
      </c>
      <c r="C744">
        <v>80</v>
      </c>
      <c r="D744">
        <v>79.913360596000004</v>
      </c>
      <c r="E744">
        <v>50</v>
      </c>
      <c r="F744">
        <v>42.720684052000003</v>
      </c>
      <c r="G744">
        <v>1367.7116699000001</v>
      </c>
      <c r="H744">
        <v>1357.78125</v>
      </c>
      <c r="I744">
        <v>1299.5197754000001</v>
      </c>
      <c r="J744">
        <v>1285.5141602000001</v>
      </c>
      <c r="K744">
        <v>1650</v>
      </c>
      <c r="L744">
        <v>0</v>
      </c>
      <c r="M744">
        <v>0</v>
      </c>
      <c r="N744">
        <v>1650</v>
      </c>
    </row>
    <row r="745" spans="1:14" x14ac:dyDescent="0.25">
      <c r="A745">
        <v>444.804148</v>
      </c>
      <c r="B745" s="1">
        <f>DATE(2011,7,19) + TIME(19,17,58)</f>
        <v>40743.804143518515</v>
      </c>
      <c r="C745">
        <v>80</v>
      </c>
      <c r="D745">
        <v>79.913421631000006</v>
      </c>
      <c r="E745">
        <v>50</v>
      </c>
      <c r="F745">
        <v>42.602268219000003</v>
      </c>
      <c r="G745">
        <v>1367.6638184000001</v>
      </c>
      <c r="H745">
        <v>1357.7413329999999</v>
      </c>
      <c r="I745">
        <v>1299.4533690999999</v>
      </c>
      <c r="J745">
        <v>1285.4079589999999</v>
      </c>
      <c r="K745">
        <v>1650</v>
      </c>
      <c r="L745">
        <v>0</v>
      </c>
      <c r="M745">
        <v>0</v>
      </c>
      <c r="N745">
        <v>1650</v>
      </c>
    </row>
    <row r="746" spans="1:14" x14ac:dyDescent="0.25">
      <c r="A746">
        <v>446.18699099999998</v>
      </c>
      <c r="B746" s="1">
        <f>DATE(2011,7,21) + TIME(4,29,16)</f>
        <v>40745.186990740738</v>
      </c>
      <c r="C746">
        <v>80</v>
      </c>
      <c r="D746">
        <v>79.913482665999993</v>
      </c>
      <c r="E746">
        <v>50</v>
      </c>
      <c r="F746">
        <v>42.481685638000002</v>
      </c>
      <c r="G746">
        <v>1367.6158447</v>
      </c>
      <c r="H746">
        <v>1357.7014160000001</v>
      </c>
      <c r="I746">
        <v>1299.3856201000001</v>
      </c>
      <c r="J746">
        <v>1285.2988281</v>
      </c>
      <c r="K746">
        <v>1650</v>
      </c>
      <c r="L746">
        <v>0</v>
      </c>
      <c r="M746">
        <v>0</v>
      </c>
      <c r="N746">
        <v>1650</v>
      </c>
    </row>
    <row r="747" spans="1:14" x14ac:dyDescent="0.25">
      <c r="A747">
        <v>447.59383500000001</v>
      </c>
      <c r="B747" s="1">
        <f>DATE(2011,7,22) + TIME(14,15,7)</f>
        <v>40746.593831018516</v>
      </c>
      <c r="C747">
        <v>80</v>
      </c>
      <c r="D747">
        <v>79.913543700999995</v>
      </c>
      <c r="E747">
        <v>50</v>
      </c>
      <c r="F747">
        <v>42.358638763000002</v>
      </c>
      <c r="G747">
        <v>1367.5678711</v>
      </c>
      <c r="H747">
        <v>1357.6613769999999</v>
      </c>
      <c r="I747">
        <v>1299.3160399999999</v>
      </c>
      <c r="J747">
        <v>1285.1864014</v>
      </c>
      <c r="K747">
        <v>1650</v>
      </c>
      <c r="L747">
        <v>0</v>
      </c>
      <c r="M747">
        <v>0</v>
      </c>
      <c r="N747">
        <v>1650</v>
      </c>
    </row>
    <row r="748" spans="1:14" x14ac:dyDescent="0.25">
      <c r="A748">
        <v>449.02104000000003</v>
      </c>
      <c r="B748" s="1">
        <f>DATE(2011,7,24) + TIME(0,30,17)</f>
        <v>40748.02103009259</v>
      </c>
      <c r="C748">
        <v>80</v>
      </c>
      <c r="D748">
        <v>79.913604735999996</v>
      </c>
      <c r="E748">
        <v>50</v>
      </c>
      <c r="F748">
        <v>42.233123779000003</v>
      </c>
      <c r="G748">
        <v>1367.5196533000001</v>
      </c>
      <c r="H748">
        <v>1357.6210937999999</v>
      </c>
      <c r="I748">
        <v>1299.244751</v>
      </c>
      <c r="J748">
        <v>1285.0706786999999</v>
      </c>
      <c r="K748">
        <v>1650</v>
      </c>
      <c r="L748">
        <v>0</v>
      </c>
      <c r="M748">
        <v>0</v>
      </c>
      <c r="N748">
        <v>1650</v>
      </c>
    </row>
    <row r="749" spans="1:14" x14ac:dyDescent="0.25">
      <c r="A749">
        <v>450.46148799999997</v>
      </c>
      <c r="B749" s="1">
        <f>DATE(2011,7,25) + TIME(11,4,32)</f>
        <v>40749.461481481485</v>
      </c>
      <c r="C749">
        <v>80</v>
      </c>
      <c r="D749">
        <v>79.913673400999997</v>
      </c>
      <c r="E749">
        <v>50</v>
      </c>
      <c r="F749">
        <v>42.105438231999997</v>
      </c>
      <c r="G749">
        <v>1367.4713135</v>
      </c>
      <c r="H749">
        <v>1357.5806885</v>
      </c>
      <c r="I749">
        <v>1299.1717529</v>
      </c>
      <c r="J749">
        <v>1284.9519043</v>
      </c>
      <c r="K749">
        <v>1650</v>
      </c>
      <c r="L749">
        <v>0</v>
      </c>
      <c r="M749">
        <v>0</v>
      </c>
      <c r="N749">
        <v>1650</v>
      </c>
    </row>
    <row r="750" spans="1:14" x14ac:dyDescent="0.25">
      <c r="A750">
        <v>451.919534</v>
      </c>
      <c r="B750" s="1">
        <f>DATE(2011,7,26) + TIME(22,4,7)</f>
        <v>40750.919525462959</v>
      </c>
      <c r="C750">
        <v>80</v>
      </c>
      <c r="D750">
        <v>79.913742064999994</v>
      </c>
      <c r="E750">
        <v>50</v>
      </c>
      <c r="F750">
        <v>41.975589751999998</v>
      </c>
      <c r="G750">
        <v>1367.4230957</v>
      </c>
      <c r="H750">
        <v>1357.5404053</v>
      </c>
      <c r="I750">
        <v>1299.0975341999999</v>
      </c>
      <c r="J750">
        <v>1284.8302002</v>
      </c>
      <c r="K750">
        <v>1650</v>
      </c>
      <c r="L750">
        <v>0</v>
      </c>
      <c r="M750">
        <v>0</v>
      </c>
      <c r="N750">
        <v>1650</v>
      </c>
    </row>
    <row r="751" spans="1:14" x14ac:dyDescent="0.25">
      <c r="A751">
        <v>453.39869499999998</v>
      </c>
      <c r="B751" s="1">
        <f>DATE(2011,7,28) + TIME(9,34,7)</f>
        <v>40752.398692129631</v>
      </c>
      <c r="C751">
        <v>80</v>
      </c>
      <c r="D751">
        <v>79.913810729999994</v>
      </c>
      <c r="E751">
        <v>50</v>
      </c>
      <c r="F751">
        <v>41.843414307000003</v>
      </c>
      <c r="G751">
        <v>1367.3748779</v>
      </c>
      <c r="H751">
        <v>1357.5</v>
      </c>
      <c r="I751">
        <v>1299.0217285000001</v>
      </c>
      <c r="J751">
        <v>1284.7055664</v>
      </c>
      <c r="K751">
        <v>1650</v>
      </c>
      <c r="L751">
        <v>0</v>
      </c>
      <c r="M751">
        <v>0</v>
      </c>
      <c r="N751">
        <v>1650</v>
      </c>
    </row>
    <row r="752" spans="1:14" x14ac:dyDescent="0.25">
      <c r="A752">
        <v>454.90274799999997</v>
      </c>
      <c r="B752" s="1">
        <f>DATE(2011,7,29) + TIME(21,39,57)</f>
        <v>40753.902743055558</v>
      </c>
      <c r="C752">
        <v>80</v>
      </c>
      <c r="D752">
        <v>79.913879394999995</v>
      </c>
      <c r="E752">
        <v>50</v>
      </c>
      <c r="F752">
        <v>41.708675384999999</v>
      </c>
      <c r="G752">
        <v>1367.3265381000001</v>
      </c>
      <c r="H752">
        <v>1357.4594727000001</v>
      </c>
      <c r="I752">
        <v>1298.9443358999999</v>
      </c>
      <c r="J752">
        <v>1284.5776367000001</v>
      </c>
      <c r="K752">
        <v>1650</v>
      </c>
      <c r="L752">
        <v>0</v>
      </c>
      <c r="M752">
        <v>0</v>
      </c>
      <c r="N752">
        <v>1650</v>
      </c>
    </row>
    <row r="753" spans="1:14" x14ac:dyDescent="0.25">
      <c r="A753">
        <v>456.41461099999998</v>
      </c>
      <c r="B753" s="1">
        <f>DATE(2011,7,31) + TIME(9,57,2)</f>
        <v>40755.414606481485</v>
      </c>
      <c r="C753">
        <v>80</v>
      </c>
      <c r="D753">
        <v>79.913948059000006</v>
      </c>
      <c r="E753">
        <v>50</v>
      </c>
      <c r="F753">
        <v>41.571964264000002</v>
      </c>
      <c r="G753">
        <v>1367.2780762</v>
      </c>
      <c r="H753">
        <v>1357.4187012</v>
      </c>
      <c r="I753">
        <v>1298.8653564000001</v>
      </c>
      <c r="J753">
        <v>1284.4464111</v>
      </c>
      <c r="K753">
        <v>1650</v>
      </c>
      <c r="L753">
        <v>0</v>
      </c>
      <c r="M753">
        <v>0</v>
      </c>
      <c r="N753">
        <v>1650</v>
      </c>
    </row>
    <row r="754" spans="1:14" x14ac:dyDescent="0.25">
      <c r="A754">
        <v>457</v>
      </c>
      <c r="B754" s="1">
        <f>DATE(2011,8,1) + TIME(0,0,0)</f>
        <v>40756</v>
      </c>
      <c r="C754">
        <v>80</v>
      </c>
      <c r="D754">
        <v>79.913955688000001</v>
      </c>
      <c r="E754">
        <v>50</v>
      </c>
      <c r="F754">
        <v>41.492252350000001</v>
      </c>
      <c r="G754">
        <v>1367.2294922000001</v>
      </c>
      <c r="H754">
        <v>1357.3779297000001</v>
      </c>
      <c r="I754">
        <v>1298.7879639</v>
      </c>
      <c r="J754">
        <v>1284.3325195</v>
      </c>
      <c r="K754">
        <v>1650</v>
      </c>
      <c r="L754">
        <v>0</v>
      </c>
      <c r="M754">
        <v>0</v>
      </c>
      <c r="N754">
        <v>1650</v>
      </c>
    </row>
    <row r="755" spans="1:14" x14ac:dyDescent="0.25">
      <c r="A755">
        <v>458.522761</v>
      </c>
      <c r="B755" s="1">
        <f>DATE(2011,8,2) + TIME(12,32,46)</f>
        <v>40757.52275462963</v>
      </c>
      <c r="C755">
        <v>80</v>
      </c>
      <c r="D755">
        <v>79.914039611999996</v>
      </c>
      <c r="E755">
        <v>50</v>
      </c>
      <c r="F755">
        <v>41.367752074999999</v>
      </c>
      <c r="G755">
        <v>1367.2111815999999</v>
      </c>
      <c r="H755">
        <v>1357.3624268000001</v>
      </c>
      <c r="I755">
        <v>1298.7518310999999</v>
      </c>
      <c r="J755">
        <v>1284.2535399999999</v>
      </c>
      <c r="K755">
        <v>1650</v>
      </c>
      <c r="L755">
        <v>0</v>
      </c>
      <c r="M755">
        <v>0</v>
      </c>
      <c r="N755">
        <v>1650</v>
      </c>
    </row>
    <row r="756" spans="1:14" x14ac:dyDescent="0.25">
      <c r="A756">
        <v>460.06675999999999</v>
      </c>
      <c r="B756" s="1">
        <f>DATE(2011,8,4) + TIME(1,36,8)</f>
        <v>40759.066759259258</v>
      </c>
      <c r="C756">
        <v>80</v>
      </c>
      <c r="D756">
        <v>79.914123535000002</v>
      </c>
      <c r="E756">
        <v>50</v>
      </c>
      <c r="F756">
        <v>41.233764647999998</v>
      </c>
      <c r="G756">
        <v>1367.1634521000001</v>
      </c>
      <c r="H756">
        <v>1357.3222656</v>
      </c>
      <c r="I756">
        <v>1298.6722411999999</v>
      </c>
      <c r="J756">
        <v>1284.1213379000001</v>
      </c>
      <c r="K756">
        <v>1650</v>
      </c>
      <c r="L756">
        <v>0</v>
      </c>
      <c r="M756">
        <v>0</v>
      </c>
      <c r="N756">
        <v>1650</v>
      </c>
    </row>
    <row r="757" spans="1:14" x14ac:dyDescent="0.25">
      <c r="A757">
        <v>461.63021199999997</v>
      </c>
      <c r="B757" s="1">
        <f>DATE(2011,8,5) + TIME(15,7,30)</f>
        <v>40760.630208333336</v>
      </c>
      <c r="C757">
        <v>80</v>
      </c>
      <c r="D757">
        <v>79.914199828999998</v>
      </c>
      <c r="E757">
        <v>50</v>
      </c>
      <c r="F757">
        <v>41.094268798999998</v>
      </c>
      <c r="G757">
        <v>1367.1154785000001</v>
      </c>
      <c r="H757">
        <v>1357.2818603999999</v>
      </c>
      <c r="I757">
        <v>1298.5905762</v>
      </c>
      <c r="J757">
        <v>1283.9838867000001</v>
      </c>
      <c r="K757">
        <v>1650</v>
      </c>
      <c r="L757">
        <v>0</v>
      </c>
      <c r="M757">
        <v>0</v>
      </c>
      <c r="N757">
        <v>1650</v>
      </c>
    </row>
    <row r="758" spans="1:14" x14ac:dyDescent="0.25">
      <c r="A758">
        <v>463.21720399999998</v>
      </c>
      <c r="B758" s="1">
        <f>DATE(2011,8,7) + TIME(5,12,46)</f>
        <v>40762.217199074075</v>
      </c>
      <c r="C758">
        <v>80</v>
      </c>
      <c r="D758">
        <v>79.914276122999993</v>
      </c>
      <c r="E758">
        <v>50</v>
      </c>
      <c r="F758">
        <v>40.951038361000002</v>
      </c>
      <c r="G758">
        <v>1367.0673827999999</v>
      </c>
      <c r="H758">
        <v>1357.2412108999999</v>
      </c>
      <c r="I758">
        <v>1298.5073242000001</v>
      </c>
      <c r="J758">
        <v>1283.8425293</v>
      </c>
      <c r="K758">
        <v>1650</v>
      </c>
      <c r="L758">
        <v>0</v>
      </c>
      <c r="M758">
        <v>0</v>
      </c>
      <c r="N758">
        <v>1650</v>
      </c>
    </row>
    <row r="759" spans="1:14" x14ac:dyDescent="0.25">
      <c r="A759">
        <v>464.831706</v>
      </c>
      <c r="B759" s="1">
        <f>DATE(2011,8,8) + TIME(19,57,39)</f>
        <v>40763.831701388888</v>
      </c>
      <c r="C759">
        <v>80</v>
      </c>
      <c r="D759">
        <v>79.914360045999999</v>
      </c>
      <c r="E759">
        <v>50</v>
      </c>
      <c r="F759">
        <v>40.804759979000004</v>
      </c>
      <c r="G759">
        <v>1367.0191649999999</v>
      </c>
      <c r="H759">
        <v>1357.2004394999999</v>
      </c>
      <c r="I759">
        <v>1298.4226074000001</v>
      </c>
      <c r="J759">
        <v>1283.6977539</v>
      </c>
      <c r="K759">
        <v>1650</v>
      </c>
      <c r="L759">
        <v>0</v>
      </c>
      <c r="M759">
        <v>0</v>
      </c>
      <c r="N759">
        <v>1650</v>
      </c>
    </row>
    <row r="760" spans="1:14" x14ac:dyDescent="0.25">
      <c r="A760">
        <v>466.46598999999998</v>
      </c>
      <c r="B760" s="1">
        <f>DATE(2011,8,10) + TIME(11,11,1)</f>
        <v>40765.465983796297</v>
      </c>
      <c r="C760">
        <v>80</v>
      </c>
      <c r="D760">
        <v>79.914443969999994</v>
      </c>
      <c r="E760">
        <v>50</v>
      </c>
      <c r="F760">
        <v>40.656127929999997</v>
      </c>
      <c r="G760">
        <v>1366.9705810999999</v>
      </c>
      <c r="H760">
        <v>1357.1593018000001</v>
      </c>
      <c r="I760">
        <v>1298.3363036999999</v>
      </c>
      <c r="J760">
        <v>1283.5496826000001</v>
      </c>
      <c r="K760">
        <v>1650</v>
      </c>
      <c r="L760">
        <v>0</v>
      </c>
      <c r="M760">
        <v>0</v>
      </c>
      <c r="N760">
        <v>1650</v>
      </c>
    </row>
    <row r="761" spans="1:14" x14ac:dyDescent="0.25">
      <c r="A761">
        <v>468.12410899999998</v>
      </c>
      <c r="B761" s="1">
        <f>DATE(2011,8,12) + TIME(2,58,43)</f>
        <v>40767.124108796299</v>
      </c>
      <c r="C761">
        <v>80</v>
      </c>
      <c r="D761">
        <v>79.914527892999999</v>
      </c>
      <c r="E761">
        <v>50</v>
      </c>
      <c r="F761">
        <v>40.505481719999999</v>
      </c>
      <c r="G761">
        <v>1366.921875</v>
      </c>
      <c r="H761">
        <v>1357.1180420000001</v>
      </c>
      <c r="I761">
        <v>1298.2491454999999</v>
      </c>
      <c r="J761">
        <v>1283.3986815999999</v>
      </c>
      <c r="K761">
        <v>1650</v>
      </c>
      <c r="L761">
        <v>0</v>
      </c>
      <c r="M761">
        <v>0</v>
      </c>
      <c r="N761">
        <v>1650</v>
      </c>
    </row>
    <row r="762" spans="1:14" x14ac:dyDescent="0.25">
      <c r="A762">
        <v>469.80572799999999</v>
      </c>
      <c r="B762" s="1">
        <f>DATE(2011,8,13) + TIME(19,20,14)</f>
        <v>40768.805717592593</v>
      </c>
      <c r="C762">
        <v>80</v>
      </c>
      <c r="D762">
        <v>79.914611816000004</v>
      </c>
      <c r="E762">
        <v>50</v>
      </c>
      <c r="F762">
        <v>40.353088378999999</v>
      </c>
      <c r="G762">
        <v>1366.8730469</v>
      </c>
      <c r="H762">
        <v>1357.0765381000001</v>
      </c>
      <c r="I762">
        <v>1298.1608887</v>
      </c>
      <c r="J762">
        <v>1283.2449951000001</v>
      </c>
      <c r="K762">
        <v>1650</v>
      </c>
      <c r="L762">
        <v>0</v>
      </c>
      <c r="M762">
        <v>0</v>
      </c>
      <c r="N762">
        <v>1650</v>
      </c>
    </row>
    <row r="763" spans="1:14" x14ac:dyDescent="0.25">
      <c r="A763">
        <v>471.50150600000001</v>
      </c>
      <c r="B763" s="1">
        <f>DATE(2011,8,15) + TIME(12,2,10)</f>
        <v>40770.501504629632</v>
      </c>
      <c r="C763">
        <v>80</v>
      </c>
      <c r="D763">
        <v>79.914695739999999</v>
      </c>
      <c r="E763">
        <v>50</v>
      </c>
      <c r="F763">
        <v>40.199581146</v>
      </c>
      <c r="G763">
        <v>1366.8239745999999</v>
      </c>
      <c r="H763">
        <v>1357.0347899999999</v>
      </c>
      <c r="I763">
        <v>1298.0717772999999</v>
      </c>
      <c r="J763">
        <v>1283.0889893000001</v>
      </c>
      <c r="K763">
        <v>1650</v>
      </c>
      <c r="L763">
        <v>0</v>
      </c>
      <c r="M763">
        <v>0</v>
      </c>
      <c r="N763">
        <v>1650</v>
      </c>
    </row>
    <row r="764" spans="1:14" x14ac:dyDescent="0.25">
      <c r="A764">
        <v>473.20984399999998</v>
      </c>
      <c r="B764" s="1">
        <f>DATE(2011,8,17) + TIME(5,2,10)</f>
        <v>40772.209837962961</v>
      </c>
      <c r="C764">
        <v>80</v>
      </c>
      <c r="D764">
        <v>79.914787292</v>
      </c>
      <c r="E764">
        <v>50</v>
      </c>
      <c r="F764">
        <v>40.045623779000003</v>
      </c>
      <c r="G764">
        <v>1366.7749022999999</v>
      </c>
      <c r="H764">
        <v>1356.9930420000001</v>
      </c>
      <c r="I764">
        <v>1297.9822998</v>
      </c>
      <c r="J764">
        <v>1282.9312743999999</v>
      </c>
      <c r="K764">
        <v>1650</v>
      </c>
      <c r="L764">
        <v>0</v>
      </c>
      <c r="M764">
        <v>0</v>
      </c>
      <c r="N764">
        <v>1650</v>
      </c>
    </row>
    <row r="765" spans="1:14" x14ac:dyDescent="0.25">
      <c r="A765">
        <v>474.93475100000001</v>
      </c>
      <c r="B765" s="1">
        <f>DATE(2011,8,18) + TIME(22,26,2)</f>
        <v>40773.934745370374</v>
      </c>
      <c r="C765">
        <v>80</v>
      </c>
      <c r="D765">
        <v>79.914871215999995</v>
      </c>
      <c r="E765">
        <v>50</v>
      </c>
      <c r="F765">
        <v>39.891620635999999</v>
      </c>
      <c r="G765">
        <v>1366.7259521000001</v>
      </c>
      <c r="H765">
        <v>1356.9512939000001</v>
      </c>
      <c r="I765">
        <v>1297.8928223</v>
      </c>
      <c r="J765">
        <v>1282.7722168</v>
      </c>
      <c r="K765">
        <v>1650</v>
      </c>
      <c r="L765">
        <v>0</v>
      </c>
      <c r="M765">
        <v>0</v>
      </c>
      <c r="N765">
        <v>1650</v>
      </c>
    </row>
    <row r="766" spans="1:14" x14ac:dyDescent="0.25">
      <c r="A766">
        <v>476.67787399999997</v>
      </c>
      <c r="B766" s="1">
        <f>DATE(2011,8,20) + TIME(16,16,8)</f>
        <v>40775.677870370368</v>
      </c>
      <c r="C766">
        <v>80</v>
      </c>
      <c r="D766">
        <v>79.914962768999999</v>
      </c>
      <c r="E766">
        <v>50</v>
      </c>
      <c r="F766">
        <v>39.737770081000001</v>
      </c>
      <c r="G766">
        <v>1366.6770019999999</v>
      </c>
      <c r="H766">
        <v>1356.9094238</v>
      </c>
      <c r="I766">
        <v>1297.8031006000001</v>
      </c>
      <c r="J766">
        <v>1282.6119385</v>
      </c>
      <c r="K766">
        <v>1650</v>
      </c>
      <c r="L766">
        <v>0</v>
      </c>
      <c r="M766">
        <v>0</v>
      </c>
      <c r="N766">
        <v>1650</v>
      </c>
    </row>
    <row r="767" spans="1:14" x14ac:dyDescent="0.25">
      <c r="A767">
        <v>478.43986799999999</v>
      </c>
      <c r="B767" s="1">
        <f>DATE(2011,8,22) + TIME(10,33,24)</f>
        <v>40777.43986111111</v>
      </c>
      <c r="C767">
        <v>80</v>
      </c>
      <c r="D767">
        <v>79.915054321</v>
      </c>
      <c r="E767">
        <v>50</v>
      </c>
      <c r="F767">
        <v>39.584339141999997</v>
      </c>
      <c r="G767">
        <v>1366.6279297000001</v>
      </c>
      <c r="H767">
        <v>1356.8674315999999</v>
      </c>
      <c r="I767">
        <v>1297.713501</v>
      </c>
      <c r="J767">
        <v>1282.4505615</v>
      </c>
      <c r="K767">
        <v>1650</v>
      </c>
      <c r="L767">
        <v>0</v>
      </c>
      <c r="M767">
        <v>0</v>
      </c>
      <c r="N767">
        <v>1650</v>
      </c>
    </row>
    <row r="768" spans="1:14" x14ac:dyDescent="0.25">
      <c r="A768">
        <v>480.225525</v>
      </c>
      <c r="B768" s="1">
        <f>DATE(2011,8,24) + TIME(5,24,45)</f>
        <v>40779.22552083333</v>
      </c>
      <c r="C768">
        <v>80</v>
      </c>
      <c r="D768">
        <v>79.915153502999999</v>
      </c>
      <c r="E768">
        <v>50</v>
      </c>
      <c r="F768">
        <v>39.431526183999999</v>
      </c>
      <c r="G768">
        <v>1366.5787353999999</v>
      </c>
      <c r="H768">
        <v>1356.8253173999999</v>
      </c>
      <c r="I768">
        <v>1297.6240233999999</v>
      </c>
      <c r="J768">
        <v>1282.2882079999999</v>
      </c>
      <c r="K768">
        <v>1650</v>
      </c>
      <c r="L768">
        <v>0</v>
      </c>
      <c r="M768">
        <v>0</v>
      </c>
      <c r="N768">
        <v>1650</v>
      </c>
    </row>
    <row r="769" spans="1:14" x14ac:dyDescent="0.25">
      <c r="A769">
        <v>482.029493</v>
      </c>
      <c r="B769" s="1">
        <f>DATE(2011,8,26) + TIME(0,42,28)</f>
        <v>40781.029490740744</v>
      </c>
      <c r="C769">
        <v>80</v>
      </c>
      <c r="D769">
        <v>79.915245056000003</v>
      </c>
      <c r="E769">
        <v>50</v>
      </c>
      <c r="F769">
        <v>39.279850005999997</v>
      </c>
      <c r="G769">
        <v>1366.5292969</v>
      </c>
      <c r="H769">
        <v>1356.7828368999999</v>
      </c>
      <c r="I769">
        <v>1297.534668</v>
      </c>
      <c r="J769">
        <v>1282.125</v>
      </c>
      <c r="K769">
        <v>1650</v>
      </c>
      <c r="L769">
        <v>0</v>
      </c>
      <c r="M769">
        <v>0</v>
      </c>
      <c r="N769">
        <v>1650</v>
      </c>
    </row>
    <row r="770" spans="1:14" x14ac:dyDescent="0.25">
      <c r="A770">
        <v>483.85088100000002</v>
      </c>
      <c r="B770" s="1">
        <f>DATE(2011,8,27) + TIME(20,25,16)</f>
        <v>40782.85087962963</v>
      </c>
      <c r="C770">
        <v>80</v>
      </c>
      <c r="D770">
        <v>79.915344238000003</v>
      </c>
      <c r="E770">
        <v>50</v>
      </c>
      <c r="F770">
        <v>39.129974365000002</v>
      </c>
      <c r="G770">
        <v>1366.4797363</v>
      </c>
      <c r="H770">
        <v>1356.7402344</v>
      </c>
      <c r="I770">
        <v>1297.4458007999999</v>
      </c>
      <c r="J770">
        <v>1281.9614257999999</v>
      </c>
      <c r="K770">
        <v>1650</v>
      </c>
      <c r="L770">
        <v>0</v>
      </c>
      <c r="M770">
        <v>0</v>
      </c>
      <c r="N770">
        <v>1650</v>
      </c>
    </row>
    <row r="771" spans="1:14" x14ac:dyDescent="0.25">
      <c r="A771">
        <v>485.69383299999998</v>
      </c>
      <c r="B771" s="1">
        <f>DATE(2011,8,29) + TIME(16,39,7)</f>
        <v>40784.693831018521</v>
      </c>
      <c r="C771">
        <v>80</v>
      </c>
      <c r="D771">
        <v>79.915443420000003</v>
      </c>
      <c r="E771">
        <v>50</v>
      </c>
      <c r="F771">
        <v>38.982437134000001</v>
      </c>
      <c r="G771">
        <v>1366.4301757999999</v>
      </c>
      <c r="H771">
        <v>1356.6975098</v>
      </c>
      <c r="I771">
        <v>1297.3577881000001</v>
      </c>
      <c r="J771">
        <v>1281.7982178</v>
      </c>
      <c r="K771">
        <v>1650</v>
      </c>
      <c r="L771">
        <v>0</v>
      </c>
      <c r="M771">
        <v>0</v>
      </c>
      <c r="N771">
        <v>1650</v>
      </c>
    </row>
    <row r="772" spans="1:14" x14ac:dyDescent="0.25">
      <c r="A772">
        <v>487.548721</v>
      </c>
      <c r="B772" s="1">
        <f>DATE(2011,8,31) + TIME(13,10,9)</f>
        <v>40786.548715277779</v>
      </c>
      <c r="C772">
        <v>80</v>
      </c>
      <c r="D772">
        <v>79.915542603000006</v>
      </c>
      <c r="E772">
        <v>50</v>
      </c>
      <c r="F772">
        <v>38.838130950999997</v>
      </c>
      <c r="G772">
        <v>1366.3803711</v>
      </c>
      <c r="H772">
        <v>1356.6545410000001</v>
      </c>
      <c r="I772">
        <v>1297.2706298999999</v>
      </c>
      <c r="J772">
        <v>1281.635376</v>
      </c>
      <c r="K772">
        <v>1650</v>
      </c>
      <c r="L772">
        <v>0</v>
      </c>
      <c r="M772">
        <v>0</v>
      </c>
      <c r="N772">
        <v>1650</v>
      </c>
    </row>
    <row r="773" spans="1:14" x14ac:dyDescent="0.25">
      <c r="A773">
        <v>488</v>
      </c>
      <c r="B773" s="1">
        <f>DATE(2011,9,1) + TIME(0,0,0)</f>
        <v>40787</v>
      </c>
      <c r="C773">
        <v>80</v>
      </c>
      <c r="D773">
        <v>79.915550232000001</v>
      </c>
      <c r="E773">
        <v>50</v>
      </c>
      <c r="F773">
        <v>38.776210785000004</v>
      </c>
      <c r="G773">
        <v>1366.3305664</v>
      </c>
      <c r="H773">
        <v>1356.6114502</v>
      </c>
      <c r="I773">
        <v>1297.1929932</v>
      </c>
      <c r="J773">
        <v>1281.5109863</v>
      </c>
      <c r="K773">
        <v>1650</v>
      </c>
      <c r="L773">
        <v>0</v>
      </c>
      <c r="M773">
        <v>0</v>
      </c>
      <c r="N773">
        <v>1650</v>
      </c>
    </row>
    <row r="774" spans="1:14" x14ac:dyDescent="0.25">
      <c r="A774">
        <v>489.87238100000002</v>
      </c>
      <c r="B774" s="1">
        <f>DATE(2011,9,2) + TIME(20,56,13)</f>
        <v>40788.872372685182</v>
      </c>
      <c r="C774">
        <v>80</v>
      </c>
      <c r="D774">
        <v>79.915664672999995</v>
      </c>
      <c r="E774">
        <v>50</v>
      </c>
      <c r="F774">
        <v>38.653938293000003</v>
      </c>
      <c r="G774">
        <v>1366.3183594</v>
      </c>
      <c r="H774">
        <v>1356.6008300999999</v>
      </c>
      <c r="I774">
        <v>1297.1612548999999</v>
      </c>
      <c r="J774">
        <v>1281.4263916</v>
      </c>
      <c r="K774">
        <v>1650</v>
      </c>
      <c r="L774">
        <v>0</v>
      </c>
      <c r="M774">
        <v>0</v>
      </c>
      <c r="N774">
        <v>1650</v>
      </c>
    </row>
    <row r="775" spans="1:14" x14ac:dyDescent="0.25">
      <c r="A775">
        <v>491.76571999999999</v>
      </c>
      <c r="B775" s="1">
        <f>DATE(2011,9,4) + TIME(18,22,38)</f>
        <v>40790.765717592592</v>
      </c>
      <c r="C775">
        <v>80</v>
      </c>
      <c r="D775">
        <v>79.915763854999994</v>
      </c>
      <c r="E775">
        <v>50</v>
      </c>
      <c r="F775">
        <v>38.526573181000003</v>
      </c>
      <c r="G775">
        <v>1366.2686768000001</v>
      </c>
      <c r="H775">
        <v>1356.5578613</v>
      </c>
      <c r="I775">
        <v>1297.0799560999999</v>
      </c>
      <c r="J775">
        <v>1281.2729492000001</v>
      </c>
      <c r="K775">
        <v>1650</v>
      </c>
      <c r="L775">
        <v>0</v>
      </c>
      <c r="M775">
        <v>0</v>
      </c>
      <c r="N775">
        <v>1650</v>
      </c>
    </row>
    <row r="776" spans="1:14" x14ac:dyDescent="0.25">
      <c r="A776">
        <v>493.66212300000001</v>
      </c>
      <c r="B776" s="1">
        <f>DATE(2011,9,6) + TIME(15,53,27)</f>
        <v>40792.662118055552</v>
      </c>
      <c r="C776">
        <v>80</v>
      </c>
      <c r="D776">
        <v>79.915870666999993</v>
      </c>
      <c r="E776">
        <v>50</v>
      </c>
      <c r="F776">
        <v>38.401275634999998</v>
      </c>
      <c r="G776">
        <v>1366.2186279</v>
      </c>
      <c r="H776">
        <v>1356.5144043</v>
      </c>
      <c r="I776">
        <v>1296.9989014</v>
      </c>
      <c r="J776">
        <v>1281.1184082</v>
      </c>
      <c r="K776">
        <v>1650</v>
      </c>
      <c r="L776">
        <v>0</v>
      </c>
      <c r="M776">
        <v>0</v>
      </c>
      <c r="N776">
        <v>1650</v>
      </c>
    </row>
    <row r="777" spans="1:14" x14ac:dyDescent="0.25">
      <c r="A777">
        <v>495.57056899999998</v>
      </c>
      <c r="B777" s="1">
        <f>DATE(2011,9,8) + TIME(13,41,37)</f>
        <v>40794.570567129631</v>
      </c>
      <c r="C777">
        <v>80</v>
      </c>
      <c r="D777">
        <v>79.915977478000002</v>
      </c>
      <c r="E777">
        <v>50</v>
      </c>
      <c r="F777">
        <v>38.281463623</v>
      </c>
      <c r="G777">
        <v>1366.1688231999999</v>
      </c>
      <c r="H777">
        <v>1356.4710693</v>
      </c>
      <c r="I777">
        <v>1296.9200439000001</v>
      </c>
      <c r="J777">
        <v>1280.9660644999999</v>
      </c>
      <c r="K777">
        <v>1650</v>
      </c>
      <c r="L777">
        <v>0</v>
      </c>
      <c r="M777">
        <v>0</v>
      </c>
      <c r="N777">
        <v>1650</v>
      </c>
    </row>
    <row r="778" spans="1:14" x14ac:dyDescent="0.25">
      <c r="A778">
        <v>497.49784699999998</v>
      </c>
      <c r="B778" s="1">
        <f>DATE(2011,9,10) + TIME(11,56,54)</f>
        <v>40796.497847222221</v>
      </c>
      <c r="C778">
        <v>80</v>
      </c>
      <c r="D778">
        <v>79.916084290000001</v>
      </c>
      <c r="E778">
        <v>50</v>
      </c>
      <c r="F778">
        <v>38.168796538999999</v>
      </c>
      <c r="G778">
        <v>1366.1190185999999</v>
      </c>
      <c r="H778">
        <v>1356.4277344</v>
      </c>
      <c r="I778">
        <v>1296.8433838000001</v>
      </c>
      <c r="J778">
        <v>1280.8167725000001</v>
      </c>
      <c r="K778">
        <v>1650</v>
      </c>
      <c r="L778">
        <v>0</v>
      </c>
      <c r="M778">
        <v>0</v>
      </c>
      <c r="N778">
        <v>1650</v>
      </c>
    </row>
    <row r="779" spans="1:14" x14ac:dyDescent="0.25">
      <c r="A779">
        <v>499.45990599999999</v>
      </c>
      <c r="B779" s="1">
        <f>DATE(2011,9,12) + TIME(11,2,15)</f>
        <v>40798.45989583333</v>
      </c>
      <c r="C779">
        <v>80</v>
      </c>
      <c r="D779">
        <v>79.916191100999995</v>
      </c>
      <c r="E779">
        <v>50</v>
      </c>
      <c r="F779">
        <v>38.064159392999997</v>
      </c>
      <c r="G779">
        <v>1366.0690918</v>
      </c>
      <c r="H779">
        <v>1356.3841553</v>
      </c>
      <c r="I779">
        <v>1296.7691649999999</v>
      </c>
      <c r="J779">
        <v>1280.6708983999999</v>
      </c>
      <c r="K779">
        <v>1650</v>
      </c>
      <c r="L779">
        <v>0</v>
      </c>
      <c r="M779">
        <v>0</v>
      </c>
      <c r="N779">
        <v>1650</v>
      </c>
    </row>
    <row r="780" spans="1:14" x14ac:dyDescent="0.25">
      <c r="A780">
        <v>501.45573400000001</v>
      </c>
      <c r="B780" s="1">
        <f>DATE(2011,9,14) + TIME(10,56,15)</f>
        <v>40800.455729166664</v>
      </c>
      <c r="C780">
        <v>80</v>
      </c>
      <c r="D780">
        <v>79.916297912999994</v>
      </c>
      <c r="E780">
        <v>50</v>
      </c>
      <c r="F780">
        <v>37.968582153</v>
      </c>
      <c r="G780">
        <v>1366.0185547000001</v>
      </c>
      <c r="H780">
        <v>1356.3399658000001</v>
      </c>
      <c r="I780">
        <v>1296.6970214999999</v>
      </c>
      <c r="J780">
        <v>1280.5281981999999</v>
      </c>
      <c r="K780">
        <v>1650</v>
      </c>
      <c r="L780">
        <v>0</v>
      </c>
      <c r="M780">
        <v>0</v>
      </c>
      <c r="N780">
        <v>1650</v>
      </c>
    </row>
    <row r="781" spans="1:14" x14ac:dyDescent="0.25">
      <c r="A781">
        <v>503.47175499999997</v>
      </c>
      <c r="B781" s="1">
        <f>DATE(2011,9,16) + TIME(11,19,19)</f>
        <v>40802.471747685187</v>
      </c>
      <c r="C781">
        <v>80</v>
      </c>
      <c r="D781">
        <v>79.916412354000002</v>
      </c>
      <c r="E781">
        <v>50</v>
      </c>
      <c r="F781">
        <v>37.883583068999997</v>
      </c>
      <c r="G781">
        <v>1365.9674072</v>
      </c>
      <c r="H781">
        <v>1356.2951660000001</v>
      </c>
      <c r="I781">
        <v>1296.6274414</v>
      </c>
      <c r="J781">
        <v>1280.3896483999999</v>
      </c>
      <c r="K781">
        <v>1650</v>
      </c>
      <c r="L781">
        <v>0</v>
      </c>
      <c r="M781">
        <v>0</v>
      </c>
      <c r="N781">
        <v>1650</v>
      </c>
    </row>
    <row r="782" spans="1:14" x14ac:dyDescent="0.25">
      <c r="A782">
        <v>505.51478700000001</v>
      </c>
      <c r="B782" s="1">
        <f>DATE(2011,9,18) + TIME(12,21,17)</f>
        <v>40804.514780092592</v>
      </c>
      <c r="C782">
        <v>80</v>
      </c>
      <c r="D782">
        <v>79.916526794000006</v>
      </c>
      <c r="E782">
        <v>50</v>
      </c>
      <c r="F782">
        <v>37.810562134000001</v>
      </c>
      <c r="G782">
        <v>1365.9161377</v>
      </c>
      <c r="H782">
        <v>1356.2501221</v>
      </c>
      <c r="I782">
        <v>1296.5609131000001</v>
      </c>
      <c r="J782">
        <v>1280.2563477000001</v>
      </c>
      <c r="K782">
        <v>1650</v>
      </c>
      <c r="L782">
        <v>0</v>
      </c>
      <c r="M782">
        <v>0</v>
      </c>
      <c r="N782">
        <v>1650</v>
      </c>
    </row>
    <row r="783" spans="1:14" x14ac:dyDescent="0.25">
      <c r="A783">
        <v>506.54071800000003</v>
      </c>
      <c r="B783" s="1">
        <f>DATE(2011,9,19) + TIME(12,58,38)</f>
        <v>40805.540717592594</v>
      </c>
      <c r="C783">
        <v>80</v>
      </c>
      <c r="D783">
        <v>79.916564941000004</v>
      </c>
      <c r="E783">
        <v>50</v>
      </c>
      <c r="F783">
        <v>37.767314911</v>
      </c>
      <c r="G783">
        <v>1365.8642577999999</v>
      </c>
      <c r="H783">
        <v>1356.2044678</v>
      </c>
      <c r="I783">
        <v>1296.5040283000001</v>
      </c>
      <c r="J783">
        <v>1280.1448975000001</v>
      </c>
      <c r="K783">
        <v>1650</v>
      </c>
      <c r="L783">
        <v>0</v>
      </c>
      <c r="M783">
        <v>0</v>
      </c>
      <c r="N783">
        <v>1650</v>
      </c>
    </row>
    <row r="784" spans="1:14" x14ac:dyDescent="0.25">
      <c r="A784">
        <v>507.56664899999998</v>
      </c>
      <c r="B784" s="1">
        <f>DATE(2011,9,20) + TIME(13,35,58)</f>
        <v>40806.566643518519</v>
      </c>
      <c r="C784">
        <v>80</v>
      </c>
      <c r="D784">
        <v>79.916618346999996</v>
      </c>
      <c r="E784">
        <v>50</v>
      </c>
      <c r="F784">
        <v>37.735515593999999</v>
      </c>
      <c r="G784">
        <v>1365.8382568</v>
      </c>
      <c r="H784">
        <v>1356.1815185999999</v>
      </c>
      <c r="I784">
        <v>1296.4698486</v>
      </c>
      <c r="J784">
        <v>1280.0743408000001</v>
      </c>
      <c r="K784">
        <v>1650</v>
      </c>
      <c r="L784">
        <v>0</v>
      </c>
      <c r="M784">
        <v>0</v>
      </c>
      <c r="N784">
        <v>1650</v>
      </c>
    </row>
    <row r="785" spans="1:14" x14ac:dyDescent="0.25">
      <c r="A785">
        <v>508.59258</v>
      </c>
      <c r="B785" s="1">
        <f>DATE(2011,9,21) + TIME(14,13,18)</f>
        <v>40807.592569444445</v>
      </c>
      <c r="C785">
        <v>80</v>
      </c>
      <c r="D785">
        <v>79.916671753000003</v>
      </c>
      <c r="E785">
        <v>50</v>
      </c>
      <c r="F785">
        <v>37.711814879999999</v>
      </c>
      <c r="G785">
        <v>1365.8125</v>
      </c>
      <c r="H785">
        <v>1356.1588135</v>
      </c>
      <c r="I785">
        <v>1296.4388428</v>
      </c>
      <c r="J785">
        <v>1280.0107422000001</v>
      </c>
      <c r="K785">
        <v>1650</v>
      </c>
      <c r="L785">
        <v>0</v>
      </c>
      <c r="M785">
        <v>0</v>
      </c>
      <c r="N785">
        <v>1650</v>
      </c>
    </row>
    <row r="786" spans="1:14" x14ac:dyDescent="0.25">
      <c r="A786">
        <v>509.61851100000001</v>
      </c>
      <c r="B786" s="1">
        <f>DATE(2011,9,22) + TIME(14,50,39)</f>
        <v>40808.618506944447</v>
      </c>
      <c r="C786">
        <v>80</v>
      </c>
      <c r="D786">
        <v>79.916725158999995</v>
      </c>
      <c r="E786">
        <v>50</v>
      </c>
      <c r="F786">
        <v>37.694419861</v>
      </c>
      <c r="G786">
        <v>1365.7868652</v>
      </c>
      <c r="H786">
        <v>1356.1361084</v>
      </c>
      <c r="I786">
        <v>1296.4101562000001</v>
      </c>
      <c r="J786">
        <v>1279.9519043</v>
      </c>
      <c r="K786">
        <v>1650</v>
      </c>
      <c r="L786">
        <v>0</v>
      </c>
      <c r="M786">
        <v>0</v>
      </c>
      <c r="N786">
        <v>1650</v>
      </c>
    </row>
    <row r="787" spans="1:14" x14ac:dyDescent="0.25">
      <c r="A787">
        <v>510.64444200000003</v>
      </c>
      <c r="B787" s="1">
        <f>DATE(2011,9,23) + TIME(15,27,59)</f>
        <v>40809.644432870373</v>
      </c>
      <c r="C787">
        <v>80</v>
      </c>
      <c r="D787">
        <v>79.916786193999997</v>
      </c>
      <c r="E787">
        <v>50</v>
      </c>
      <c r="F787">
        <v>37.682373046999999</v>
      </c>
      <c r="G787">
        <v>1365.7612305</v>
      </c>
      <c r="H787">
        <v>1356.1135254000001</v>
      </c>
      <c r="I787">
        <v>1296.3830565999999</v>
      </c>
      <c r="J787">
        <v>1279.8966064000001</v>
      </c>
      <c r="K787">
        <v>1650</v>
      </c>
      <c r="L787">
        <v>0</v>
      </c>
      <c r="M787">
        <v>0</v>
      </c>
      <c r="N787">
        <v>1650</v>
      </c>
    </row>
    <row r="788" spans="1:14" x14ac:dyDescent="0.25">
      <c r="A788">
        <v>512.69630500000005</v>
      </c>
      <c r="B788" s="1">
        <f>DATE(2011,9,25) + TIME(16,42,40)</f>
        <v>40811.696296296293</v>
      </c>
      <c r="C788">
        <v>80</v>
      </c>
      <c r="D788">
        <v>79.916915893999999</v>
      </c>
      <c r="E788">
        <v>50</v>
      </c>
      <c r="F788">
        <v>37.672443389999998</v>
      </c>
      <c r="G788">
        <v>1365.7360839999999</v>
      </c>
      <c r="H788">
        <v>1356.0911865</v>
      </c>
      <c r="I788">
        <v>1296.3524170000001</v>
      </c>
      <c r="J788">
        <v>1279.8347168</v>
      </c>
      <c r="K788">
        <v>1650</v>
      </c>
      <c r="L788">
        <v>0</v>
      </c>
      <c r="M788">
        <v>0</v>
      </c>
      <c r="N788">
        <v>1650</v>
      </c>
    </row>
    <row r="789" spans="1:14" x14ac:dyDescent="0.25">
      <c r="A789">
        <v>514.75189699999999</v>
      </c>
      <c r="B789" s="1">
        <f>DATE(2011,9,27) + TIME(18,2,43)</f>
        <v>40813.751886574071</v>
      </c>
      <c r="C789">
        <v>80</v>
      </c>
      <c r="D789">
        <v>79.917037964000002</v>
      </c>
      <c r="E789">
        <v>50</v>
      </c>
      <c r="F789">
        <v>37.672653197999999</v>
      </c>
      <c r="G789">
        <v>1365.6854248</v>
      </c>
      <c r="H789">
        <v>1356.0465088000001</v>
      </c>
      <c r="I789">
        <v>1296.3087158000001</v>
      </c>
      <c r="J789">
        <v>1279.7452393000001</v>
      </c>
      <c r="K789">
        <v>1650</v>
      </c>
      <c r="L789">
        <v>0</v>
      </c>
      <c r="M789">
        <v>0</v>
      </c>
      <c r="N789">
        <v>1650</v>
      </c>
    </row>
    <row r="790" spans="1:14" x14ac:dyDescent="0.25">
      <c r="A790">
        <v>516.83210799999995</v>
      </c>
      <c r="B790" s="1">
        <f>DATE(2011,9,29) + TIME(19,58,14)</f>
        <v>40815.832106481481</v>
      </c>
      <c r="C790">
        <v>80</v>
      </c>
      <c r="D790">
        <v>79.917160034000005</v>
      </c>
      <c r="E790">
        <v>50</v>
      </c>
      <c r="F790">
        <v>37.687694550000003</v>
      </c>
      <c r="G790">
        <v>1365.6350098</v>
      </c>
      <c r="H790">
        <v>1356.0018310999999</v>
      </c>
      <c r="I790">
        <v>1296.2662353999999</v>
      </c>
      <c r="J790">
        <v>1279.6585693</v>
      </c>
      <c r="K790">
        <v>1650</v>
      </c>
      <c r="L790">
        <v>0</v>
      </c>
      <c r="M790">
        <v>0</v>
      </c>
      <c r="N790">
        <v>1650</v>
      </c>
    </row>
    <row r="791" spans="1:14" x14ac:dyDescent="0.25">
      <c r="A791">
        <v>518</v>
      </c>
      <c r="B791" s="1">
        <f>DATE(2011,10,1) + TIME(0,0,0)</f>
        <v>40817</v>
      </c>
      <c r="C791">
        <v>80</v>
      </c>
      <c r="D791">
        <v>79.917205811000002</v>
      </c>
      <c r="E791">
        <v>50</v>
      </c>
      <c r="F791">
        <v>37.712539673000002</v>
      </c>
      <c r="G791">
        <v>1365.5842285000001</v>
      </c>
      <c r="H791">
        <v>1355.9566649999999</v>
      </c>
      <c r="I791">
        <v>1296.2331543</v>
      </c>
      <c r="J791">
        <v>1279.5872803</v>
      </c>
      <c r="K791">
        <v>1650</v>
      </c>
      <c r="L791">
        <v>0</v>
      </c>
      <c r="M791">
        <v>0</v>
      </c>
      <c r="N791">
        <v>1650</v>
      </c>
    </row>
    <row r="792" spans="1:14" x14ac:dyDescent="0.25">
      <c r="A792">
        <v>520.11026000000004</v>
      </c>
      <c r="B792" s="1">
        <f>DATE(2011,10,3) + TIME(2,38,46)</f>
        <v>40819.110254629632</v>
      </c>
      <c r="C792">
        <v>80</v>
      </c>
      <c r="D792">
        <v>79.917335510000001</v>
      </c>
      <c r="E792">
        <v>50</v>
      </c>
      <c r="F792">
        <v>37.749969481999997</v>
      </c>
      <c r="G792">
        <v>1365.5559082</v>
      </c>
      <c r="H792">
        <v>1355.9315185999999</v>
      </c>
      <c r="I792">
        <v>1296.203125</v>
      </c>
      <c r="J792">
        <v>1279.5332031</v>
      </c>
      <c r="K792">
        <v>1650</v>
      </c>
      <c r="L792">
        <v>0</v>
      </c>
      <c r="M792">
        <v>0</v>
      </c>
      <c r="N792">
        <v>1650</v>
      </c>
    </row>
    <row r="793" spans="1:14" x14ac:dyDescent="0.25">
      <c r="A793">
        <v>522.27954699999998</v>
      </c>
      <c r="B793" s="1">
        <f>DATE(2011,10,5) + TIME(6,42,32)</f>
        <v>40821.279537037037</v>
      </c>
      <c r="C793">
        <v>80</v>
      </c>
      <c r="D793">
        <v>79.917465210000003</v>
      </c>
      <c r="E793">
        <v>50</v>
      </c>
      <c r="F793">
        <v>37.809005737</v>
      </c>
      <c r="G793">
        <v>1365.5051269999999</v>
      </c>
      <c r="H793">
        <v>1355.8864745999999</v>
      </c>
      <c r="I793">
        <v>1296.1708983999999</v>
      </c>
      <c r="J793">
        <v>1279.4680175999999</v>
      </c>
      <c r="K793">
        <v>1650</v>
      </c>
      <c r="L793">
        <v>0</v>
      </c>
      <c r="M793">
        <v>0</v>
      </c>
      <c r="N793">
        <v>1650</v>
      </c>
    </row>
    <row r="794" spans="1:14" x14ac:dyDescent="0.25">
      <c r="A794">
        <v>524.47658799999999</v>
      </c>
      <c r="B794" s="1">
        <f>DATE(2011,10,7) + TIME(11,26,17)</f>
        <v>40823.476585648146</v>
      </c>
      <c r="C794">
        <v>80</v>
      </c>
      <c r="D794">
        <v>79.917587280000006</v>
      </c>
      <c r="E794">
        <v>50</v>
      </c>
      <c r="F794">
        <v>37.888866425000003</v>
      </c>
      <c r="G794">
        <v>1365.4533690999999</v>
      </c>
      <c r="H794">
        <v>1355.840332</v>
      </c>
      <c r="I794">
        <v>1296.1412353999999</v>
      </c>
      <c r="J794">
        <v>1279.4091797000001</v>
      </c>
      <c r="K794">
        <v>1650</v>
      </c>
      <c r="L794">
        <v>0</v>
      </c>
      <c r="M794">
        <v>0</v>
      </c>
      <c r="N794">
        <v>1650</v>
      </c>
    </row>
    <row r="795" spans="1:14" x14ac:dyDescent="0.25">
      <c r="A795">
        <v>526.70836399999996</v>
      </c>
      <c r="B795" s="1">
        <f>DATE(2011,10,9) + TIME(17,0,2)</f>
        <v>40825.708356481482</v>
      </c>
      <c r="C795">
        <v>80</v>
      </c>
      <c r="D795">
        <v>79.917716979999994</v>
      </c>
      <c r="E795">
        <v>50</v>
      </c>
      <c r="F795">
        <v>37.989086151000002</v>
      </c>
      <c r="G795">
        <v>1365.4013672000001</v>
      </c>
      <c r="H795">
        <v>1355.7939452999999</v>
      </c>
      <c r="I795">
        <v>1296.1148682</v>
      </c>
      <c r="J795">
        <v>1279.3586425999999</v>
      </c>
      <c r="K795">
        <v>1650</v>
      </c>
      <c r="L795">
        <v>0</v>
      </c>
      <c r="M795">
        <v>0</v>
      </c>
      <c r="N795">
        <v>1650</v>
      </c>
    </row>
    <row r="796" spans="1:14" x14ac:dyDescent="0.25">
      <c r="A796">
        <v>528.95903799999996</v>
      </c>
      <c r="B796" s="1">
        <f>DATE(2011,10,11) + TIME(23,1,0)</f>
        <v>40827.959027777775</v>
      </c>
      <c r="C796">
        <v>80</v>
      </c>
      <c r="D796">
        <v>79.917839049999998</v>
      </c>
      <c r="E796">
        <v>50</v>
      </c>
      <c r="F796">
        <v>38.109241486000002</v>
      </c>
      <c r="G796">
        <v>1365.3491211</v>
      </c>
      <c r="H796">
        <v>1355.7473144999999</v>
      </c>
      <c r="I796">
        <v>1296.0925293</v>
      </c>
      <c r="J796">
        <v>1279.3172606999999</v>
      </c>
      <c r="K796">
        <v>1650</v>
      </c>
      <c r="L796">
        <v>0</v>
      </c>
      <c r="M796">
        <v>0</v>
      </c>
      <c r="N796">
        <v>1650</v>
      </c>
    </row>
    <row r="797" spans="1:14" x14ac:dyDescent="0.25">
      <c r="A797">
        <v>531.22458700000004</v>
      </c>
      <c r="B797" s="1">
        <f>DATE(2011,10,14) + TIME(5,23,24)</f>
        <v>40830.224583333336</v>
      </c>
      <c r="C797">
        <v>80</v>
      </c>
      <c r="D797">
        <v>79.91796875</v>
      </c>
      <c r="E797">
        <v>50</v>
      </c>
      <c r="F797">
        <v>38.248386383000003</v>
      </c>
      <c r="G797">
        <v>1365.296875</v>
      </c>
      <c r="H797">
        <v>1355.7006836</v>
      </c>
      <c r="I797">
        <v>1296.0743408000001</v>
      </c>
      <c r="J797">
        <v>1279.2854004000001</v>
      </c>
      <c r="K797">
        <v>1650</v>
      </c>
      <c r="L797">
        <v>0</v>
      </c>
      <c r="M797">
        <v>0</v>
      </c>
      <c r="N797">
        <v>1650</v>
      </c>
    </row>
    <row r="798" spans="1:14" x14ac:dyDescent="0.25">
      <c r="A798">
        <v>533.51288</v>
      </c>
      <c r="B798" s="1">
        <f>DATE(2011,10,16) + TIME(12,18,32)</f>
        <v>40832.512870370374</v>
      </c>
      <c r="C798">
        <v>80</v>
      </c>
      <c r="D798">
        <v>79.918098450000002</v>
      </c>
      <c r="E798">
        <v>50</v>
      </c>
      <c r="F798">
        <v>38.405590056999998</v>
      </c>
      <c r="G798">
        <v>1365.2448730000001</v>
      </c>
      <c r="H798">
        <v>1355.6541748</v>
      </c>
      <c r="I798">
        <v>1296.0600586</v>
      </c>
      <c r="J798">
        <v>1279.2628173999999</v>
      </c>
      <c r="K798">
        <v>1650</v>
      </c>
      <c r="L798">
        <v>0</v>
      </c>
      <c r="M798">
        <v>0</v>
      </c>
      <c r="N798">
        <v>1650</v>
      </c>
    </row>
    <row r="799" spans="1:14" x14ac:dyDescent="0.25">
      <c r="A799">
        <v>535.83706900000004</v>
      </c>
      <c r="B799" s="1">
        <f>DATE(2011,10,18) + TIME(20,5,22)</f>
        <v>40834.837060185186</v>
      </c>
      <c r="C799">
        <v>80</v>
      </c>
      <c r="D799">
        <v>79.918228149000001</v>
      </c>
      <c r="E799">
        <v>50</v>
      </c>
      <c r="F799">
        <v>38.580333709999998</v>
      </c>
      <c r="G799">
        <v>1365.1929932</v>
      </c>
      <c r="H799">
        <v>1355.6077881000001</v>
      </c>
      <c r="I799">
        <v>1296.0496826000001</v>
      </c>
      <c r="J799">
        <v>1279.2495117000001</v>
      </c>
      <c r="K799">
        <v>1650</v>
      </c>
      <c r="L799">
        <v>0</v>
      </c>
      <c r="M799">
        <v>0</v>
      </c>
      <c r="N799">
        <v>1650</v>
      </c>
    </row>
    <row r="800" spans="1:14" x14ac:dyDescent="0.25">
      <c r="A800">
        <v>538.18082000000004</v>
      </c>
      <c r="B800" s="1">
        <f>DATE(2011,10,21) + TIME(4,20,22)</f>
        <v>40837.180810185186</v>
      </c>
      <c r="C800">
        <v>80</v>
      </c>
      <c r="D800">
        <v>79.918357849000003</v>
      </c>
      <c r="E800">
        <v>50</v>
      </c>
      <c r="F800">
        <v>38.771572112999998</v>
      </c>
      <c r="G800">
        <v>1365.1408690999999</v>
      </c>
      <c r="H800">
        <v>1355.5611572</v>
      </c>
      <c r="I800">
        <v>1296.043457</v>
      </c>
      <c r="J800">
        <v>1279.2449951000001</v>
      </c>
      <c r="K800">
        <v>1650</v>
      </c>
      <c r="L800">
        <v>0</v>
      </c>
      <c r="M800">
        <v>0</v>
      </c>
      <c r="N800">
        <v>1650</v>
      </c>
    </row>
    <row r="801" spans="1:14" x14ac:dyDescent="0.25">
      <c r="A801">
        <v>540.54529600000001</v>
      </c>
      <c r="B801" s="1">
        <f>DATE(2011,10,23) + TIME(13,5,13)</f>
        <v>40839.545289351852</v>
      </c>
      <c r="C801">
        <v>80</v>
      </c>
      <c r="D801">
        <v>79.918495178000001</v>
      </c>
      <c r="E801">
        <v>50</v>
      </c>
      <c r="F801">
        <v>38.977519989000001</v>
      </c>
      <c r="G801">
        <v>1365.0891113</v>
      </c>
      <c r="H801">
        <v>1355.5147704999999</v>
      </c>
      <c r="I801">
        <v>1296.0408935999999</v>
      </c>
      <c r="J801">
        <v>1279.2491454999999</v>
      </c>
      <c r="K801">
        <v>1650</v>
      </c>
      <c r="L801">
        <v>0</v>
      </c>
      <c r="M801">
        <v>0</v>
      </c>
      <c r="N801">
        <v>1650</v>
      </c>
    </row>
    <row r="802" spans="1:14" x14ac:dyDescent="0.25">
      <c r="A802">
        <v>542.93097799999998</v>
      </c>
      <c r="B802" s="1">
        <f>DATE(2011,10,25) + TIME(22,20,36)</f>
        <v>40841.930972222224</v>
      </c>
      <c r="C802">
        <v>80</v>
      </c>
      <c r="D802">
        <v>79.918624878000003</v>
      </c>
      <c r="E802">
        <v>50</v>
      </c>
      <c r="F802">
        <v>39.196540833</v>
      </c>
      <c r="G802">
        <v>1365.0374756000001</v>
      </c>
      <c r="H802">
        <v>1355.4685059000001</v>
      </c>
      <c r="I802">
        <v>1296.0419922000001</v>
      </c>
      <c r="J802">
        <v>1279.2613524999999</v>
      </c>
      <c r="K802">
        <v>1650</v>
      </c>
      <c r="L802">
        <v>0</v>
      </c>
      <c r="M802">
        <v>0</v>
      </c>
      <c r="N802">
        <v>1650</v>
      </c>
    </row>
    <row r="803" spans="1:14" x14ac:dyDescent="0.25">
      <c r="A803">
        <v>545.32870600000001</v>
      </c>
      <c r="B803" s="1">
        <f>DATE(2011,10,28) + TIME(7,53,20)</f>
        <v>40844.328703703701</v>
      </c>
      <c r="C803">
        <v>80</v>
      </c>
      <c r="D803">
        <v>79.918762207</v>
      </c>
      <c r="E803">
        <v>50</v>
      </c>
      <c r="F803">
        <v>39.426666259999998</v>
      </c>
      <c r="G803">
        <v>1364.9862060999999</v>
      </c>
      <c r="H803">
        <v>1355.4226074000001</v>
      </c>
      <c r="I803">
        <v>1296.0467529</v>
      </c>
      <c r="J803">
        <v>1279.2813721</v>
      </c>
      <c r="K803">
        <v>1650</v>
      </c>
      <c r="L803">
        <v>0</v>
      </c>
      <c r="M803">
        <v>0</v>
      </c>
      <c r="N803">
        <v>1650</v>
      </c>
    </row>
    <row r="804" spans="1:14" x14ac:dyDescent="0.25">
      <c r="A804">
        <v>547.75706000000002</v>
      </c>
      <c r="B804" s="1">
        <f>DATE(2011,10,30) + TIME(18,10,9)</f>
        <v>40846.757048611114</v>
      </c>
      <c r="C804">
        <v>80</v>
      </c>
      <c r="D804">
        <v>79.918891907000003</v>
      </c>
      <c r="E804">
        <v>50</v>
      </c>
      <c r="F804">
        <v>39.666324615000001</v>
      </c>
      <c r="G804">
        <v>1364.9355469</v>
      </c>
      <c r="H804">
        <v>1355.3770752</v>
      </c>
      <c r="I804">
        <v>1296.0546875</v>
      </c>
      <c r="J804">
        <v>1279.3083495999999</v>
      </c>
      <c r="K804">
        <v>1650</v>
      </c>
      <c r="L804">
        <v>0</v>
      </c>
      <c r="M804">
        <v>0</v>
      </c>
      <c r="N804">
        <v>1650</v>
      </c>
    </row>
    <row r="805" spans="1:14" x14ac:dyDescent="0.25">
      <c r="A805">
        <v>549</v>
      </c>
      <c r="B805" s="1">
        <f>DATE(2011,11,1) + TIME(0,0,0)</f>
        <v>40848</v>
      </c>
      <c r="C805">
        <v>80</v>
      </c>
      <c r="D805">
        <v>79.918952942000004</v>
      </c>
      <c r="E805">
        <v>50</v>
      </c>
      <c r="F805">
        <v>39.855571746999999</v>
      </c>
      <c r="G805">
        <v>1364.8850098</v>
      </c>
      <c r="H805">
        <v>1355.3317870999999</v>
      </c>
      <c r="I805">
        <v>1296.0753173999999</v>
      </c>
      <c r="J805">
        <v>1279.3399658000001</v>
      </c>
      <c r="K805">
        <v>1650</v>
      </c>
      <c r="L805">
        <v>0</v>
      </c>
      <c r="M805">
        <v>0</v>
      </c>
      <c r="N805">
        <v>1650</v>
      </c>
    </row>
    <row r="806" spans="1:14" x14ac:dyDescent="0.25">
      <c r="A806">
        <v>549.000001</v>
      </c>
      <c r="B806" s="1">
        <f>DATE(2011,11,1) + TIME(0,0,0)</f>
        <v>40848</v>
      </c>
      <c r="C806">
        <v>80</v>
      </c>
      <c r="D806">
        <v>79.918869018999999</v>
      </c>
      <c r="E806">
        <v>50</v>
      </c>
      <c r="F806">
        <v>39.855655669999997</v>
      </c>
      <c r="G806">
        <v>1354.7326660000001</v>
      </c>
      <c r="H806">
        <v>1346.8804932</v>
      </c>
      <c r="I806">
        <v>1313.5101318</v>
      </c>
      <c r="J806">
        <v>1296.7196045000001</v>
      </c>
      <c r="K806">
        <v>0</v>
      </c>
      <c r="L806">
        <v>1650</v>
      </c>
      <c r="M806">
        <v>1650</v>
      </c>
      <c r="N806">
        <v>0</v>
      </c>
    </row>
    <row r="807" spans="1:14" x14ac:dyDescent="0.25">
      <c r="A807">
        <v>549.00000399999999</v>
      </c>
      <c r="B807" s="1">
        <f>DATE(2011,11,1) + TIME(0,0,0)</f>
        <v>40848</v>
      </c>
      <c r="C807">
        <v>80</v>
      </c>
      <c r="D807">
        <v>79.918647766000007</v>
      </c>
      <c r="E807">
        <v>50</v>
      </c>
      <c r="F807">
        <v>39.855892181000002</v>
      </c>
      <c r="G807">
        <v>1353.21875</v>
      </c>
      <c r="H807">
        <v>1345.3658447</v>
      </c>
      <c r="I807">
        <v>1315.1739502</v>
      </c>
      <c r="J807">
        <v>1298.4689940999999</v>
      </c>
      <c r="K807">
        <v>0</v>
      </c>
      <c r="L807">
        <v>1650</v>
      </c>
      <c r="M807">
        <v>1650</v>
      </c>
      <c r="N807">
        <v>0</v>
      </c>
    </row>
    <row r="808" spans="1:14" x14ac:dyDescent="0.25">
      <c r="A808">
        <v>549.00001299999997</v>
      </c>
      <c r="B808" s="1">
        <f>DATE(2011,11,1) + TIME(0,0,1)</f>
        <v>40848.000011574077</v>
      </c>
      <c r="C808">
        <v>80</v>
      </c>
      <c r="D808">
        <v>79.918212890999996</v>
      </c>
      <c r="E808">
        <v>50</v>
      </c>
      <c r="F808">
        <v>39.856464385999999</v>
      </c>
      <c r="G808">
        <v>1350.1621094</v>
      </c>
      <c r="H808">
        <v>1342.3085937999999</v>
      </c>
      <c r="I808">
        <v>1319.1026611</v>
      </c>
      <c r="J808">
        <v>1302.5489502</v>
      </c>
      <c r="K808">
        <v>0</v>
      </c>
      <c r="L808">
        <v>1650</v>
      </c>
      <c r="M808">
        <v>1650</v>
      </c>
      <c r="N808">
        <v>0</v>
      </c>
    </row>
    <row r="809" spans="1:14" x14ac:dyDescent="0.25">
      <c r="A809">
        <v>549.00004000000001</v>
      </c>
      <c r="B809" s="1">
        <f>DATE(2011,11,1) + TIME(0,0,3)</f>
        <v>40848.000034722223</v>
      </c>
      <c r="C809">
        <v>80</v>
      </c>
      <c r="D809">
        <v>79.917579650999997</v>
      </c>
      <c r="E809">
        <v>50</v>
      </c>
      <c r="F809">
        <v>39.857555388999998</v>
      </c>
      <c r="G809">
        <v>1345.6942139</v>
      </c>
      <c r="H809">
        <v>1337.8430175999999</v>
      </c>
      <c r="I809">
        <v>1326.1624756000001</v>
      </c>
      <c r="J809">
        <v>1309.722168</v>
      </c>
      <c r="K809">
        <v>0</v>
      </c>
      <c r="L809">
        <v>1650</v>
      </c>
      <c r="M809">
        <v>1650</v>
      </c>
      <c r="N809">
        <v>0</v>
      </c>
    </row>
    <row r="810" spans="1:14" x14ac:dyDescent="0.25">
      <c r="A810">
        <v>549.00012100000004</v>
      </c>
      <c r="B810" s="1">
        <f>DATE(2011,11,1) + TIME(0,0,10)</f>
        <v>40848.000115740739</v>
      </c>
      <c r="C810">
        <v>80</v>
      </c>
      <c r="D810">
        <v>79.916854857999994</v>
      </c>
      <c r="E810">
        <v>50</v>
      </c>
      <c r="F810">
        <v>39.859359740999999</v>
      </c>
      <c r="G810">
        <v>1340.7185059000001</v>
      </c>
      <c r="H810">
        <v>1332.8732910000001</v>
      </c>
      <c r="I810">
        <v>1335.3803711</v>
      </c>
      <c r="J810">
        <v>1318.9530029</v>
      </c>
      <c r="K810">
        <v>0</v>
      </c>
      <c r="L810">
        <v>1650</v>
      </c>
      <c r="M810">
        <v>1650</v>
      </c>
      <c r="N810">
        <v>0</v>
      </c>
    </row>
    <row r="811" spans="1:14" x14ac:dyDescent="0.25">
      <c r="A811">
        <v>549.00036399999999</v>
      </c>
      <c r="B811" s="1">
        <f>DATE(2011,11,1) + TIME(0,0,31)</f>
        <v>40848.000358796293</v>
      </c>
      <c r="C811">
        <v>80</v>
      </c>
      <c r="D811">
        <v>79.916076660000002</v>
      </c>
      <c r="E811">
        <v>50</v>
      </c>
      <c r="F811">
        <v>39.862628936999997</v>
      </c>
      <c r="G811">
        <v>1335.7027588000001</v>
      </c>
      <c r="H811">
        <v>1327.8596190999999</v>
      </c>
      <c r="I811">
        <v>1345.2303466999999</v>
      </c>
      <c r="J811">
        <v>1328.7951660000001</v>
      </c>
      <c r="K811">
        <v>0</v>
      </c>
      <c r="L811">
        <v>1650</v>
      </c>
      <c r="M811">
        <v>1650</v>
      </c>
      <c r="N811">
        <v>0</v>
      </c>
    </row>
    <row r="812" spans="1:14" x14ac:dyDescent="0.25">
      <c r="A812">
        <v>549.00109299999997</v>
      </c>
      <c r="B812" s="1">
        <f>DATE(2011,11,1) + TIME(0,1,34)</f>
        <v>40848.001087962963</v>
      </c>
      <c r="C812">
        <v>80</v>
      </c>
      <c r="D812">
        <v>79.915168761999993</v>
      </c>
      <c r="E812">
        <v>50</v>
      </c>
      <c r="F812">
        <v>39.870098114000001</v>
      </c>
      <c r="G812">
        <v>1330.5794678</v>
      </c>
      <c r="H812">
        <v>1322.6877440999999</v>
      </c>
      <c r="I812">
        <v>1355.3161620999999</v>
      </c>
      <c r="J812">
        <v>1338.8754882999999</v>
      </c>
      <c r="K812">
        <v>0</v>
      </c>
      <c r="L812">
        <v>1650</v>
      </c>
      <c r="M812">
        <v>1650</v>
      </c>
      <c r="N812">
        <v>0</v>
      </c>
    </row>
    <row r="813" spans="1:14" x14ac:dyDescent="0.25">
      <c r="A813">
        <v>549.00328000000002</v>
      </c>
      <c r="B813" s="1">
        <f>DATE(2011,11,1) + TIME(0,4,43)</f>
        <v>40848.003275462965</v>
      </c>
      <c r="C813">
        <v>80</v>
      </c>
      <c r="D813">
        <v>79.913825989000003</v>
      </c>
      <c r="E813">
        <v>50</v>
      </c>
      <c r="F813">
        <v>39.890113831000001</v>
      </c>
      <c r="G813">
        <v>1325.1402588000001</v>
      </c>
      <c r="H813">
        <v>1317.1112060999999</v>
      </c>
      <c r="I813">
        <v>1365.3916016000001</v>
      </c>
      <c r="J813">
        <v>1348.9036865</v>
      </c>
      <c r="K813">
        <v>0</v>
      </c>
      <c r="L813">
        <v>1650</v>
      </c>
      <c r="M813">
        <v>1650</v>
      </c>
      <c r="N813">
        <v>0</v>
      </c>
    </row>
    <row r="814" spans="1:14" x14ac:dyDescent="0.25">
      <c r="A814">
        <v>549.00984100000005</v>
      </c>
      <c r="B814" s="1">
        <f>DATE(2011,11,1) + TIME(0,14,10)</f>
        <v>40848.009837962964</v>
      </c>
      <c r="C814">
        <v>80</v>
      </c>
      <c r="D814">
        <v>79.911346436000002</v>
      </c>
      <c r="E814">
        <v>50</v>
      </c>
      <c r="F814">
        <v>39.947624206999997</v>
      </c>
      <c r="G814">
        <v>1319.7437743999999</v>
      </c>
      <c r="H814">
        <v>1311.5849608999999</v>
      </c>
      <c r="I814">
        <v>1374.1278076000001</v>
      </c>
      <c r="J814">
        <v>1357.550293</v>
      </c>
      <c r="K814">
        <v>0</v>
      </c>
      <c r="L814">
        <v>1650</v>
      </c>
      <c r="M814">
        <v>1650</v>
      </c>
      <c r="N814">
        <v>0</v>
      </c>
    </row>
    <row r="815" spans="1:14" x14ac:dyDescent="0.25">
      <c r="A815">
        <v>549.02952400000004</v>
      </c>
      <c r="B815" s="1">
        <f>DATE(2011,11,1) + TIME(0,42,30)</f>
        <v>40848.029513888891</v>
      </c>
      <c r="C815">
        <v>80</v>
      </c>
      <c r="D815">
        <v>79.905639648000005</v>
      </c>
      <c r="E815">
        <v>50</v>
      </c>
      <c r="F815">
        <v>40.115852355999998</v>
      </c>
      <c r="G815">
        <v>1315.5593262</v>
      </c>
      <c r="H815">
        <v>1307.3483887</v>
      </c>
      <c r="I815">
        <v>1379.6677245999999</v>
      </c>
      <c r="J815">
        <v>1363.0458983999999</v>
      </c>
      <c r="K815">
        <v>0</v>
      </c>
      <c r="L815">
        <v>1650</v>
      </c>
      <c r="M815">
        <v>1650</v>
      </c>
      <c r="N815">
        <v>0</v>
      </c>
    </row>
    <row r="816" spans="1:14" x14ac:dyDescent="0.25">
      <c r="A816">
        <v>549.088573</v>
      </c>
      <c r="B816" s="1">
        <f>DATE(2011,11,1) + TIME(2,7,32)</f>
        <v>40848.088564814818</v>
      </c>
      <c r="C816">
        <v>80</v>
      </c>
      <c r="D816">
        <v>79.890518188000001</v>
      </c>
      <c r="E816">
        <v>50</v>
      </c>
      <c r="F816">
        <v>40.595439911</v>
      </c>
      <c r="G816">
        <v>1313.4045410000001</v>
      </c>
      <c r="H816">
        <v>1305.1810303</v>
      </c>
      <c r="I816">
        <v>1381.5329589999999</v>
      </c>
      <c r="J816">
        <v>1365.0209961</v>
      </c>
      <c r="K816">
        <v>0</v>
      </c>
      <c r="L816">
        <v>1650</v>
      </c>
      <c r="M816">
        <v>1650</v>
      </c>
      <c r="N816">
        <v>0</v>
      </c>
    </row>
    <row r="817" spans="1:14" x14ac:dyDescent="0.25">
      <c r="A817">
        <v>549.15628500000003</v>
      </c>
      <c r="B817" s="1">
        <f>DATE(2011,11,1) + TIME(3,45,3)</f>
        <v>40848.156284722223</v>
      </c>
      <c r="C817">
        <v>80</v>
      </c>
      <c r="D817">
        <v>79.873779296999999</v>
      </c>
      <c r="E817">
        <v>50</v>
      </c>
      <c r="F817">
        <v>41.115062713999997</v>
      </c>
      <c r="G817">
        <v>1312.8879394999999</v>
      </c>
      <c r="H817">
        <v>1304.6622314000001</v>
      </c>
      <c r="I817">
        <v>1381.5589600000001</v>
      </c>
      <c r="J817">
        <v>1365.1943358999999</v>
      </c>
      <c r="K817">
        <v>0</v>
      </c>
      <c r="L817">
        <v>1650</v>
      </c>
      <c r="M817">
        <v>1650</v>
      </c>
      <c r="N817">
        <v>0</v>
      </c>
    </row>
    <row r="818" spans="1:14" x14ac:dyDescent="0.25">
      <c r="A818">
        <v>549.22666300000003</v>
      </c>
      <c r="B818" s="1">
        <f>DATE(2011,11,1) + TIME(5,26,23)</f>
        <v>40848.226655092592</v>
      </c>
      <c r="C818">
        <v>80</v>
      </c>
      <c r="D818">
        <v>79.856735228999995</v>
      </c>
      <c r="E818">
        <v>50</v>
      </c>
      <c r="F818">
        <v>41.624298095999997</v>
      </c>
      <c r="G818">
        <v>1312.7540283000001</v>
      </c>
      <c r="H818">
        <v>1304.5275879000001</v>
      </c>
      <c r="I818">
        <v>1381.3206786999999</v>
      </c>
      <c r="J818">
        <v>1365.1026611</v>
      </c>
      <c r="K818">
        <v>0</v>
      </c>
      <c r="L818">
        <v>1650</v>
      </c>
      <c r="M818">
        <v>1650</v>
      </c>
      <c r="N818">
        <v>0</v>
      </c>
    </row>
    <row r="819" spans="1:14" x14ac:dyDescent="0.25">
      <c r="A819">
        <v>549.29990299999997</v>
      </c>
      <c r="B819" s="1">
        <f>DATE(2011,11,1) + TIME(7,11,51)</f>
        <v>40848.299895833334</v>
      </c>
      <c r="C819">
        <v>80</v>
      </c>
      <c r="D819">
        <v>79.839309692</v>
      </c>
      <c r="E819">
        <v>50</v>
      </c>
      <c r="F819">
        <v>42.122768401999998</v>
      </c>
      <c r="G819">
        <v>1312.7141113</v>
      </c>
      <c r="H819">
        <v>1304.4870605000001</v>
      </c>
      <c r="I819">
        <v>1381.0648193</v>
      </c>
      <c r="J819">
        <v>1364.9888916</v>
      </c>
      <c r="K819">
        <v>0</v>
      </c>
      <c r="L819">
        <v>1650</v>
      </c>
      <c r="M819">
        <v>1650</v>
      </c>
      <c r="N819">
        <v>0</v>
      </c>
    </row>
    <row r="820" spans="1:14" x14ac:dyDescent="0.25">
      <c r="A820">
        <v>549.37627599999996</v>
      </c>
      <c r="B820" s="1">
        <f>DATE(2011,11,1) + TIME(9,1,50)</f>
        <v>40848.376273148147</v>
      </c>
      <c r="C820">
        <v>80</v>
      </c>
      <c r="D820">
        <v>79.821464539000004</v>
      </c>
      <c r="E820">
        <v>50</v>
      </c>
      <c r="F820">
        <v>42.610404967999997</v>
      </c>
      <c r="G820">
        <v>1312.7000731999999</v>
      </c>
      <c r="H820">
        <v>1304.4724120999999</v>
      </c>
      <c r="I820">
        <v>1380.8209228999999</v>
      </c>
      <c r="J820">
        <v>1364.8819579999999</v>
      </c>
      <c r="K820">
        <v>0</v>
      </c>
      <c r="L820">
        <v>1650</v>
      </c>
      <c r="M820">
        <v>1650</v>
      </c>
      <c r="N820">
        <v>0</v>
      </c>
    </row>
    <row r="821" spans="1:14" x14ac:dyDescent="0.25">
      <c r="A821">
        <v>549.45609100000001</v>
      </c>
      <c r="B821" s="1">
        <f>DATE(2011,11,1) + TIME(10,56,46)</f>
        <v>40848.456087962964</v>
      </c>
      <c r="C821">
        <v>80</v>
      </c>
      <c r="D821">
        <v>79.803138732999997</v>
      </c>
      <c r="E821">
        <v>50</v>
      </c>
      <c r="F821">
        <v>43.087123871000003</v>
      </c>
      <c r="G821">
        <v>1312.6937256000001</v>
      </c>
      <c r="H821">
        <v>1304.4655762</v>
      </c>
      <c r="I821">
        <v>1380.5887451000001</v>
      </c>
      <c r="J821">
        <v>1364.7813721</v>
      </c>
      <c r="K821">
        <v>0</v>
      </c>
      <c r="L821">
        <v>1650</v>
      </c>
      <c r="M821">
        <v>1650</v>
      </c>
      <c r="N821">
        <v>0</v>
      </c>
    </row>
    <row r="822" spans="1:14" x14ac:dyDescent="0.25">
      <c r="A822">
        <v>549.53973299999996</v>
      </c>
      <c r="B822" s="1">
        <f>DATE(2011,11,1) + TIME(12,57,12)</f>
        <v>40848.539722222224</v>
      </c>
      <c r="C822">
        <v>80</v>
      </c>
      <c r="D822">
        <v>79.784271239999995</v>
      </c>
      <c r="E822">
        <v>50</v>
      </c>
      <c r="F822">
        <v>43.552978516000003</v>
      </c>
      <c r="G822">
        <v>1312.6898193</v>
      </c>
      <c r="H822">
        <v>1304.4610596</v>
      </c>
      <c r="I822">
        <v>1380.3657227000001</v>
      </c>
      <c r="J822">
        <v>1364.6849365</v>
      </c>
      <c r="K822">
        <v>0</v>
      </c>
      <c r="L822">
        <v>1650</v>
      </c>
      <c r="M822">
        <v>1650</v>
      </c>
      <c r="N822">
        <v>0</v>
      </c>
    </row>
    <row r="823" spans="1:14" x14ac:dyDescent="0.25">
      <c r="A823">
        <v>549.62763600000005</v>
      </c>
      <c r="B823" s="1">
        <f>DATE(2011,11,1) + TIME(15,3,47)</f>
        <v>40848.627627314818</v>
      </c>
      <c r="C823">
        <v>80</v>
      </c>
      <c r="D823">
        <v>79.764801024999997</v>
      </c>
      <c r="E823">
        <v>50</v>
      </c>
      <c r="F823">
        <v>44.007900237999998</v>
      </c>
      <c r="G823">
        <v>1312.6864014</v>
      </c>
      <c r="H823">
        <v>1304.4571533000001</v>
      </c>
      <c r="I823">
        <v>1380.1503906</v>
      </c>
      <c r="J823">
        <v>1364.5915527</v>
      </c>
      <c r="K823">
        <v>0</v>
      </c>
      <c r="L823">
        <v>1650</v>
      </c>
      <c r="M823">
        <v>1650</v>
      </c>
      <c r="N823">
        <v>0</v>
      </c>
    </row>
    <row r="824" spans="1:14" x14ac:dyDescent="0.25">
      <c r="A824">
        <v>549.72030500000005</v>
      </c>
      <c r="B824" s="1">
        <f>DATE(2011,11,1) + TIME(17,17,14)</f>
        <v>40848.720300925925</v>
      </c>
      <c r="C824">
        <v>80</v>
      </c>
      <c r="D824">
        <v>79.744659424000005</v>
      </c>
      <c r="E824">
        <v>50</v>
      </c>
      <c r="F824">
        <v>44.451789855999998</v>
      </c>
      <c r="G824">
        <v>1312.6832274999999</v>
      </c>
      <c r="H824">
        <v>1304.4533690999999</v>
      </c>
      <c r="I824">
        <v>1379.9418945</v>
      </c>
      <c r="J824">
        <v>1364.5003661999999</v>
      </c>
      <c r="K824">
        <v>0</v>
      </c>
      <c r="L824">
        <v>1650</v>
      </c>
      <c r="M824">
        <v>1650</v>
      </c>
      <c r="N824">
        <v>0</v>
      </c>
    </row>
    <row r="825" spans="1:14" x14ac:dyDescent="0.25">
      <c r="A825">
        <v>549.81833700000004</v>
      </c>
      <c r="B825" s="1">
        <f>DATE(2011,11,1) + TIME(19,38,24)</f>
        <v>40848.818333333336</v>
      </c>
      <c r="C825">
        <v>80</v>
      </c>
      <c r="D825">
        <v>79.723739624000004</v>
      </c>
      <c r="E825">
        <v>50</v>
      </c>
      <c r="F825">
        <v>44.884502411</v>
      </c>
      <c r="G825">
        <v>1312.6798096</v>
      </c>
      <c r="H825">
        <v>1304.4493408000001</v>
      </c>
      <c r="I825">
        <v>1379.7398682</v>
      </c>
      <c r="J825">
        <v>1364.4110106999999</v>
      </c>
      <c r="K825">
        <v>0</v>
      </c>
      <c r="L825">
        <v>1650</v>
      </c>
      <c r="M825">
        <v>1650</v>
      </c>
      <c r="N825">
        <v>0</v>
      </c>
    </row>
    <row r="826" spans="1:14" x14ac:dyDescent="0.25">
      <c r="A826">
        <v>549.92244100000005</v>
      </c>
      <c r="B826" s="1">
        <f>DATE(2011,11,1) + TIME(22,8,18)</f>
        <v>40848.922430555554</v>
      </c>
      <c r="C826">
        <v>80</v>
      </c>
      <c r="D826">
        <v>79.701950073000006</v>
      </c>
      <c r="E826">
        <v>50</v>
      </c>
      <c r="F826">
        <v>45.305854797000002</v>
      </c>
      <c r="G826">
        <v>1312.6762695</v>
      </c>
      <c r="H826">
        <v>1304.4450684000001</v>
      </c>
      <c r="I826">
        <v>1379.5437012</v>
      </c>
      <c r="J826">
        <v>1364.3232422000001</v>
      </c>
      <c r="K826">
        <v>0</v>
      </c>
      <c r="L826">
        <v>1650</v>
      </c>
      <c r="M826">
        <v>1650</v>
      </c>
      <c r="N826">
        <v>0</v>
      </c>
    </row>
    <row r="827" spans="1:14" x14ac:dyDescent="0.25">
      <c r="A827">
        <v>550.03347099999996</v>
      </c>
      <c r="B827" s="1">
        <f>DATE(2011,11,2) + TIME(0,48,11)</f>
        <v>40849.033460648148</v>
      </c>
      <c r="C827">
        <v>80</v>
      </c>
      <c r="D827">
        <v>79.679168700999995</v>
      </c>
      <c r="E827">
        <v>50</v>
      </c>
      <c r="F827">
        <v>45.715606688999998</v>
      </c>
      <c r="G827">
        <v>1312.6723632999999</v>
      </c>
      <c r="H827">
        <v>1304.4406738</v>
      </c>
      <c r="I827">
        <v>1379.3531493999999</v>
      </c>
      <c r="J827">
        <v>1364.2369385</v>
      </c>
      <c r="K827">
        <v>0</v>
      </c>
      <c r="L827">
        <v>1650</v>
      </c>
      <c r="M827">
        <v>1650</v>
      </c>
      <c r="N827">
        <v>0</v>
      </c>
    </row>
    <row r="828" spans="1:14" x14ac:dyDescent="0.25">
      <c r="A828">
        <v>550.152466</v>
      </c>
      <c r="B828" s="1">
        <f>DATE(2011,11,2) + TIME(3,39,33)</f>
        <v>40849.152465277781</v>
      </c>
      <c r="C828">
        <v>80</v>
      </c>
      <c r="D828">
        <v>79.655235290999997</v>
      </c>
      <c r="E828">
        <v>50</v>
      </c>
      <c r="F828">
        <v>46.113460541000002</v>
      </c>
      <c r="G828">
        <v>1312.6683350000001</v>
      </c>
      <c r="H828">
        <v>1304.4359131000001</v>
      </c>
      <c r="I828">
        <v>1379.1677245999999</v>
      </c>
      <c r="J828">
        <v>1364.1517334</v>
      </c>
      <c r="K828">
        <v>0</v>
      </c>
      <c r="L828">
        <v>1650</v>
      </c>
      <c r="M828">
        <v>1650</v>
      </c>
      <c r="N828">
        <v>0</v>
      </c>
    </row>
    <row r="829" spans="1:14" x14ac:dyDescent="0.25">
      <c r="A829">
        <v>550.28070300000002</v>
      </c>
      <c r="B829" s="1">
        <f>DATE(2011,11,2) + TIME(6,44,12)</f>
        <v>40849.280694444446</v>
      </c>
      <c r="C829">
        <v>80</v>
      </c>
      <c r="D829">
        <v>79.629974364999995</v>
      </c>
      <c r="E829">
        <v>50</v>
      </c>
      <c r="F829">
        <v>46.499042510999999</v>
      </c>
      <c r="G829">
        <v>1312.6639404</v>
      </c>
      <c r="H829">
        <v>1304.4307861</v>
      </c>
      <c r="I829">
        <v>1378.9871826000001</v>
      </c>
      <c r="J829">
        <v>1364.0672606999999</v>
      </c>
      <c r="K829">
        <v>0</v>
      </c>
      <c r="L829">
        <v>1650</v>
      </c>
      <c r="M829">
        <v>1650</v>
      </c>
      <c r="N829">
        <v>0</v>
      </c>
    </row>
    <row r="830" spans="1:14" x14ac:dyDescent="0.25">
      <c r="A830">
        <v>550.41978400000005</v>
      </c>
      <c r="B830" s="1">
        <f>DATE(2011,11,2) + TIME(10,4,29)</f>
        <v>40849.41978009259</v>
      </c>
      <c r="C830">
        <v>80</v>
      </c>
      <c r="D830">
        <v>79.603172302000004</v>
      </c>
      <c r="E830">
        <v>50</v>
      </c>
      <c r="F830">
        <v>46.871902466000002</v>
      </c>
      <c r="G830">
        <v>1312.6593018000001</v>
      </c>
      <c r="H830">
        <v>1304.425293</v>
      </c>
      <c r="I830">
        <v>1378.8111572</v>
      </c>
      <c r="J830">
        <v>1363.9835204999999</v>
      </c>
      <c r="K830">
        <v>0</v>
      </c>
      <c r="L830">
        <v>1650</v>
      </c>
      <c r="M830">
        <v>1650</v>
      </c>
      <c r="N830">
        <v>0</v>
      </c>
    </row>
    <row r="831" spans="1:14" x14ac:dyDescent="0.25">
      <c r="A831">
        <v>550.57172200000002</v>
      </c>
      <c r="B831" s="1">
        <f>DATE(2011,11,2) + TIME(13,43,16)</f>
        <v>40849.571712962963</v>
      </c>
      <c r="C831">
        <v>80</v>
      </c>
      <c r="D831">
        <v>79.574539185000006</v>
      </c>
      <c r="E831">
        <v>50</v>
      </c>
      <c r="F831">
        <v>47.231433868000003</v>
      </c>
      <c r="G831">
        <v>1312.6541748</v>
      </c>
      <c r="H831">
        <v>1304.4193115</v>
      </c>
      <c r="I831">
        <v>1378.6392822</v>
      </c>
      <c r="J831">
        <v>1363.8999022999999</v>
      </c>
      <c r="K831">
        <v>0</v>
      </c>
      <c r="L831">
        <v>1650</v>
      </c>
      <c r="M831">
        <v>1650</v>
      </c>
      <c r="N831">
        <v>0</v>
      </c>
    </row>
    <row r="832" spans="1:14" x14ac:dyDescent="0.25">
      <c r="A832">
        <v>550.73915</v>
      </c>
      <c r="B832" s="1">
        <f>DATE(2011,11,2) + TIME(17,44,22)</f>
        <v>40849.73914351852</v>
      </c>
      <c r="C832">
        <v>80</v>
      </c>
      <c r="D832">
        <v>79.543731688999998</v>
      </c>
      <c r="E832">
        <v>50</v>
      </c>
      <c r="F832">
        <v>47.576961517000001</v>
      </c>
      <c r="G832">
        <v>1312.6486815999999</v>
      </c>
      <c r="H832">
        <v>1304.4128418</v>
      </c>
      <c r="I832">
        <v>1378.4710693</v>
      </c>
      <c r="J832">
        <v>1363.8162841999999</v>
      </c>
      <c r="K832">
        <v>0</v>
      </c>
      <c r="L832">
        <v>1650</v>
      </c>
      <c r="M832">
        <v>1650</v>
      </c>
      <c r="N832">
        <v>0</v>
      </c>
    </row>
    <row r="833" spans="1:14" x14ac:dyDescent="0.25">
      <c r="A833">
        <v>550.92557999999997</v>
      </c>
      <c r="B833" s="1">
        <f>DATE(2011,11,2) + TIME(22,12,50)</f>
        <v>40849.925578703704</v>
      </c>
      <c r="C833">
        <v>80</v>
      </c>
      <c r="D833">
        <v>79.510284424000005</v>
      </c>
      <c r="E833">
        <v>50</v>
      </c>
      <c r="F833">
        <v>47.907676696999999</v>
      </c>
      <c r="G833">
        <v>1312.6425781</v>
      </c>
      <c r="H833">
        <v>1304.4057617000001</v>
      </c>
      <c r="I833">
        <v>1378.3061522999999</v>
      </c>
      <c r="J833">
        <v>1363.7321777</v>
      </c>
      <c r="K833">
        <v>0</v>
      </c>
      <c r="L833">
        <v>1650</v>
      </c>
      <c r="M833">
        <v>1650</v>
      </c>
      <c r="N833">
        <v>0</v>
      </c>
    </row>
    <row r="834" spans="1:14" x14ac:dyDescent="0.25">
      <c r="A834">
        <v>551.13577099999998</v>
      </c>
      <c r="B834" s="1">
        <f>DATE(2011,11,3) + TIME(3,15,30)</f>
        <v>40850.135763888888</v>
      </c>
      <c r="C834">
        <v>80</v>
      </c>
      <c r="D834">
        <v>79.473579407000003</v>
      </c>
      <c r="E834">
        <v>50</v>
      </c>
      <c r="F834">
        <v>48.222518921000002</v>
      </c>
      <c r="G834">
        <v>1312.6358643000001</v>
      </c>
      <c r="H834">
        <v>1304.3978271000001</v>
      </c>
      <c r="I834">
        <v>1378.1441649999999</v>
      </c>
      <c r="J834">
        <v>1363.6469727000001</v>
      </c>
      <c r="K834">
        <v>0</v>
      </c>
      <c r="L834">
        <v>1650</v>
      </c>
      <c r="M834">
        <v>1650</v>
      </c>
      <c r="N834">
        <v>0</v>
      </c>
    </row>
    <row r="835" spans="1:14" x14ac:dyDescent="0.25">
      <c r="A835">
        <v>551.37642100000005</v>
      </c>
      <c r="B835" s="1">
        <f>DATE(2011,11,3) + TIME(9,2,2)</f>
        <v>40850.37641203704</v>
      </c>
      <c r="C835">
        <v>80</v>
      </c>
      <c r="D835">
        <v>79.432785034000005</v>
      </c>
      <c r="E835">
        <v>50</v>
      </c>
      <c r="F835">
        <v>48.520172119000001</v>
      </c>
      <c r="G835">
        <v>1312.6281738</v>
      </c>
      <c r="H835">
        <v>1304.3890381000001</v>
      </c>
      <c r="I835">
        <v>1377.984375</v>
      </c>
      <c r="J835">
        <v>1363.5601807</v>
      </c>
      <c r="K835">
        <v>0</v>
      </c>
      <c r="L835">
        <v>1650</v>
      </c>
      <c r="M835">
        <v>1650</v>
      </c>
      <c r="N835">
        <v>0</v>
      </c>
    </row>
    <row r="836" spans="1:14" x14ac:dyDescent="0.25">
      <c r="A836">
        <v>551.64586099999997</v>
      </c>
      <c r="B836" s="1">
        <f>DATE(2011,11,3) + TIME(15,30,2)</f>
        <v>40850.645856481482</v>
      </c>
      <c r="C836">
        <v>80</v>
      </c>
      <c r="D836">
        <v>79.388282775999997</v>
      </c>
      <c r="E836">
        <v>50</v>
      </c>
      <c r="F836">
        <v>48.789752960000001</v>
      </c>
      <c r="G836">
        <v>1312.6195068</v>
      </c>
      <c r="H836">
        <v>1304.3790283000001</v>
      </c>
      <c r="I836">
        <v>1377.8310547000001</v>
      </c>
      <c r="J836">
        <v>1363.4731445</v>
      </c>
      <c r="K836">
        <v>0</v>
      </c>
      <c r="L836">
        <v>1650</v>
      </c>
      <c r="M836">
        <v>1650</v>
      </c>
      <c r="N836">
        <v>0</v>
      </c>
    </row>
    <row r="837" spans="1:14" x14ac:dyDescent="0.25">
      <c r="A837">
        <v>551.91578800000002</v>
      </c>
      <c r="B837" s="1">
        <f>DATE(2011,11,3) + TIME(21,58,44)</f>
        <v>40850.91578703704</v>
      </c>
      <c r="C837">
        <v>80</v>
      </c>
      <c r="D837">
        <v>79.343894958000007</v>
      </c>
      <c r="E837">
        <v>50</v>
      </c>
      <c r="F837">
        <v>49.008163451999998</v>
      </c>
      <c r="G837">
        <v>1312.6097411999999</v>
      </c>
      <c r="H837">
        <v>1304.3679199000001</v>
      </c>
      <c r="I837">
        <v>1377.6955565999999</v>
      </c>
      <c r="J837">
        <v>1363.3916016000001</v>
      </c>
      <c r="K837">
        <v>0</v>
      </c>
      <c r="L837">
        <v>1650</v>
      </c>
      <c r="M837">
        <v>1650</v>
      </c>
      <c r="N837">
        <v>0</v>
      </c>
    </row>
    <row r="838" spans="1:14" x14ac:dyDescent="0.25">
      <c r="A838">
        <v>552.19079099999999</v>
      </c>
      <c r="B838" s="1">
        <f>DATE(2011,11,4) + TIME(4,34,44)</f>
        <v>40851.190787037034</v>
      </c>
      <c r="C838">
        <v>80</v>
      </c>
      <c r="D838">
        <v>79.299041747999993</v>
      </c>
      <c r="E838">
        <v>50</v>
      </c>
      <c r="F838">
        <v>49.187492370999998</v>
      </c>
      <c r="G838">
        <v>1312.5999756000001</v>
      </c>
      <c r="H838">
        <v>1304.3568115</v>
      </c>
      <c r="I838">
        <v>1377.5750731999999</v>
      </c>
      <c r="J838">
        <v>1363.3164062000001</v>
      </c>
      <c r="K838">
        <v>0</v>
      </c>
      <c r="L838">
        <v>1650</v>
      </c>
      <c r="M838">
        <v>1650</v>
      </c>
      <c r="N838">
        <v>0</v>
      </c>
    </row>
    <row r="839" spans="1:14" x14ac:dyDescent="0.25">
      <c r="A839">
        <v>552.47293400000001</v>
      </c>
      <c r="B839" s="1">
        <f>DATE(2011,11,4) + TIME(11,21,1)</f>
        <v>40851.472928240742</v>
      </c>
      <c r="C839">
        <v>80</v>
      </c>
      <c r="D839">
        <v>79.253463745000005</v>
      </c>
      <c r="E839">
        <v>50</v>
      </c>
      <c r="F839">
        <v>49.335056305000002</v>
      </c>
      <c r="G839">
        <v>1312.5899658000001</v>
      </c>
      <c r="H839">
        <v>1304.3454589999999</v>
      </c>
      <c r="I839">
        <v>1377.4665527</v>
      </c>
      <c r="J839">
        <v>1363.2462158000001</v>
      </c>
      <c r="K839">
        <v>0</v>
      </c>
      <c r="L839">
        <v>1650</v>
      </c>
      <c r="M839">
        <v>1650</v>
      </c>
      <c r="N839">
        <v>0</v>
      </c>
    </row>
    <row r="840" spans="1:14" x14ac:dyDescent="0.25">
      <c r="A840">
        <v>552.76445699999999</v>
      </c>
      <c r="B840" s="1">
        <f>DATE(2011,11,4) + TIME(18,20,49)</f>
        <v>40851.764456018522</v>
      </c>
      <c r="C840">
        <v>80</v>
      </c>
      <c r="D840">
        <v>79.206878661999994</v>
      </c>
      <c r="E840">
        <v>50</v>
      </c>
      <c r="F840">
        <v>49.456573486000003</v>
      </c>
      <c r="G840">
        <v>1312.5798339999999</v>
      </c>
      <c r="H840">
        <v>1304.3339844</v>
      </c>
      <c r="I840">
        <v>1377.3675536999999</v>
      </c>
      <c r="J840">
        <v>1363.1799315999999</v>
      </c>
      <c r="K840">
        <v>0</v>
      </c>
      <c r="L840">
        <v>1650</v>
      </c>
      <c r="M840">
        <v>1650</v>
      </c>
      <c r="N840">
        <v>0</v>
      </c>
    </row>
    <row r="841" spans="1:14" x14ac:dyDescent="0.25">
      <c r="A841">
        <v>553.06771600000002</v>
      </c>
      <c r="B841" s="1">
        <f>DATE(2011,11,5) + TIME(1,37,30)</f>
        <v>40852.067708333336</v>
      </c>
      <c r="C841">
        <v>80</v>
      </c>
      <c r="D841">
        <v>79.158996582</v>
      </c>
      <c r="E841">
        <v>50</v>
      </c>
      <c r="F841">
        <v>49.556545258</v>
      </c>
      <c r="G841">
        <v>1312.5693358999999</v>
      </c>
      <c r="H841">
        <v>1304.3220214999999</v>
      </c>
      <c r="I841">
        <v>1377.2763672000001</v>
      </c>
      <c r="J841">
        <v>1363.1168213000001</v>
      </c>
      <c r="K841">
        <v>0</v>
      </c>
      <c r="L841">
        <v>1650</v>
      </c>
      <c r="M841">
        <v>1650</v>
      </c>
      <c r="N841">
        <v>0</v>
      </c>
    </row>
    <row r="842" spans="1:14" x14ac:dyDescent="0.25">
      <c r="A842">
        <v>553.385313</v>
      </c>
      <c r="B842" s="1">
        <f>DATE(2011,11,5) + TIME(9,14,51)</f>
        <v>40852.385312500002</v>
      </c>
      <c r="C842">
        <v>80</v>
      </c>
      <c r="D842">
        <v>79.109489440999994</v>
      </c>
      <c r="E842">
        <v>50</v>
      </c>
      <c r="F842">
        <v>49.638580322000003</v>
      </c>
      <c r="G842">
        <v>1312.5584716999999</v>
      </c>
      <c r="H842">
        <v>1304.3095702999999</v>
      </c>
      <c r="I842">
        <v>1377.1915283000001</v>
      </c>
      <c r="J842">
        <v>1363.0561522999999</v>
      </c>
      <c r="K842">
        <v>0</v>
      </c>
      <c r="L842">
        <v>1650</v>
      </c>
      <c r="M842">
        <v>1650</v>
      </c>
      <c r="N842">
        <v>0</v>
      </c>
    </row>
    <row r="843" spans="1:14" x14ac:dyDescent="0.25">
      <c r="A843">
        <v>553.72022600000003</v>
      </c>
      <c r="B843" s="1">
        <f>DATE(2011,11,5) + TIME(17,17,7)</f>
        <v>40852.720219907409</v>
      </c>
      <c r="C843">
        <v>80</v>
      </c>
      <c r="D843">
        <v>79.058006286999998</v>
      </c>
      <c r="E843">
        <v>50</v>
      </c>
      <c r="F843">
        <v>49.705612183</v>
      </c>
      <c r="G843">
        <v>1312.5472411999999</v>
      </c>
      <c r="H843">
        <v>1304.2966309000001</v>
      </c>
      <c r="I843">
        <v>1377.1118164</v>
      </c>
      <c r="J843">
        <v>1362.9974365</v>
      </c>
      <c r="K843">
        <v>0</v>
      </c>
      <c r="L843">
        <v>1650</v>
      </c>
      <c r="M843">
        <v>1650</v>
      </c>
      <c r="N843">
        <v>0</v>
      </c>
    </row>
    <row r="844" spans="1:14" x14ac:dyDescent="0.25">
      <c r="A844">
        <v>554.07596100000001</v>
      </c>
      <c r="B844" s="1">
        <f>DATE(2011,11,6) + TIME(1,49,23)</f>
        <v>40853.075960648152</v>
      </c>
      <c r="C844">
        <v>80</v>
      </c>
      <c r="D844">
        <v>79.004142760999997</v>
      </c>
      <c r="E844">
        <v>50</v>
      </c>
      <c r="F844">
        <v>49.760074615000001</v>
      </c>
      <c r="G844">
        <v>1312.5352783000001</v>
      </c>
      <c r="H844">
        <v>1304.2829589999999</v>
      </c>
      <c r="I844">
        <v>1377.0358887</v>
      </c>
      <c r="J844">
        <v>1362.9399414</v>
      </c>
      <c r="K844">
        <v>0</v>
      </c>
      <c r="L844">
        <v>1650</v>
      </c>
      <c r="M844">
        <v>1650</v>
      </c>
      <c r="N844">
        <v>0</v>
      </c>
    </row>
    <row r="845" spans="1:14" x14ac:dyDescent="0.25">
      <c r="A845">
        <v>554.45677000000001</v>
      </c>
      <c r="B845" s="1">
        <f>DATE(2011,11,6) + TIME(10,57,44)</f>
        <v>40853.456759259258</v>
      </c>
      <c r="C845">
        <v>80</v>
      </c>
      <c r="D845">
        <v>78.947395325000002</v>
      </c>
      <c r="E845">
        <v>50</v>
      </c>
      <c r="F845">
        <v>49.80398941</v>
      </c>
      <c r="G845">
        <v>1312.5225829999999</v>
      </c>
      <c r="H845">
        <v>1304.2684326000001</v>
      </c>
      <c r="I845">
        <v>1376.9631348</v>
      </c>
      <c r="J845">
        <v>1362.8834228999999</v>
      </c>
      <c r="K845">
        <v>0</v>
      </c>
      <c r="L845">
        <v>1650</v>
      </c>
      <c r="M845">
        <v>1650</v>
      </c>
      <c r="N845">
        <v>0</v>
      </c>
    </row>
    <row r="846" spans="1:14" x14ac:dyDescent="0.25">
      <c r="A846">
        <v>554.86785399999997</v>
      </c>
      <c r="B846" s="1">
        <f>DATE(2011,11,6) + TIME(20,49,42)</f>
        <v>40853.867847222224</v>
      </c>
      <c r="C846">
        <v>80</v>
      </c>
      <c r="D846">
        <v>78.887191771999994</v>
      </c>
      <c r="E846">
        <v>50</v>
      </c>
      <c r="F846">
        <v>49.839069365999997</v>
      </c>
      <c r="G846">
        <v>1312.5091553</v>
      </c>
      <c r="H846">
        <v>1304.2529297000001</v>
      </c>
      <c r="I846">
        <v>1376.8923339999999</v>
      </c>
      <c r="J846">
        <v>1362.8271483999999</v>
      </c>
      <c r="K846">
        <v>0</v>
      </c>
      <c r="L846">
        <v>1650</v>
      </c>
      <c r="M846">
        <v>1650</v>
      </c>
      <c r="N846">
        <v>0</v>
      </c>
    </row>
    <row r="847" spans="1:14" x14ac:dyDescent="0.25">
      <c r="A847">
        <v>555.30989999999997</v>
      </c>
      <c r="B847" s="1">
        <f>DATE(2011,11,7) + TIME(7,26,15)</f>
        <v>40854.309895833336</v>
      </c>
      <c r="C847">
        <v>80</v>
      </c>
      <c r="D847">
        <v>78.823432921999995</v>
      </c>
      <c r="E847">
        <v>50</v>
      </c>
      <c r="F847">
        <v>49.866504669000001</v>
      </c>
      <c r="G847">
        <v>1312.4945068</v>
      </c>
      <c r="H847">
        <v>1304.2362060999999</v>
      </c>
      <c r="I847">
        <v>1376.8229980000001</v>
      </c>
      <c r="J847">
        <v>1362.7707519999999</v>
      </c>
      <c r="K847">
        <v>0</v>
      </c>
      <c r="L847">
        <v>1650</v>
      </c>
      <c r="M847">
        <v>1650</v>
      </c>
      <c r="N847">
        <v>0</v>
      </c>
    </row>
    <row r="848" spans="1:14" x14ac:dyDescent="0.25">
      <c r="A848">
        <v>555.78507300000001</v>
      </c>
      <c r="B848" s="1">
        <f>DATE(2011,11,7) + TIME(18,50,30)</f>
        <v>40854.785069444442</v>
      </c>
      <c r="C848">
        <v>80</v>
      </c>
      <c r="D848">
        <v>78.755905150999993</v>
      </c>
      <c r="E848">
        <v>50</v>
      </c>
      <c r="F848">
        <v>49.887584685999997</v>
      </c>
      <c r="G848">
        <v>1312.4788818</v>
      </c>
      <c r="H848">
        <v>1304.2182617000001</v>
      </c>
      <c r="I848">
        <v>1376.7548827999999</v>
      </c>
      <c r="J848">
        <v>1362.7144774999999</v>
      </c>
      <c r="K848">
        <v>0</v>
      </c>
      <c r="L848">
        <v>1650</v>
      </c>
      <c r="M848">
        <v>1650</v>
      </c>
      <c r="N848">
        <v>0</v>
      </c>
    </row>
    <row r="849" spans="1:14" x14ac:dyDescent="0.25">
      <c r="A849">
        <v>556.30031399999996</v>
      </c>
      <c r="B849" s="1">
        <f>DATE(2011,11,8) + TIME(7,12,27)</f>
        <v>40855.300312500003</v>
      </c>
      <c r="C849">
        <v>80</v>
      </c>
      <c r="D849">
        <v>78.683883667000003</v>
      </c>
      <c r="E849">
        <v>50</v>
      </c>
      <c r="F849">
        <v>49.903598785</v>
      </c>
      <c r="G849">
        <v>1312.4620361</v>
      </c>
      <c r="H849">
        <v>1304.1988524999999</v>
      </c>
      <c r="I849">
        <v>1376.6876221</v>
      </c>
      <c r="J849">
        <v>1362.6580810999999</v>
      </c>
      <c r="K849">
        <v>0</v>
      </c>
      <c r="L849">
        <v>1650</v>
      </c>
      <c r="M849">
        <v>1650</v>
      </c>
      <c r="N849">
        <v>0</v>
      </c>
    </row>
    <row r="850" spans="1:14" x14ac:dyDescent="0.25">
      <c r="A850">
        <v>556.84569599999998</v>
      </c>
      <c r="B850" s="1">
        <f>DATE(2011,11,8) + TIME(20,17,48)</f>
        <v>40855.845694444448</v>
      </c>
      <c r="C850">
        <v>80</v>
      </c>
      <c r="D850">
        <v>78.608306885000005</v>
      </c>
      <c r="E850">
        <v>50</v>
      </c>
      <c r="F850">
        <v>49.915328979000002</v>
      </c>
      <c r="G850">
        <v>1312.4436035000001</v>
      </c>
      <c r="H850">
        <v>1304.1779785000001</v>
      </c>
      <c r="I850">
        <v>1376.6206055</v>
      </c>
      <c r="J850">
        <v>1362.6013184000001</v>
      </c>
      <c r="K850">
        <v>0</v>
      </c>
      <c r="L850">
        <v>1650</v>
      </c>
      <c r="M850">
        <v>1650</v>
      </c>
      <c r="N850">
        <v>0</v>
      </c>
    </row>
    <row r="851" spans="1:14" x14ac:dyDescent="0.25">
      <c r="A851">
        <v>557.39840500000003</v>
      </c>
      <c r="B851" s="1">
        <f>DATE(2011,11,9) + TIME(9,33,42)</f>
        <v>40856.398402777777</v>
      </c>
      <c r="C851">
        <v>80</v>
      </c>
      <c r="D851">
        <v>78.531433105000005</v>
      </c>
      <c r="E851">
        <v>50</v>
      </c>
      <c r="F851">
        <v>49.923568725999999</v>
      </c>
      <c r="G851">
        <v>1312.4240723</v>
      </c>
      <c r="H851">
        <v>1304.1556396000001</v>
      </c>
      <c r="I851">
        <v>1376.5551757999999</v>
      </c>
      <c r="J851">
        <v>1362.5452881000001</v>
      </c>
      <c r="K851">
        <v>0</v>
      </c>
      <c r="L851">
        <v>1650</v>
      </c>
      <c r="M851">
        <v>1650</v>
      </c>
      <c r="N851">
        <v>0</v>
      </c>
    </row>
    <row r="852" spans="1:14" x14ac:dyDescent="0.25">
      <c r="A852">
        <v>557.96432300000004</v>
      </c>
      <c r="B852" s="1">
        <f>DATE(2011,11,9) + TIME(23,8,37)</f>
        <v>40856.964317129627</v>
      </c>
      <c r="C852">
        <v>80</v>
      </c>
      <c r="D852">
        <v>78.453033446999996</v>
      </c>
      <c r="E852">
        <v>50</v>
      </c>
      <c r="F852">
        <v>49.929420471</v>
      </c>
      <c r="G852">
        <v>1312.4042969</v>
      </c>
      <c r="H852">
        <v>1304.1330565999999</v>
      </c>
      <c r="I852">
        <v>1376.4934082</v>
      </c>
      <c r="J852">
        <v>1362.4921875</v>
      </c>
      <c r="K852">
        <v>0</v>
      </c>
      <c r="L852">
        <v>1650</v>
      </c>
      <c r="M852">
        <v>1650</v>
      </c>
      <c r="N852">
        <v>0</v>
      </c>
    </row>
    <row r="853" spans="1:14" x14ac:dyDescent="0.25">
      <c r="A853">
        <v>558.54911000000004</v>
      </c>
      <c r="B853" s="1">
        <f>DATE(2011,11,10) + TIME(13,10,43)</f>
        <v>40857.549108796295</v>
      </c>
      <c r="C853">
        <v>80</v>
      </c>
      <c r="D853">
        <v>78.372772217000005</v>
      </c>
      <c r="E853">
        <v>50</v>
      </c>
      <c r="F853">
        <v>49.933605194000002</v>
      </c>
      <c r="G853">
        <v>1312.3840332</v>
      </c>
      <c r="H853">
        <v>1304.1097411999999</v>
      </c>
      <c r="I853">
        <v>1376.4343262</v>
      </c>
      <c r="J853">
        <v>1362.4412841999999</v>
      </c>
      <c r="K853">
        <v>0</v>
      </c>
      <c r="L853">
        <v>1650</v>
      </c>
      <c r="M853">
        <v>1650</v>
      </c>
      <c r="N853">
        <v>0</v>
      </c>
    </row>
    <row r="854" spans="1:14" x14ac:dyDescent="0.25">
      <c r="A854">
        <v>559.15869299999997</v>
      </c>
      <c r="B854" s="1">
        <f>DATE(2011,11,11) + TIME(3,48,31)</f>
        <v>40858.158692129633</v>
      </c>
      <c r="C854">
        <v>80</v>
      </c>
      <c r="D854">
        <v>78.290176392000006</v>
      </c>
      <c r="E854">
        <v>50</v>
      </c>
      <c r="F854">
        <v>49.936626433999997</v>
      </c>
      <c r="G854">
        <v>1312.3630370999999</v>
      </c>
      <c r="H854">
        <v>1304.0854492000001</v>
      </c>
      <c r="I854">
        <v>1376.3770752</v>
      </c>
      <c r="J854">
        <v>1362.3918457</v>
      </c>
      <c r="K854">
        <v>0</v>
      </c>
      <c r="L854">
        <v>1650</v>
      </c>
      <c r="M854">
        <v>1650</v>
      </c>
      <c r="N854">
        <v>0</v>
      </c>
    </row>
    <row r="855" spans="1:14" x14ac:dyDescent="0.25">
      <c r="A855">
        <v>559.79969500000004</v>
      </c>
      <c r="B855" s="1">
        <f>DATE(2011,11,11) + TIME(19,11,33)</f>
        <v>40858.799687500003</v>
      </c>
      <c r="C855">
        <v>80</v>
      </c>
      <c r="D855">
        <v>78.204673767000003</v>
      </c>
      <c r="E855">
        <v>50</v>
      </c>
      <c r="F855">
        <v>49.938816070999998</v>
      </c>
      <c r="G855">
        <v>1312.3410644999999</v>
      </c>
      <c r="H855">
        <v>1304.0601807</v>
      </c>
      <c r="I855">
        <v>1376.3210449000001</v>
      </c>
      <c r="J855">
        <v>1362.3432617000001</v>
      </c>
      <c r="K855">
        <v>0</v>
      </c>
      <c r="L855">
        <v>1650</v>
      </c>
      <c r="M855">
        <v>1650</v>
      </c>
      <c r="N855">
        <v>0</v>
      </c>
    </row>
    <row r="856" spans="1:14" x14ac:dyDescent="0.25">
      <c r="A856">
        <v>560.47782800000004</v>
      </c>
      <c r="B856" s="1">
        <f>DATE(2011,11,12) + TIME(11,28,4)</f>
        <v>40859.477824074071</v>
      </c>
      <c r="C856">
        <v>80</v>
      </c>
      <c r="D856">
        <v>78.115722656000003</v>
      </c>
      <c r="E856">
        <v>50</v>
      </c>
      <c r="F856">
        <v>49.940418243000003</v>
      </c>
      <c r="G856">
        <v>1312.3178711</v>
      </c>
      <c r="H856">
        <v>1304.0333252</v>
      </c>
      <c r="I856">
        <v>1376.2653809000001</v>
      </c>
      <c r="J856">
        <v>1362.2951660000001</v>
      </c>
      <c r="K856">
        <v>0</v>
      </c>
      <c r="L856">
        <v>1650</v>
      </c>
      <c r="M856">
        <v>1650</v>
      </c>
      <c r="N856">
        <v>0</v>
      </c>
    </row>
    <row r="857" spans="1:14" x14ac:dyDescent="0.25">
      <c r="A857">
        <v>561.18275300000005</v>
      </c>
      <c r="B857" s="1">
        <f>DATE(2011,11,13) + TIME(4,23,9)</f>
        <v>40860.182743055557</v>
      </c>
      <c r="C857">
        <v>80</v>
      </c>
      <c r="D857">
        <v>78.024116516000007</v>
      </c>
      <c r="E857">
        <v>50</v>
      </c>
      <c r="F857">
        <v>49.941581726000003</v>
      </c>
      <c r="G857">
        <v>1312.2932129000001</v>
      </c>
      <c r="H857">
        <v>1304.0048827999999</v>
      </c>
      <c r="I857">
        <v>1376.2099608999999</v>
      </c>
      <c r="J857">
        <v>1362.2473144999999</v>
      </c>
      <c r="K857">
        <v>0</v>
      </c>
      <c r="L857">
        <v>1650</v>
      </c>
      <c r="M857">
        <v>1650</v>
      </c>
      <c r="N857">
        <v>0</v>
      </c>
    </row>
    <row r="858" spans="1:14" x14ac:dyDescent="0.25">
      <c r="A858">
        <v>561.92137100000002</v>
      </c>
      <c r="B858" s="1">
        <f>DATE(2011,11,13) + TIME(22,6,46)</f>
        <v>40860.921365740738</v>
      </c>
      <c r="C858">
        <v>80</v>
      </c>
      <c r="D858">
        <v>77.929420471</v>
      </c>
      <c r="E858">
        <v>50</v>
      </c>
      <c r="F858">
        <v>49.942432404000002</v>
      </c>
      <c r="G858">
        <v>1312.2675781</v>
      </c>
      <c r="H858">
        <v>1303.9749756000001</v>
      </c>
      <c r="I858">
        <v>1376.1556396000001</v>
      </c>
      <c r="J858">
        <v>1362.2003173999999</v>
      </c>
      <c r="K858">
        <v>0</v>
      </c>
      <c r="L858">
        <v>1650</v>
      </c>
      <c r="M858">
        <v>1650</v>
      </c>
      <c r="N858">
        <v>0</v>
      </c>
    </row>
    <row r="859" spans="1:14" x14ac:dyDescent="0.25">
      <c r="A859">
        <v>562.70107399999995</v>
      </c>
      <c r="B859" s="1">
        <f>DATE(2011,11,14) + TIME(16,49,32)</f>
        <v>40861.701064814813</v>
      </c>
      <c r="C859">
        <v>80</v>
      </c>
      <c r="D859">
        <v>77.831054687999995</v>
      </c>
      <c r="E859">
        <v>50</v>
      </c>
      <c r="F859">
        <v>49.943073273000003</v>
      </c>
      <c r="G859">
        <v>1312.2404785000001</v>
      </c>
      <c r="H859">
        <v>1303.9434814000001</v>
      </c>
      <c r="I859">
        <v>1376.1018065999999</v>
      </c>
      <c r="J859">
        <v>1362.1539307</v>
      </c>
      <c r="K859">
        <v>0</v>
      </c>
      <c r="L859">
        <v>1650</v>
      </c>
      <c r="M859">
        <v>1650</v>
      </c>
      <c r="N859">
        <v>0</v>
      </c>
    </row>
    <row r="860" spans="1:14" x14ac:dyDescent="0.25">
      <c r="A860">
        <v>563.53078000000005</v>
      </c>
      <c r="B860" s="1">
        <f>DATE(2011,11,15) + TIME(12,44,19)</f>
        <v>40862.530775462961</v>
      </c>
      <c r="C860">
        <v>80</v>
      </c>
      <c r="D860">
        <v>77.728302002000007</v>
      </c>
      <c r="E860">
        <v>50</v>
      </c>
      <c r="F860">
        <v>49.943561553999999</v>
      </c>
      <c r="G860">
        <v>1312.2116699000001</v>
      </c>
      <c r="H860">
        <v>1303.9099120999999</v>
      </c>
      <c r="I860">
        <v>1376.0480957</v>
      </c>
      <c r="J860">
        <v>1362.1076660000001</v>
      </c>
      <c r="K860">
        <v>0</v>
      </c>
      <c r="L860">
        <v>1650</v>
      </c>
      <c r="M860">
        <v>1650</v>
      </c>
      <c r="N860">
        <v>0</v>
      </c>
    </row>
    <row r="861" spans="1:14" x14ac:dyDescent="0.25">
      <c r="A861">
        <v>564.39802799999995</v>
      </c>
      <c r="B861" s="1">
        <f>DATE(2011,11,16) + TIME(9,33,9)</f>
        <v>40863.398020833331</v>
      </c>
      <c r="C861">
        <v>80</v>
      </c>
      <c r="D861">
        <v>77.621925353999998</v>
      </c>
      <c r="E861">
        <v>50</v>
      </c>
      <c r="F861">
        <v>49.943935394</v>
      </c>
      <c r="G861">
        <v>1312.1807861</v>
      </c>
      <c r="H861">
        <v>1303.8739014</v>
      </c>
      <c r="I861">
        <v>1375.9941406</v>
      </c>
      <c r="J861">
        <v>1362.0611572</v>
      </c>
      <c r="K861">
        <v>0</v>
      </c>
      <c r="L861">
        <v>1650</v>
      </c>
      <c r="M861">
        <v>1650</v>
      </c>
      <c r="N861">
        <v>0</v>
      </c>
    </row>
    <row r="862" spans="1:14" x14ac:dyDescent="0.25">
      <c r="A862">
        <v>565.27833699999996</v>
      </c>
      <c r="B862" s="1">
        <f>DATE(2011,11,17) + TIME(6,40,48)</f>
        <v>40864.278333333335</v>
      </c>
      <c r="C862">
        <v>80</v>
      </c>
      <c r="D862">
        <v>77.513877868999998</v>
      </c>
      <c r="E862">
        <v>50</v>
      </c>
      <c r="F862">
        <v>49.944217682000001</v>
      </c>
      <c r="G862">
        <v>1312.1481934000001</v>
      </c>
      <c r="H862">
        <v>1303.8359375</v>
      </c>
      <c r="I862">
        <v>1375.9407959</v>
      </c>
      <c r="J862">
        <v>1362.0152588000001</v>
      </c>
      <c r="K862">
        <v>0</v>
      </c>
      <c r="L862">
        <v>1650</v>
      </c>
      <c r="M862">
        <v>1650</v>
      </c>
      <c r="N862">
        <v>0</v>
      </c>
    </row>
    <row r="863" spans="1:14" x14ac:dyDescent="0.25">
      <c r="A863">
        <v>566.18037800000002</v>
      </c>
      <c r="B863" s="1">
        <f>DATE(2011,11,18) + TIME(4,19,44)</f>
        <v>40865.18037037037</v>
      </c>
      <c r="C863">
        <v>80</v>
      </c>
      <c r="D863">
        <v>77.404159546000002</v>
      </c>
      <c r="E863">
        <v>50</v>
      </c>
      <c r="F863">
        <v>49.944438933999997</v>
      </c>
      <c r="G863">
        <v>1312.1148682</v>
      </c>
      <c r="H863">
        <v>1303.7967529</v>
      </c>
      <c r="I863">
        <v>1375.8895264</v>
      </c>
      <c r="J863">
        <v>1361.9713135</v>
      </c>
      <c r="K863">
        <v>0</v>
      </c>
      <c r="L863">
        <v>1650</v>
      </c>
      <c r="M863">
        <v>1650</v>
      </c>
      <c r="N863">
        <v>0</v>
      </c>
    </row>
    <row r="864" spans="1:14" x14ac:dyDescent="0.25">
      <c r="A864">
        <v>567.11279200000001</v>
      </c>
      <c r="B864" s="1">
        <f>DATE(2011,11,19) + TIME(2,42,25)</f>
        <v>40866.11278935185</v>
      </c>
      <c r="C864">
        <v>80</v>
      </c>
      <c r="D864">
        <v>77.292396545000003</v>
      </c>
      <c r="E864">
        <v>50</v>
      </c>
      <c r="F864">
        <v>49.94461441</v>
      </c>
      <c r="G864">
        <v>1312.0803223</v>
      </c>
      <c r="H864">
        <v>1303.7562256000001</v>
      </c>
      <c r="I864">
        <v>1375.8398437999999</v>
      </c>
      <c r="J864">
        <v>1361.9287108999999</v>
      </c>
      <c r="K864">
        <v>0</v>
      </c>
      <c r="L864">
        <v>1650</v>
      </c>
      <c r="M864">
        <v>1650</v>
      </c>
      <c r="N864">
        <v>0</v>
      </c>
    </row>
    <row r="865" spans="1:14" x14ac:dyDescent="0.25">
      <c r="A865">
        <v>568.08490400000005</v>
      </c>
      <c r="B865" s="1">
        <f>DATE(2011,11,20) + TIME(2,2,15)</f>
        <v>40867.08489583333</v>
      </c>
      <c r="C865">
        <v>80</v>
      </c>
      <c r="D865">
        <v>77.177963257000002</v>
      </c>
      <c r="E865">
        <v>50</v>
      </c>
      <c r="F865">
        <v>49.944759369000003</v>
      </c>
      <c r="G865">
        <v>1312.0444336</v>
      </c>
      <c r="H865">
        <v>1303.7136230000001</v>
      </c>
      <c r="I865">
        <v>1375.7910156</v>
      </c>
      <c r="J865">
        <v>1361.8868408000001</v>
      </c>
      <c r="K865">
        <v>0</v>
      </c>
      <c r="L865">
        <v>1650</v>
      </c>
      <c r="M865">
        <v>1650</v>
      </c>
      <c r="N865">
        <v>0</v>
      </c>
    </row>
    <row r="866" spans="1:14" x14ac:dyDescent="0.25">
      <c r="A866">
        <v>569.10732399999995</v>
      </c>
      <c r="B866" s="1">
        <f>DATE(2011,11,21) + TIME(2,34,32)</f>
        <v>40868.107314814813</v>
      </c>
      <c r="C866">
        <v>80</v>
      </c>
      <c r="D866">
        <v>77.060050963999998</v>
      </c>
      <c r="E866">
        <v>50</v>
      </c>
      <c r="F866">
        <v>49.944885253999999</v>
      </c>
      <c r="G866">
        <v>1312.0065918</v>
      </c>
      <c r="H866">
        <v>1303.6687012</v>
      </c>
      <c r="I866">
        <v>1375.7426757999999</v>
      </c>
      <c r="J866">
        <v>1361.8455810999999</v>
      </c>
      <c r="K866">
        <v>0</v>
      </c>
      <c r="L866">
        <v>1650</v>
      </c>
      <c r="M866">
        <v>1650</v>
      </c>
      <c r="N866">
        <v>0</v>
      </c>
    </row>
    <row r="867" spans="1:14" x14ac:dyDescent="0.25">
      <c r="A867">
        <v>570.19267100000002</v>
      </c>
      <c r="B867" s="1">
        <f>DATE(2011,11,22) + TIME(4,37,26)</f>
        <v>40869.192662037036</v>
      </c>
      <c r="C867">
        <v>80</v>
      </c>
      <c r="D867">
        <v>76.937644958000007</v>
      </c>
      <c r="E867">
        <v>50</v>
      </c>
      <c r="F867">
        <v>49.944992065000001</v>
      </c>
      <c r="G867">
        <v>1311.9663086</v>
      </c>
      <c r="H867">
        <v>1303.6208495999999</v>
      </c>
      <c r="I867">
        <v>1375.6943358999999</v>
      </c>
      <c r="J867">
        <v>1361.8043213000001</v>
      </c>
      <c r="K867">
        <v>0</v>
      </c>
      <c r="L867">
        <v>1650</v>
      </c>
      <c r="M867">
        <v>1650</v>
      </c>
      <c r="N867">
        <v>0</v>
      </c>
    </row>
    <row r="868" spans="1:14" x14ac:dyDescent="0.25">
      <c r="A868">
        <v>571.30911700000001</v>
      </c>
      <c r="B868" s="1">
        <f>DATE(2011,11,23) + TIME(7,25,7)</f>
        <v>40870.309108796297</v>
      </c>
      <c r="C868">
        <v>80</v>
      </c>
      <c r="D868">
        <v>76.812301636000001</v>
      </c>
      <c r="E868">
        <v>50</v>
      </c>
      <c r="F868">
        <v>49.945087432999998</v>
      </c>
      <c r="G868">
        <v>1311.9230957</v>
      </c>
      <c r="H868">
        <v>1303.5693358999999</v>
      </c>
      <c r="I868">
        <v>1375.6455077999999</v>
      </c>
      <c r="J868">
        <v>1361.7626952999999</v>
      </c>
      <c r="K868">
        <v>0</v>
      </c>
      <c r="L868">
        <v>1650</v>
      </c>
      <c r="M868">
        <v>1650</v>
      </c>
      <c r="N868">
        <v>0</v>
      </c>
    </row>
    <row r="869" spans="1:14" x14ac:dyDescent="0.25">
      <c r="A869">
        <v>572.46706099999994</v>
      </c>
      <c r="B869" s="1">
        <f>DATE(2011,11,24) + TIME(11,12,34)</f>
        <v>40871.467060185183</v>
      </c>
      <c r="C869">
        <v>80</v>
      </c>
      <c r="D869">
        <v>76.684036254999995</v>
      </c>
      <c r="E869">
        <v>50</v>
      </c>
      <c r="F869">
        <v>49.945171356000003</v>
      </c>
      <c r="G869">
        <v>1311.8779297000001</v>
      </c>
      <c r="H869">
        <v>1303.5153809000001</v>
      </c>
      <c r="I869">
        <v>1375.5977783000001</v>
      </c>
      <c r="J869">
        <v>1361.722168</v>
      </c>
      <c r="K869">
        <v>0</v>
      </c>
      <c r="L869">
        <v>1650</v>
      </c>
      <c r="M869">
        <v>1650</v>
      </c>
      <c r="N869">
        <v>0</v>
      </c>
    </row>
    <row r="870" spans="1:14" x14ac:dyDescent="0.25">
      <c r="A870">
        <v>573.65021200000001</v>
      </c>
      <c r="B870" s="1">
        <f>DATE(2011,11,25) + TIME(15,36,18)</f>
        <v>40872.650208333333</v>
      </c>
      <c r="C870">
        <v>80</v>
      </c>
      <c r="D870">
        <v>76.553901671999995</v>
      </c>
      <c r="E870">
        <v>50</v>
      </c>
      <c r="F870">
        <v>49.945251464999998</v>
      </c>
      <c r="G870">
        <v>1311.8305664</v>
      </c>
      <c r="H870">
        <v>1303.4584961</v>
      </c>
      <c r="I870">
        <v>1375.5506591999999</v>
      </c>
      <c r="J870">
        <v>1361.6821289</v>
      </c>
      <c r="K870">
        <v>0</v>
      </c>
      <c r="L870">
        <v>1650</v>
      </c>
      <c r="M870">
        <v>1650</v>
      </c>
      <c r="N870">
        <v>0</v>
      </c>
    </row>
    <row r="871" spans="1:14" x14ac:dyDescent="0.25">
      <c r="A871">
        <v>574.86096399999997</v>
      </c>
      <c r="B871" s="1">
        <f>DATE(2011,11,26) + TIME(20,39,47)</f>
        <v>40873.860960648148</v>
      </c>
      <c r="C871">
        <v>80</v>
      </c>
      <c r="D871">
        <v>76.422279357999997</v>
      </c>
      <c r="E871">
        <v>50</v>
      </c>
      <c r="F871">
        <v>49.945320129000002</v>
      </c>
      <c r="G871">
        <v>1311.7814940999999</v>
      </c>
      <c r="H871">
        <v>1303.3992920000001</v>
      </c>
      <c r="I871">
        <v>1375.5048827999999</v>
      </c>
      <c r="J871">
        <v>1361.6431885</v>
      </c>
      <c r="K871">
        <v>0</v>
      </c>
      <c r="L871">
        <v>1650</v>
      </c>
      <c r="M871">
        <v>1650</v>
      </c>
      <c r="N871">
        <v>0</v>
      </c>
    </row>
    <row r="872" spans="1:14" x14ac:dyDescent="0.25">
      <c r="A872">
        <v>576.11171999999999</v>
      </c>
      <c r="B872" s="1">
        <f>DATE(2011,11,28) + TIME(2,40,52)</f>
        <v>40875.111712962964</v>
      </c>
      <c r="C872">
        <v>80</v>
      </c>
      <c r="D872">
        <v>76.288749695000007</v>
      </c>
      <c r="E872">
        <v>50</v>
      </c>
      <c r="F872">
        <v>49.945392609000002</v>
      </c>
      <c r="G872">
        <v>1311.7304687999999</v>
      </c>
      <c r="H872">
        <v>1303.3375243999999</v>
      </c>
      <c r="I872">
        <v>1375.4603271000001</v>
      </c>
      <c r="J872">
        <v>1361.6053466999999</v>
      </c>
      <c r="K872">
        <v>0</v>
      </c>
      <c r="L872">
        <v>1650</v>
      </c>
      <c r="M872">
        <v>1650</v>
      </c>
      <c r="N872">
        <v>0</v>
      </c>
    </row>
    <row r="873" spans="1:14" x14ac:dyDescent="0.25">
      <c r="A873">
        <v>577.41589799999997</v>
      </c>
      <c r="B873" s="1">
        <f>DATE(2011,11,29) + TIME(9,58,53)</f>
        <v>40876.415891203702</v>
      </c>
      <c r="C873">
        <v>80</v>
      </c>
      <c r="D873">
        <v>76.152481078999998</v>
      </c>
      <c r="E873">
        <v>50</v>
      </c>
      <c r="F873">
        <v>49.945461272999999</v>
      </c>
      <c r="G873">
        <v>1311.6770019999999</v>
      </c>
      <c r="H873">
        <v>1303.2724608999999</v>
      </c>
      <c r="I873">
        <v>1375.4162598</v>
      </c>
      <c r="J873">
        <v>1361.5679932</v>
      </c>
      <c r="K873">
        <v>0</v>
      </c>
      <c r="L873">
        <v>1650</v>
      </c>
      <c r="M873">
        <v>1650</v>
      </c>
      <c r="N873">
        <v>0</v>
      </c>
    </row>
    <row r="874" spans="1:14" x14ac:dyDescent="0.25">
      <c r="A874">
        <v>578.78898200000003</v>
      </c>
      <c r="B874" s="1">
        <f>DATE(2011,11,30) + TIME(18,56,8)</f>
        <v>40877.788981481484</v>
      </c>
      <c r="C874">
        <v>80</v>
      </c>
      <c r="D874">
        <v>76.012382506999998</v>
      </c>
      <c r="E874">
        <v>50</v>
      </c>
      <c r="F874">
        <v>49.945533752000003</v>
      </c>
      <c r="G874">
        <v>1311.6203613</v>
      </c>
      <c r="H874">
        <v>1303.2032471</v>
      </c>
      <c r="I874">
        <v>1375.3724365</v>
      </c>
      <c r="J874">
        <v>1361.5310059000001</v>
      </c>
      <c r="K874">
        <v>0</v>
      </c>
      <c r="L874">
        <v>1650</v>
      </c>
      <c r="M874">
        <v>1650</v>
      </c>
      <c r="N874">
        <v>0</v>
      </c>
    </row>
    <row r="875" spans="1:14" x14ac:dyDescent="0.25">
      <c r="A875">
        <v>579</v>
      </c>
      <c r="B875" s="1">
        <f>DATE(2011,12,1) + TIME(0,0,0)</f>
        <v>40878</v>
      </c>
      <c r="C875">
        <v>80</v>
      </c>
      <c r="D875">
        <v>75.973854064999998</v>
      </c>
      <c r="E875">
        <v>50</v>
      </c>
      <c r="F875">
        <v>49.945537567000002</v>
      </c>
      <c r="G875">
        <v>1311.5600586</v>
      </c>
      <c r="H875">
        <v>1303.1383057</v>
      </c>
      <c r="I875">
        <v>1375.3276367000001</v>
      </c>
      <c r="J875">
        <v>1361.4930420000001</v>
      </c>
      <c r="K875">
        <v>0</v>
      </c>
      <c r="L875">
        <v>1650</v>
      </c>
      <c r="M875">
        <v>1650</v>
      </c>
      <c r="N875">
        <v>0</v>
      </c>
    </row>
    <row r="876" spans="1:14" x14ac:dyDescent="0.25">
      <c r="A876">
        <v>580.46056099999998</v>
      </c>
      <c r="B876" s="1">
        <f>DATE(2011,12,2) + TIME(11,3,12)</f>
        <v>40879.460555555554</v>
      </c>
      <c r="C876">
        <v>80</v>
      </c>
      <c r="D876">
        <v>75.837615967000005</v>
      </c>
      <c r="E876">
        <v>50</v>
      </c>
      <c r="F876">
        <v>49.945613860999998</v>
      </c>
      <c r="G876">
        <v>1311.5496826000001</v>
      </c>
      <c r="H876">
        <v>1303.1156006000001</v>
      </c>
      <c r="I876">
        <v>1375.3218993999999</v>
      </c>
      <c r="J876">
        <v>1361.4881591999999</v>
      </c>
      <c r="K876">
        <v>0</v>
      </c>
      <c r="L876">
        <v>1650</v>
      </c>
      <c r="M876">
        <v>1650</v>
      </c>
      <c r="N876">
        <v>0</v>
      </c>
    </row>
    <row r="877" spans="1:14" x14ac:dyDescent="0.25">
      <c r="A877">
        <v>581.97799899999995</v>
      </c>
      <c r="B877" s="1">
        <f>DATE(2011,12,3) + TIME(23,28,19)</f>
        <v>40880.977997685186</v>
      </c>
      <c r="C877">
        <v>80</v>
      </c>
      <c r="D877">
        <v>75.692405700999998</v>
      </c>
      <c r="E877">
        <v>50</v>
      </c>
      <c r="F877">
        <v>49.945690155000001</v>
      </c>
      <c r="G877">
        <v>1311.4846190999999</v>
      </c>
      <c r="H877">
        <v>1303.0360106999999</v>
      </c>
      <c r="I877">
        <v>1375.2774658000001</v>
      </c>
      <c r="J877">
        <v>1361.4506836</v>
      </c>
      <c r="K877">
        <v>0</v>
      </c>
      <c r="L877">
        <v>1650</v>
      </c>
      <c r="M877">
        <v>1650</v>
      </c>
      <c r="N877">
        <v>0</v>
      </c>
    </row>
    <row r="878" spans="1:14" x14ac:dyDescent="0.25">
      <c r="A878">
        <v>583.51898700000004</v>
      </c>
      <c r="B878" s="1">
        <f>DATE(2011,12,5) + TIME(12,27,20)</f>
        <v>40882.51898148148</v>
      </c>
      <c r="C878">
        <v>80</v>
      </c>
      <c r="D878">
        <v>75.542701721</v>
      </c>
      <c r="E878">
        <v>50</v>
      </c>
      <c r="F878">
        <v>49.945766448999997</v>
      </c>
      <c r="G878">
        <v>1311.4152832</v>
      </c>
      <c r="H878">
        <v>1302.9506836</v>
      </c>
      <c r="I878">
        <v>1375.2333983999999</v>
      </c>
      <c r="J878">
        <v>1361.4134521000001</v>
      </c>
      <c r="K878">
        <v>0</v>
      </c>
      <c r="L878">
        <v>1650</v>
      </c>
      <c r="M878">
        <v>1650</v>
      </c>
      <c r="N878">
        <v>0</v>
      </c>
    </row>
    <row r="879" spans="1:14" x14ac:dyDescent="0.25">
      <c r="A879">
        <v>585.09197200000006</v>
      </c>
      <c r="B879" s="1">
        <f>DATE(2011,12,7) + TIME(2,12,26)</f>
        <v>40884.091967592591</v>
      </c>
      <c r="C879">
        <v>80</v>
      </c>
      <c r="D879">
        <v>75.390663146999998</v>
      </c>
      <c r="E879">
        <v>50</v>
      </c>
      <c r="F879">
        <v>49.945842743</v>
      </c>
      <c r="G879">
        <v>1311.3433838000001</v>
      </c>
      <c r="H879">
        <v>1302.8615723</v>
      </c>
      <c r="I879">
        <v>1375.1906738</v>
      </c>
      <c r="J879">
        <v>1361.3773193</v>
      </c>
      <c r="K879">
        <v>0</v>
      </c>
      <c r="L879">
        <v>1650</v>
      </c>
      <c r="M879">
        <v>1650</v>
      </c>
      <c r="N879">
        <v>0</v>
      </c>
    </row>
    <row r="880" spans="1:14" x14ac:dyDescent="0.25">
      <c r="A880">
        <v>586.71409100000005</v>
      </c>
      <c r="B880" s="1">
        <f>DATE(2011,12,8) + TIME(17,8,17)</f>
        <v>40885.714085648149</v>
      </c>
      <c r="C880">
        <v>80</v>
      </c>
      <c r="D880">
        <v>75.236495972</v>
      </c>
      <c r="E880">
        <v>50</v>
      </c>
      <c r="F880">
        <v>49.945922852000002</v>
      </c>
      <c r="G880">
        <v>1311.2685547000001</v>
      </c>
      <c r="H880">
        <v>1302.7681885</v>
      </c>
      <c r="I880">
        <v>1375.1489257999999</v>
      </c>
      <c r="J880">
        <v>1361.3421631000001</v>
      </c>
      <c r="K880">
        <v>0</v>
      </c>
      <c r="L880">
        <v>1650</v>
      </c>
      <c r="M880">
        <v>1650</v>
      </c>
      <c r="N880">
        <v>0</v>
      </c>
    </row>
    <row r="881" spans="1:14" x14ac:dyDescent="0.25">
      <c r="A881">
        <v>588.38669600000003</v>
      </c>
      <c r="B881" s="1">
        <f>DATE(2011,12,10) + TIME(9,16,50)</f>
        <v>40887.386689814812</v>
      </c>
      <c r="C881">
        <v>80</v>
      </c>
      <c r="D881">
        <v>75.080169678000004</v>
      </c>
      <c r="E881">
        <v>50</v>
      </c>
      <c r="F881">
        <v>49.946006775000001</v>
      </c>
      <c r="G881">
        <v>1311.1898193</v>
      </c>
      <c r="H881">
        <v>1302.6696777</v>
      </c>
      <c r="I881">
        <v>1375.1077881000001</v>
      </c>
      <c r="J881">
        <v>1361.3074951000001</v>
      </c>
      <c r="K881">
        <v>0</v>
      </c>
      <c r="L881">
        <v>1650</v>
      </c>
      <c r="M881">
        <v>1650</v>
      </c>
      <c r="N881">
        <v>0</v>
      </c>
    </row>
    <row r="882" spans="1:14" x14ac:dyDescent="0.25">
      <c r="A882">
        <v>590.11930299999995</v>
      </c>
      <c r="B882" s="1">
        <f>DATE(2011,12,12) + TIME(2,51,47)</f>
        <v>40889.119293981479</v>
      </c>
      <c r="C882">
        <v>80</v>
      </c>
      <c r="D882">
        <v>74.921264648000005</v>
      </c>
      <c r="E882">
        <v>50</v>
      </c>
      <c r="F882">
        <v>49.946090697999999</v>
      </c>
      <c r="G882">
        <v>1311.1071777</v>
      </c>
      <c r="H882">
        <v>1302.5655518000001</v>
      </c>
      <c r="I882">
        <v>1375.0672606999999</v>
      </c>
      <c r="J882">
        <v>1361.2733154</v>
      </c>
      <c r="K882">
        <v>0</v>
      </c>
      <c r="L882">
        <v>1650</v>
      </c>
      <c r="M882">
        <v>1650</v>
      </c>
      <c r="N882">
        <v>0</v>
      </c>
    </row>
    <row r="883" spans="1:14" x14ac:dyDescent="0.25">
      <c r="A883">
        <v>591.90323599999999</v>
      </c>
      <c r="B883" s="1">
        <f>DATE(2011,12,13) + TIME(21,40,39)</f>
        <v>40890.903229166666</v>
      </c>
      <c r="C883">
        <v>80</v>
      </c>
      <c r="D883">
        <v>74.759857178000004</v>
      </c>
      <c r="E883">
        <v>50</v>
      </c>
      <c r="F883">
        <v>49.946178435999997</v>
      </c>
      <c r="G883">
        <v>1311.0197754000001</v>
      </c>
      <c r="H883">
        <v>1302.4552002</v>
      </c>
      <c r="I883">
        <v>1375.0268555</v>
      </c>
      <c r="J883">
        <v>1361.2393798999999</v>
      </c>
      <c r="K883">
        <v>0</v>
      </c>
      <c r="L883">
        <v>1650</v>
      </c>
      <c r="M883">
        <v>1650</v>
      </c>
      <c r="N883">
        <v>0</v>
      </c>
    </row>
    <row r="884" spans="1:14" x14ac:dyDescent="0.25">
      <c r="A884">
        <v>593.72404200000005</v>
      </c>
      <c r="B884" s="1">
        <f>DATE(2011,12,15) + TIME(17,22,37)</f>
        <v>40892.724039351851</v>
      </c>
      <c r="C884">
        <v>80</v>
      </c>
      <c r="D884">
        <v>74.596740722999996</v>
      </c>
      <c r="E884">
        <v>50</v>
      </c>
      <c r="F884">
        <v>49.946269989000001</v>
      </c>
      <c r="G884">
        <v>1310.9279785000001</v>
      </c>
      <c r="H884">
        <v>1302.3387451000001</v>
      </c>
      <c r="I884">
        <v>1374.9871826000001</v>
      </c>
      <c r="J884">
        <v>1361.2059326000001</v>
      </c>
      <c r="K884">
        <v>0</v>
      </c>
      <c r="L884">
        <v>1650</v>
      </c>
      <c r="M884">
        <v>1650</v>
      </c>
      <c r="N884">
        <v>0</v>
      </c>
    </row>
    <row r="885" spans="1:14" x14ac:dyDescent="0.25">
      <c r="A885">
        <v>595.58607199999994</v>
      </c>
      <c r="B885" s="1">
        <f>DATE(2011,12,17) + TIME(14,3,56)</f>
        <v>40894.586064814815</v>
      </c>
      <c r="C885">
        <v>80</v>
      </c>
      <c r="D885">
        <v>74.432304381999998</v>
      </c>
      <c r="E885">
        <v>50</v>
      </c>
      <c r="F885">
        <v>49.946361541999998</v>
      </c>
      <c r="G885">
        <v>1310.8322754000001</v>
      </c>
      <c r="H885">
        <v>1302.2167969</v>
      </c>
      <c r="I885">
        <v>1374.9482422000001</v>
      </c>
      <c r="J885">
        <v>1361.1732178</v>
      </c>
      <c r="K885">
        <v>0</v>
      </c>
      <c r="L885">
        <v>1650</v>
      </c>
      <c r="M885">
        <v>1650</v>
      </c>
      <c r="N885">
        <v>0</v>
      </c>
    </row>
    <row r="886" spans="1:14" x14ac:dyDescent="0.25">
      <c r="A886">
        <v>597.49357899999995</v>
      </c>
      <c r="B886" s="1">
        <f>DATE(2011,12,19) + TIME(11,50,45)</f>
        <v>40896.493576388886</v>
      </c>
      <c r="C886">
        <v>80</v>
      </c>
      <c r="D886">
        <v>74.266487122000001</v>
      </c>
      <c r="E886">
        <v>50</v>
      </c>
      <c r="F886">
        <v>49.946456908999998</v>
      </c>
      <c r="G886">
        <v>1310.7322998</v>
      </c>
      <c r="H886">
        <v>1302.0888672000001</v>
      </c>
      <c r="I886">
        <v>1374.9100341999999</v>
      </c>
      <c r="J886">
        <v>1361.1411132999999</v>
      </c>
      <c r="K886">
        <v>0</v>
      </c>
      <c r="L886">
        <v>1650</v>
      </c>
      <c r="M886">
        <v>1650</v>
      </c>
      <c r="N886">
        <v>0</v>
      </c>
    </row>
    <row r="887" spans="1:14" x14ac:dyDescent="0.25">
      <c r="A887">
        <v>599.45092299999999</v>
      </c>
      <c r="B887" s="1">
        <f>DATE(2011,12,21) + TIME(10,49,19)</f>
        <v>40898.450914351852</v>
      </c>
      <c r="C887">
        <v>80</v>
      </c>
      <c r="D887">
        <v>74.099060058999996</v>
      </c>
      <c r="E887">
        <v>50</v>
      </c>
      <c r="F887">
        <v>49.946556090999998</v>
      </c>
      <c r="G887">
        <v>1310.6278076000001</v>
      </c>
      <c r="H887">
        <v>1301.9544678</v>
      </c>
      <c r="I887">
        <v>1374.8724365</v>
      </c>
      <c r="J887">
        <v>1361.1094971</v>
      </c>
      <c r="K887">
        <v>0</v>
      </c>
      <c r="L887">
        <v>1650</v>
      </c>
      <c r="M887">
        <v>1650</v>
      </c>
      <c r="N887">
        <v>0</v>
      </c>
    </row>
    <row r="888" spans="1:14" x14ac:dyDescent="0.25">
      <c r="A888">
        <v>601.44297099999994</v>
      </c>
      <c r="B888" s="1">
        <f>DATE(2011,12,23) + TIME(10,37,52)</f>
        <v>40900.442962962959</v>
      </c>
      <c r="C888">
        <v>80</v>
      </c>
      <c r="D888">
        <v>73.930343628000003</v>
      </c>
      <c r="E888">
        <v>50</v>
      </c>
      <c r="F888">
        <v>49.946655272999998</v>
      </c>
      <c r="G888">
        <v>1310.5183105000001</v>
      </c>
      <c r="H888">
        <v>1301.8132324000001</v>
      </c>
      <c r="I888">
        <v>1374.8353271000001</v>
      </c>
      <c r="J888">
        <v>1361.0782471</v>
      </c>
      <c r="K888">
        <v>0</v>
      </c>
      <c r="L888">
        <v>1650</v>
      </c>
      <c r="M888">
        <v>1650</v>
      </c>
      <c r="N888">
        <v>0</v>
      </c>
    </row>
    <row r="889" spans="1:14" x14ac:dyDescent="0.25">
      <c r="A889">
        <v>603.46355800000003</v>
      </c>
      <c r="B889" s="1">
        <f>DATE(2011,12,25) + TIME(11,7,31)</f>
        <v>40902.463553240741</v>
      </c>
      <c r="C889">
        <v>80</v>
      </c>
      <c r="D889">
        <v>73.760910034000005</v>
      </c>
      <c r="E889">
        <v>50</v>
      </c>
      <c r="F889">
        <v>49.946758269999997</v>
      </c>
      <c r="G889">
        <v>1310.4045410000001</v>
      </c>
      <c r="H889">
        <v>1301.6657714999999</v>
      </c>
      <c r="I889">
        <v>1374.7990723</v>
      </c>
      <c r="J889">
        <v>1361.0478516000001</v>
      </c>
      <c r="K889">
        <v>0</v>
      </c>
      <c r="L889">
        <v>1650</v>
      </c>
      <c r="M889">
        <v>1650</v>
      </c>
      <c r="N889">
        <v>0</v>
      </c>
    </row>
    <row r="890" spans="1:14" x14ac:dyDescent="0.25">
      <c r="A890">
        <v>605.51672199999996</v>
      </c>
      <c r="B890" s="1">
        <f>DATE(2011,12,27) + TIME(12,24,4)</f>
        <v>40904.516712962963</v>
      </c>
      <c r="C890">
        <v>80</v>
      </c>
      <c r="D890">
        <v>73.590911864999995</v>
      </c>
      <c r="E890">
        <v>50</v>
      </c>
      <c r="F890">
        <v>49.946861267000003</v>
      </c>
      <c r="G890">
        <v>1310.286499</v>
      </c>
      <c r="H890">
        <v>1301.5123291</v>
      </c>
      <c r="I890">
        <v>1374.7636719</v>
      </c>
      <c r="J890">
        <v>1361.0180664</v>
      </c>
      <c r="K890">
        <v>0</v>
      </c>
      <c r="L890">
        <v>1650</v>
      </c>
      <c r="M890">
        <v>1650</v>
      </c>
      <c r="N890">
        <v>0</v>
      </c>
    </row>
    <row r="891" spans="1:14" x14ac:dyDescent="0.25">
      <c r="A891">
        <v>607.59119999999996</v>
      </c>
      <c r="B891" s="1">
        <f>DATE(2011,12,29) + TIME(14,11,19)</f>
        <v>40906.591192129628</v>
      </c>
      <c r="C891">
        <v>80</v>
      </c>
      <c r="D891">
        <v>73.420600891000007</v>
      </c>
      <c r="E891">
        <v>50</v>
      </c>
      <c r="F891">
        <v>49.946964264000002</v>
      </c>
      <c r="G891">
        <v>1310.1641846</v>
      </c>
      <c r="H891">
        <v>1301.3525391000001</v>
      </c>
      <c r="I891">
        <v>1374.7290039</v>
      </c>
      <c r="J891">
        <v>1360.9888916</v>
      </c>
      <c r="K891">
        <v>0</v>
      </c>
      <c r="L891">
        <v>1650</v>
      </c>
      <c r="M891">
        <v>1650</v>
      </c>
      <c r="N891">
        <v>0</v>
      </c>
    </row>
    <row r="892" spans="1:14" x14ac:dyDescent="0.25">
      <c r="A892">
        <v>609.69206999999994</v>
      </c>
      <c r="B892" s="1">
        <f>DATE(2011,12,31) + TIME(16,36,34)</f>
        <v>40908.692060185182</v>
      </c>
      <c r="C892">
        <v>80</v>
      </c>
      <c r="D892">
        <v>73.250053406000006</v>
      </c>
      <c r="E892">
        <v>50</v>
      </c>
      <c r="F892">
        <v>49.947071074999997</v>
      </c>
      <c r="G892">
        <v>1310.0379639</v>
      </c>
      <c r="H892">
        <v>1301.1870117000001</v>
      </c>
      <c r="I892">
        <v>1374.6951904</v>
      </c>
      <c r="J892">
        <v>1360.9604492000001</v>
      </c>
      <c r="K892">
        <v>0</v>
      </c>
      <c r="L892">
        <v>1650</v>
      </c>
      <c r="M892">
        <v>1650</v>
      </c>
      <c r="N892">
        <v>0</v>
      </c>
    </row>
    <row r="893" spans="1:14" x14ac:dyDescent="0.25">
      <c r="A893">
        <v>610</v>
      </c>
      <c r="B893" s="1">
        <f>DATE(2012,1,1) + TIME(0,0,0)</f>
        <v>40909</v>
      </c>
      <c r="C893">
        <v>80</v>
      </c>
      <c r="D893">
        <v>73.196746825999995</v>
      </c>
      <c r="E893">
        <v>50</v>
      </c>
      <c r="F893">
        <v>49.947078705000003</v>
      </c>
      <c r="G893">
        <v>1309.9163818</v>
      </c>
      <c r="H893">
        <v>1301.0415039</v>
      </c>
      <c r="I893">
        <v>1374.6608887</v>
      </c>
      <c r="J893">
        <v>1360.9316406</v>
      </c>
      <c r="K893">
        <v>0</v>
      </c>
      <c r="L893">
        <v>1650</v>
      </c>
      <c r="M893">
        <v>1650</v>
      </c>
      <c r="N893">
        <v>0</v>
      </c>
    </row>
    <row r="894" spans="1:14" x14ac:dyDescent="0.25">
      <c r="A894">
        <v>612.13140599999997</v>
      </c>
      <c r="B894" s="1">
        <f>DATE(2012,1,3) + TIME(3,9,13)</f>
        <v>40911.13140046296</v>
      </c>
      <c r="C894">
        <v>80</v>
      </c>
      <c r="D894">
        <v>73.043556213000002</v>
      </c>
      <c r="E894">
        <v>50</v>
      </c>
      <c r="F894">
        <v>49.947193145999996</v>
      </c>
      <c r="G894">
        <v>1309.8841553</v>
      </c>
      <c r="H894">
        <v>1300.9822998</v>
      </c>
      <c r="I894">
        <v>1374.6574707</v>
      </c>
      <c r="J894">
        <v>1360.9288329999999</v>
      </c>
      <c r="K894">
        <v>0</v>
      </c>
      <c r="L894">
        <v>1650</v>
      </c>
      <c r="M894">
        <v>1650</v>
      </c>
      <c r="N894">
        <v>0</v>
      </c>
    </row>
    <row r="895" spans="1:14" x14ac:dyDescent="0.25">
      <c r="A895">
        <v>614.30342199999996</v>
      </c>
      <c r="B895" s="1">
        <f>DATE(2012,1,5) + TIME(7,16,55)</f>
        <v>40913.303414351853</v>
      </c>
      <c r="C895">
        <v>80</v>
      </c>
      <c r="D895">
        <v>72.878135681000003</v>
      </c>
      <c r="E895">
        <v>50</v>
      </c>
      <c r="F895">
        <v>49.947303771999998</v>
      </c>
      <c r="G895">
        <v>1309.7512207</v>
      </c>
      <c r="H895">
        <v>1300.8078613</v>
      </c>
      <c r="I895">
        <v>1374.6252440999999</v>
      </c>
      <c r="J895">
        <v>1360.9017334</v>
      </c>
      <c r="K895">
        <v>0</v>
      </c>
      <c r="L895">
        <v>1650</v>
      </c>
      <c r="M895">
        <v>1650</v>
      </c>
      <c r="N895">
        <v>0</v>
      </c>
    </row>
    <row r="896" spans="1:14" x14ac:dyDescent="0.25">
      <c r="A896">
        <v>616.51431000000002</v>
      </c>
      <c r="B896" s="1">
        <f>DATE(2012,1,7) + TIME(12,20,36)</f>
        <v>40915.514305555553</v>
      </c>
      <c r="C896">
        <v>80</v>
      </c>
      <c r="D896">
        <v>72.706901549999998</v>
      </c>
      <c r="E896">
        <v>50</v>
      </c>
      <c r="F896">
        <v>49.947414397999999</v>
      </c>
      <c r="G896">
        <v>1309.6113281</v>
      </c>
      <c r="H896">
        <v>1300.6229248</v>
      </c>
      <c r="I896">
        <v>1374.5935059000001</v>
      </c>
      <c r="J896">
        <v>1360.875</v>
      </c>
      <c r="K896">
        <v>0</v>
      </c>
      <c r="L896">
        <v>1650</v>
      </c>
      <c r="M896">
        <v>1650</v>
      </c>
      <c r="N896">
        <v>0</v>
      </c>
    </row>
    <row r="897" spans="1:14" x14ac:dyDescent="0.25">
      <c r="A897">
        <v>618.76846499999999</v>
      </c>
      <c r="B897" s="1">
        <f>DATE(2012,1,9) + TIME(18,26,35)</f>
        <v>40917.768460648149</v>
      </c>
      <c r="C897">
        <v>80</v>
      </c>
      <c r="D897">
        <v>72.532066345000004</v>
      </c>
      <c r="E897">
        <v>50</v>
      </c>
      <c r="F897">
        <v>49.947528839</v>
      </c>
      <c r="G897">
        <v>1309.4656981999999</v>
      </c>
      <c r="H897">
        <v>1300.4291992000001</v>
      </c>
      <c r="I897">
        <v>1374.5622559000001</v>
      </c>
      <c r="J897">
        <v>1360.8487548999999</v>
      </c>
      <c r="K897">
        <v>0</v>
      </c>
      <c r="L897">
        <v>1650</v>
      </c>
      <c r="M897">
        <v>1650</v>
      </c>
      <c r="N897">
        <v>0</v>
      </c>
    </row>
    <row r="898" spans="1:14" x14ac:dyDescent="0.25">
      <c r="A898">
        <v>621.070246</v>
      </c>
      <c r="B898" s="1">
        <f>DATE(2012,1,12) + TIME(1,41,9)</f>
        <v>40920.070243055554</v>
      </c>
      <c r="C898">
        <v>80</v>
      </c>
      <c r="D898">
        <v>72.354080199999999</v>
      </c>
      <c r="E898">
        <v>50</v>
      </c>
      <c r="F898">
        <v>49.947643280000001</v>
      </c>
      <c r="G898">
        <v>1309.3140868999999</v>
      </c>
      <c r="H898">
        <v>1300.2269286999999</v>
      </c>
      <c r="I898">
        <v>1374.5313721</v>
      </c>
      <c r="J898">
        <v>1360.822876</v>
      </c>
      <c r="K898">
        <v>0</v>
      </c>
      <c r="L898">
        <v>1650</v>
      </c>
      <c r="M898">
        <v>1650</v>
      </c>
      <c r="N898">
        <v>0</v>
      </c>
    </row>
    <row r="899" spans="1:14" x14ac:dyDescent="0.25">
      <c r="A899">
        <v>623.40424800000005</v>
      </c>
      <c r="B899" s="1">
        <f>DATE(2012,1,14) + TIME(9,42,7)</f>
        <v>40922.404247685183</v>
      </c>
      <c r="C899">
        <v>80</v>
      </c>
      <c r="D899">
        <v>72.173271178999997</v>
      </c>
      <c r="E899">
        <v>50</v>
      </c>
      <c r="F899">
        <v>49.947757721000002</v>
      </c>
      <c r="G899">
        <v>1309.1563721</v>
      </c>
      <c r="H899">
        <v>1300.015625</v>
      </c>
      <c r="I899">
        <v>1374.5008545000001</v>
      </c>
      <c r="J899">
        <v>1360.7972411999999</v>
      </c>
      <c r="K899">
        <v>0</v>
      </c>
      <c r="L899">
        <v>1650</v>
      </c>
      <c r="M899">
        <v>1650</v>
      </c>
      <c r="N899">
        <v>0</v>
      </c>
    </row>
    <row r="900" spans="1:14" x14ac:dyDescent="0.25">
      <c r="A900">
        <v>625.76775199999997</v>
      </c>
      <c r="B900" s="1">
        <f>DATE(2012,1,16) + TIME(18,25,33)</f>
        <v>40924.767743055556</v>
      </c>
      <c r="C900">
        <v>80</v>
      </c>
      <c r="D900">
        <v>71.989982604999994</v>
      </c>
      <c r="E900">
        <v>50</v>
      </c>
      <c r="F900">
        <v>49.947875977000002</v>
      </c>
      <c r="G900">
        <v>1308.9934082</v>
      </c>
      <c r="H900">
        <v>1299.7965088000001</v>
      </c>
      <c r="I900">
        <v>1374.4708252</v>
      </c>
      <c r="J900">
        <v>1360.7719727000001</v>
      </c>
      <c r="K900">
        <v>0</v>
      </c>
      <c r="L900">
        <v>1650</v>
      </c>
      <c r="M900">
        <v>1650</v>
      </c>
      <c r="N900">
        <v>0</v>
      </c>
    </row>
    <row r="901" spans="1:14" x14ac:dyDescent="0.25">
      <c r="A901">
        <v>628.164174</v>
      </c>
      <c r="B901" s="1">
        <f>DATE(2012,1,19) + TIME(3,56,24)</f>
        <v>40927.164166666669</v>
      </c>
      <c r="C901">
        <v>80</v>
      </c>
      <c r="D901">
        <v>71.804100036999998</v>
      </c>
      <c r="E901">
        <v>50</v>
      </c>
      <c r="F901">
        <v>49.947998046999999</v>
      </c>
      <c r="G901">
        <v>1308.8251952999999</v>
      </c>
      <c r="H901">
        <v>1299.5695800999999</v>
      </c>
      <c r="I901">
        <v>1374.4412841999999</v>
      </c>
      <c r="J901">
        <v>1360.7471923999999</v>
      </c>
      <c r="K901">
        <v>0</v>
      </c>
      <c r="L901">
        <v>1650</v>
      </c>
      <c r="M901">
        <v>1650</v>
      </c>
      <c r="N901">
        <v>0</v>
      </c>
    </row>
    <row r="902" spans="1:14" x14ac:dyDescent="0.25">
      <c r="A902">
        <v>630.59127100000001</v>
      </c>
      <c r="B902" s="1">
        <f>DATE(2012,1,21) + TIME(14,11,25)</f>
        <v>40929.591261574074</v>
      </c>
      <c r="C902">
        <v>80</v>
      </c>
      <c r="D902">
        <v>71.615295410000002</v>
      </c>
      <c r="E902">
        <v>50</v>
      </c>
      <c r="F902">
        <v>49.948116302000003</v>
      </c>
      <c r="G902">
        <v>1308.6517334</v>
      </c>
      <c r="H902">
        <v>1299.3345947</v>
      </c>
      <c r="I902">
        <v>1374.4122314000001</v>
      </c>
      <c r="J902">
        <v>1360.7227783000001</v>
      </c>
      <c r="K902">
        <v>0</v>
      </c>
      <c r="L902">
        <v>1650</v>
      </c>
      <c r="M902">
        <v>1650</v>
      </c>
      <c r="N902">
        <v>0</v>
      </c>
    </row>
    <row r="903" spans="1:14" x14ac:dyDescent="0.25">
      <c r="A903">
        <v>633.05385000000001</v>
      </c>
      <c r="B903" s="1">
        <f>DATE(2012,1,24) + TIME(1,17,32)</f>
        <v>40932.053842592592</v>
      </c>
      <c r="C903">
        <v>80</v>
      </c>
      <c r="D903">
        <v>71.423141478999995</v>
      </c>
      <c r="E903">
        <v>50</v>
      </c>
      <c r="F903">
        <v>49.948238373000002</v>
      </c>
      <c r="G903">
        <v>1308.4729004000001</v>
      </c>
      <c r="H903">
        <v>1299.0916748</v>
      </c>
      <c r="I903">
        <v>1374.3835449000001</v>
      </c>
      <c r="J903">
        <v>1360.6987305</v>
      </c>
      <c r="K903">
        <v>0</v>
      </c>
      <c r="L903">
        <v>1650</v>
      </c>
      <c r="M903">
        <v>1650</v>
      </c>
      <c r="N903">
        <v>0</v>
      </c>
    </row>
    <row r="904" spans="1:14" x14ac:dyDescent="0.25">
      <c r="A904">
        <v>635.55670599999996</v>
      </c>
      <c r="B904" s="1">
        <f>DATE(2012,1,26) + TIME(13,21,39)</f>
        <v>40934.556701388887</v>
      </c>
      <c r="C904">
        <v>80</v>
      </c>
      <c r="D904">
        <v>71.226928710999999</v>
      </c>
      <c r="E904">
        <v>50</v>
      </c>
      <c r="F904">
        <v>49.948360442999999</v>
      </c>
      <c r="G904">
        <v>1308.2883300999999</v>
      </c>
      <c r="H904">
        <v>1298.8402100000001</v>
      </c>
      <c r="I904">
        <v>1374.3553466999999</v>
      </c>
      <c r="J904">
        <v>1360.6750488</v>
      </c>
      <c r="K904">
        <v>0</v>
      </c>
      <c r="L904">
        <v>1650</v>
      </c>
      <c r="M904">
        <v>1650</v>
      </c>
      <c r="N904">
        <v>0</v>
      </c>
    </row>
    <row r="905" spans="1:14" x14ac:dyDescent="0.25">
      <c r="A905">
        <v>638.104646</v>
      </c>
      <c r="B905" s="1">
        <f>DATE(2012,1,29) + TIME(2,30,41)</f>
        <v>40937.104641203703</v>
      </c>
      <c r="C905">
        <v>80</v>
      </c>
      <c r="D905">
        <v>71.025863646999994</v>
      </c>
      <c r="E905">
        <v>50</v>
      </c>
      <c r="F905">
        <v>49.948486328000001</v>
      </c>
      <c r="G905">
        <v>1308.0979004000001</v>
      </c>
      <c r="H905">
        <v>1298.5797118999999</v>
      </c>
      <c r="I905">
        <v>1374.3273925999999</v>
      </c>
      <c r="J905">
        <v>1360.6516113</v>
      </c>
      <c r="K905">
        <v>0</v>
      </c>
      <c r="L905">
        <v>1650</v>
      </c>
      <c r="M905">
        <v>1650</v>
      </c>
      <c r="N905">
        <v>0</v>
      </c>
    </row>
    <row r="906" spans="1:14" x14ac:dyDescent="0.25">
      <c r="A906">
        <v>640.67906900000003</v>
      </c>
      <c r="B906" s="1">
        <f>DATE(2012,1,31) + TIME(16,17,51)</f>
        <v>40939.679062499999</v>
      </c>
      <c r="C906">
        <v>80</v>
      </c>
      <c r="D906">
        <v>70.819633483999993</v>
      </c>
      <c r="E906">
        <v>50</v>
      </c>
      <c r="F906">
        <v>49.948612212999997</v>
      </c>
      <c r="G906">
        <v>1307.901001</v>
      </c>
      <c r="H906">
        <v>1298.3096923999999</v>
      </c>
      <c r="I906">
        <v>1374.2996826000001</v>
      </c>
      <c r="J906">
        <v>1360.6282959</v>
      </c>
      <c r="K906">
        <v>0</v>
      </c>
      <c r="L906">
        <v>1650</v>
      </c>
      <c r="M906">
        <v>1650</v>
      </c>
      <c r="N906">
        <v>0</v>
      </c>
    </row>
    <row r="907" spans="1:14" x14ac:dyDescent="0.25">
      <c r="A907">
        <v>641</v>
      </c>
      <c r="B907" s="1">
        <f>DATE(2012,2,1) + TIME(0,0,0)</f>
        <v>40940</v>
      </c>
      <c r="C907">
        <v>80</v>
      </c>
      <c r="D907">
        <v>70.754684448000006</v>
      </c>
      <c r="E907">
        <v>50</v>
      </c>
      <c r="F907">
        <v>49.948623656999999</v>
      </c>
      <c r="G907">
        <v>1307.7181396000001</v>
      </c>
      <c r="H907">
        <v>1298.0814209</v>
      </c>
      <c r="I907">
        <v>1374.270874</v>
      </c>
      <c r="J907">
        <v>1360.6040039</v>
      </c>
      <c r="K907">
        <v>0</v>
      </c>
      <c r="L907">
        <v>1650</v>
      </c>
      <c r="M907">
        <v>1650</v>
      </c>
      <c r="N907">
        <v>0</v>
      </c>
    </row>
    <row r="908" spans="1:14" x14ac:dyDescent="0.25">
      <c r="A908">
        <v>643.60373800000002</v>
      </c>
      <c r="B908" s="1">
        <f>DATE(2012,2,3) + TIME(14,29,22)</f>
        <v>40942.603726851848</v>
      </c>
      <c r="C908">
        <v>80</v>
      </c>
      <c r="D908">
        <v>70.569244385000005</v>
      </c>
      <c r="E908">
        <v>50</v>
      </c>
      <c r="F908">
        <v>49.948753357000001</v>
      </c>
      <c r="G908">
        <v>1307.6657714999999</v>
      </c>
      <c r="H908">
        <v>1297.9822998</v>
      </c>
      <c r="I908">
        <v>1374.269043</v>
      </c>
      <c r="J908">
        <v>1360.6025391000001</v>
      </c>
      <c r="K908">
        <v>0</v>
      </c>
      <c r="L908">
        <v>1650</v>
      </c>
      <c r="M908">
        <v>1650</v>
      </c>
      <c r="N908">
        <v>0</v>
      </c>
    </row>
    <row r="909" spans="1:14" x14ac:dyDescent="0.25">
      <c r="A909">
        <v>646.23961599999996</v>
      </c>
      <c r="B909" s="1">
        <f>DATE(2012,2,6) + TIME(5,45,2)</f>
        <v>40945.239606481482</v>
      </c>
      <c r="C909">
        <v>80</v>
      </c>
      <c r="D909">
        <v>70.360061646000005</v>
      </c>
      <c r="E909">
        <v>50</v>
      </c>
      <c r="F909">
        <v>49.948883057000003</v>
      </c>
      <c r="G909">
        <v>1307.4631348</v>
      </c>
      <c r="H909">
        <v>1297.7047118999999</v>
      </c>
      <c r="I909">
        <v>1374.2420654</v>
      </c>
      <c r="J909">
        <v>1360.5799560999999</v>
      </c>
      <c r="K909">
        <v>0</v>
      </c>
      <c r="L909">
        <v>1650</v>
      </c>
      <c r="M909">
        <v>1650</v>
      </c>
      <c r="N909">
        <v>0</v>
      </c>
    </row>
    <row r="910" spans="1:14" x14ac:dyDescent="0.25">
      <c r="A910">
        <v>648.90876900000001</v>
      </c>
      <c r="B910" s="1">
        <f>DATE(2012,2,8) + TIME(21,48,37)</f>
        <v>40947.908761574072</v>
      </c>
      <c r="C910">
        <v>80</v>
      </c>
      <c r="D910">
        <v>70.138755798000005</v>
      </c>
      <c r="E910">
        <v>50</v>
      </c>
      <c r="F910">
        <v>49.949008941999999</v>
      </c>
      <c r="G910">
        <v>1307.2513428</v>
      </c>
      <c r="H910">
        <v>1297.4119873</v>
      </c>
      <c r="I910">
        <v>1374.2154541</v>
      </c>
      <c r="J910">
        <v>1360.5574951000001</v>
      </c>
      <c r="K910">
        <v>0</v>
      </c>
      <c r="L910">
        <v>1650</v>
      </c>
      <c r="M910">
        <v>1650</v>
      </c>
      <c r="N910">
        <v>0</v>
      </c>
    </row>
    <row r="911" spans="1:14" x14ac:dyDescent="0.25">
      <c r="A911">
        <v>651.61664099999996</v>
      </c>
      <c r="B911" s="1">
        <f>DATE(2012,2,11) + TIME(14,47,57)</f>
        <v>40950.616631944446</v>
      </c>
      <c r="C911">
        <v>80</v>
      </c>
      <c r="D911">
        <v>69.908325195000003</v>
      </c>
      <c r="E911">
        <v>50</v>
      </c>
      <c r="F911">
        <v>49.949138640999998</v>
      </c>
      <c r="G911">
        <v>1307.0330810999999</v>
      </c>
      <c r="H911">
        <v>1297.1083983999999</v>
      </c>
      <c r="I911">
        <v>1374.1890868999999</v>
      </c>
      <c r="J911">
        <v>1360.5354004000001</v>
      </c>
      <c r="K911">
        <v>0</v>
      </c>
      <c r="L911">
        <v>1650</v>
      </c>
      <c r="M911">
        <v>1650</v>
      </c>
      <c r="N911">
        <v>0</v>
      </c>
    </row>
    <row r="912" spans="1:14" x14ac:dyDescent="0.25">
      <c r="A912">
        <v>654.36853699999995</v>
      </c>
      <c r="B912" s="1">
        <f>DATE(2012,2,14) + TIME(8,50,41)</f>
        <v>40953.368530092594</v>
      </c>
      <c r="C912">
        <v>80</v>
      </c>
      <c r="D912">
        <v>69.668746948000006</v>
      </c>
      <c r="E912">
        <v>50</v>
      </c>
      <c r="F912">
        <v>49.949272155999999</v>
      </c>
      <c r="G912">
        <v>1306.8084716999999</v>
      </c>
      <c r="H912">
        <v>1296.7950439000001</v>
      </c>
      <c r="I912">
        <v>1374.1628418</v>
      </c>
      <c r="J912">
        <v>1360.5133057</v>
      </c>
      <c r="K912">
        <v>0</v>
      </c>
      <c r="L912">
        <v>1650</v>
      </c>
      <c r="M912">
        <v>1650</v>
      </c>
      <c r="N912">
        <v>0</v>
      </c>
    </row>
    <row r="913" spans="1:14" x14ac:dyDescent="0.25">
      <c r="A913">
        <v>657.16991700000005</v>
      </c>
      <c r="B913" s="1">
        <f>DATE(2012,2,17) + TIME(4,4,40)</f>
        <v>40956.169907407406</v>
      </c>
      <c r="C913">
        <v>80</v>
      </c>
      <c r="D913">
        <v>69.419418335000003</v>
      </c>
      <c r="E913">
        <v>50</v>
      </c>
      <c r="F913">
        <v>49.949405669999997</v>
      </c>
      <c r="G913">
        <v>1306.5773925999999</v>
      </c>
      <c r="H913">
        <v>1296.4716797000001</v>
      </c>
      <c r="I913">
        <v>1374.1365966999999</v>
      </c>
      <c r="J913">
        <v>1360.4913329999999</v>
      </c>
      <c r="K913">
        <v>0</v>
      </c>
      <c r="L913">
        <v>1650</v>
      </c>
      <c r="M913">
        <v>1650</v>
      </c>
      <c r="N913">
        <v>0</v>
      </c>
    </row>
    <row r="914" spans="1:14" x14ac:dyDescent="0.25">
      <c r="A914">
        <v>660.008555</v>
      </c>
      <c r="B914" s="1">
        <f>DATE(2012,2,20) + TIME(0,12,19)</f>
        <v>40959.008553240739</v>
      </c>
      <c r="C914">
        <v>80</v>
      </c>
      <c r="D914">
        <v>69.159584045000003</v>
      </c>
      <c r="E914">
        <v>50</v>
      </c>
      <c r="F914">
        <v>49.949539184999999</v>
      </c>
      <c r="G914">
        <v>1306.3397216999999</v>
      </c>
      <c r="H914">
        <v>1296.1378173999999</v>
      </c>
      <c r="I914">
        <v>1374.1104736</v>
      </c>
      <c r="J914">
        <v>1360.4693603999999</v>
      </c>
      <c r="K914">
        <v>0</v>
      </c>
      <c r="L914">
        <v>1650</v>
      </c>
      <c r="M914">
        <v>1650</v>
      </c>
      <c r="N914">
        <v>0</v>
      </c>
    </row>
    <row r="915" spans="1:14" x14ac:dyDescent="0.25">
      <c r="A915">
        <v>662.88559699999996</v>
      </c>
      <c r="B915" s="1">
        <f>DATE(2012,2,22) + TIME(21,15,15)</f>
        <v>40961.88559027778</v>
      </c>
      <c r="C915">
        <v>80</v>
      </c>
      <c r="D915">
        <v>68.888908385999997</v>
      </c>
      <c r="E915">
        <v>50</v>
      </c>
      <c r="F915">
        <v>49.949672698999997</v>
      </c>
      <c r="G915">
        <v>1306.0961914</v>
      </c>
      <c r="H915">
        <v>1295.7945557</v>
      </c>
      <c r="I915">
        <v>1374.0844727000001</v>
      </c>
      <c r="J915">
        <v>1360.4475098</v>
      </c>
      <c r="K915">
        <v>0</v>
      </c>
      <c r="L915">
        <v>1650</v>
      </c>
      <c r="M915">
        <v>1650</v>
      </c>
      <c r="N915">
        <v>0</v>
      </c>
    </row>
    <row r="916" spans="1:14" x14ac:dyDescent="0.25">
      <c r="A916">
        <v>665.80258000000003</v>
      </c>
      <c r="B916" s="1">
        <f>DATE(2012,2,25) + TIME(19,15,42)</f>
        <v>40964.802569444444</v>
      </c>
      <c r="C916">
        <v>80</v>
      </c>
      <c r="D916">
        <v>68.606636046999995</v>
      </c>
      <c r="E916">
        <v>50</v>
      </c>
      <c r="F916">
        <v>49.949806213000002</v>
      </c>
      <c r="G916">
        <v>1305.8470459</v>
      </c>
      <c r="H916">
        <v>1295.4421387</v>
      </c>
      <c r="I916">
        <v>1374.0584716999999</v>
      </c>
      <c r="J916">
        <v>1360.4256591999999</v>
      </c>
      <c r="K916">
        <v>0</v>
      </c>
      <c r="L916">
        <v>1650</v>
      </c>
      <c r="M916">
        <v>1650</v>
      </c>
      <c r="N916">
        <v>0</v>
      </c>
    </row>
    <row r="917" spans="1:14" x14ac:dyDescent="0.25">
      <c r="A917">
        <v>668.76497099999995</v>
      </c>
      <c r="B917" s="1">
        <f>DATE(2012,2,28) + TIME(18,21,33)</f>
        <v>40967.764965277776</v>
      </c>
      <c r="C917">
        <v>80</v>
      </c>
      <c r="D917">
        <v>68.311759949000006</v>
      </c>
      <c r="E917">
        <v>50</v>
      </c>
      <c r="F917">
        <v>49.949943542</v>
      </c>
      <c r="G917">
        <v>1305.5922852000001</v>
      </c>
      <c r="H917">
        <v>1295.0803223</v>
      </c>
      <c r="I917">
        <v>1374.0324707</v>
      </c>
      <c r="J917">
        <v>1360.4038086</v>
      </c>
      <c r="K917">
        <v>0</v>
      </c>
      <c r="L917">
        <v>1650</v>
      </c>
      <c r="M917">
        <v>1650</v>
      </c>
      <c r="N917">
        <v>0</v>
      </c>
    </row>
    <row r="918" spans="1:14" x14ac:dyDescent="0.25">
      <c r="A918">
        <v>670</v>
      </c>
      <c r="B918" s="1">
        <f>DATE(2012,3,1) + TIME(0,0,0)</f>
        <v>40969</v>
      </c>
      <c r="C918">
        <v>80</v>
      </c>
      <c r="D918">
        <v>68.090583800999994</v>
      </c>
      <c r="E918">
        <v>50</v>
      </c>
      <c r="F918">
        <v>49.949996947999999</v>
      </c>
      <c r="G918">
        <v>1305.3419189000001</v>
      </c>
      <c r="H918">
        <v>1294.7393798999999</v>
      </c>
      <c r="I918">
        <v>1374.0056152</v>
      </c>
      <c r="J918">
        <v>1360.3811035000001</v>
      </c>
      <c r="K918">
        <v>0</v>
      </c>
      <c r="L918">
        <v>1650</v>
      </c>
      <c r="M918">
        <v>1650</v>
      </c>
      <c r="N918">
        <v>0</v>
      </c>
    </row>
    <row r="919" spans="1:14" x14ac:dyDescent="0.25">
      <c r="A919">
        <v>673.00862099999995</v>
      </c>
      <c r="B919" s="1">
        <f>DATE(2012,3,4) + TIME(0,12,24)</f>
        <v>40972.008611111109</v>
      </c>
      <c r="C919">
        <v>80</v>
      </c>
      <c r="D919">
        <v>67.844856261999993</v>
      </c>
      <c r="E919">
        <v>50</v>
      </c>
      <c r="F919">
        <v>49.950138092000003</v>
      </c>
      <c r="G919">
        <v>1305.2066649999999</v>
      </c>
      <c r="H919">
        <v>1294.5225829999999</v>
      </c>
      <c r="I919">
        <v>1373.9958495999999</v>
      </c>
      <c r="J919">
        <v>1360.3729248</v>
      </c>
      <c r="K919">
        <v>0</v>
      </c>
      <c r="L919">
        <v>1650</v>
      </c>
      <c r="M919">
        <v>1650</v>
      </c>
      <c r="N919">
        <v>0</v>
      </c>
    </row>
    <row r="920" spans="1:14" x14ac:dyDescent="0.25">
      <c r="A920">
        <v>676.07049900000004</v>
      </c>
      <c r="B920" s="1">
        <f>DATE(2012,3,7) + TIME(1,41,31)</f>
        <v>40975.070497685185</v>
      </c>
      <c r="C920">
        <v>80</v>
      </c>
      <c r="D920">
        <v>67.535499572999996</v>
      </c>
      <c r="E920">
        <v>50</v>
      </c>
      <c r="F920">
        <v>49.950275421000001</v>
      </c>
      <c r="G920">
        <v>1304.9505615</v>
      </c>
      <c r="H920">
        <v>1294.1611327999999</v>
      </c>
      <c r="I920">
        <v>1373.9698486</v>
      </c>
      <c r="J920">
        <v>1360.3510742000001</v>
      </c>
      <c r="K920">
        <v>0</v>
      </c>
      <c r="L920">
        <v>1650</v>
      </c>
      <c r="M920">
        <v>1650</v>
      </c>
      <c r="N920">
        <v>0</v>
      </c>
    </row>
    <row r="921" spans="1:14" x14ac:dyDescent="0.25">
      <c r="A921">
        <v>679.17730200000005</v>
      </c>
      <c r="B921" s="1">
        <f>DATE(2012,3,10) + TIME(4,15,18)</f>
        <v>40978.177291666667</v>
      </c>
      <c r="C921">
        <v>80</v>
      </c>
      <c r="D921">
        <v>67.196487426999994</v>
      </c>
      <c r="E921">
        <v>50</v>
      </c>
      <c r="F921">
        <v>49.950416564999998</v>
      </c>
      <c r="G921">
        <v>1304.6802978999999</v>
      </c>
      <c r="H921">
        <v>1293.7740478999999</v>
      </c>
      <c r="I921">
        <v>1373.9436035000001</v>
      </c>
      <c r="J921">
        <v>1360.3289795000001</v>
      </c>
      <c r="K921">
        <v>0</v>
      </c>
      <c r="L921">
        <v>1650</v>
      </c>
      <c r="M921">
        <v>1650</v>
      </c>
      <c r="N921">
        <v>0</v>
      </c>
    </row>
    <row r="922" spans="1:14" x14ac:dyDescent="0.25">
      <c r="A922">
        <v>682.33640700000001</v>
      </c>
      <c r="B922" s="1">
        <f>DATE(2012,3,13) + TIME(8,4,25)</f>
        <v>40981.336400462962</v>
      </c>
      <c r="C922">
        <v>80</v>
      </c>
      <c r="D922">
        <v>66.837043761999993</v>
      </c>
      <c r="E922">
        <v>50</v>
      </c>
      <c r="F922">
        <v>49.950557709000002</v>
      </c>
      <c r="G922">
        <v>1304.4024658000001</v>
      </c>
      <c r="H922">
        <v>1293.3734131000001</v>
      </c>
      <c r="I922">
        <v>1373.9173584</v>
      </c>
      <c r="J922">
        <v>1360.3067627</v>
      </c>
      <c r="K922">
        <v>0</v>
      </c>
      <c r="L922">
        <v>1650</v>
      </c>
      <c r="M922">
        <v>1650</v>
      </c>
      <c r="N922">
        <v>0</v>
      </c>
    </row>
    <row r="923" spans="1:14" x14ac:dyDescent="0.25">
      <c r="A923">
        <v>685.55514300000004</v>
      </c>
      <c r="B923" s="1">
        <f>DATE(2012,3,16) + TIME(13,19,24)</f>
        <v>40984.555138888885</v>
      </c>
      <c r="C923">
        <v>80</v>
      </c>
      <c r="D923">
        <v>66.458557128999999</v>
      </c>
      <c r="E923">
        <v>50</v>
      </c>
      <c r="F923">
        <v>49.950702667000002</v>
      </c>
      <c r="G923">
        <v>1304.1185303</v>
      </c>
      <c r="H923">
        <v>1292.9619141000001</v>
      </c>
      <c r="I923">
        <v>1373.8908690999999</v>
      </c>
      <c r="J923">
        <v>1360.2844238</v>
      </c>
      <c r="K923">
        <v>0</v>
      </c>
      <c r="L923">
        <v>1650</v>
      </c>
      <c r="M923">
        <v>1650</v>
      </c>
      <c r="N923">
        <v>0</v>
      </c>
    </row>
    <row r="924" spans="1:14" x14ac:dyDescent="0.25">
      <c r="A924">
        <v>688.82057299999997</v>
      </c>
      <c r="B924" s="1">
        <f>DATE(2012,3,19) + TIME(19,41,37)</f>
        <v>40987.820567129631</v>
      </c>
      <c r="C924">
        <v>80</v>
      </c>
      <c r="D924">
        <v>66.060874939000001</v>
      </c>
      <c r="E924">
        <v>50</v>
      </c>
      <c r="F924">
        <v>49.950843810999999</v>
      </c>
      <c r="G924">
        <v>1303.8286132999999</v>
      </c>
      <c r="H924">
        <v>1292.5401611</v>
      </c>
      <c r="I924">
        <v>1373.8640137</v>
      </c>
      <c r="J924">
        <v>1360.2617187999999</v>
      </c>
      <c r="K924">
        <v>0</v>
      </c>
      <c r="L924">
        <v>1650</v>
      </c>
      <c r="M924">
        <v>1650</v>
      </c>
      <c r="N924">
        <v>0</v>
      </c>
    </row>
    <row r="925" spans="1:14" x14ac:dyDescent="0.25">
      <c r="A925">
        <v>692.13572899999997</v>
      </c>
      <c r="B925" s="1">
        <f>DATE(2012,3,23) + TIME(3,15,26)</f>
        <v>40991.135717592595</v>
      </c>
      <c r="C925">
        <v>80</v>
      </c>
      <c r="D925">
        <v>65.644233704000001</v>
      </c>
      <c r="E925">
        <v>50</v>
      </c>
      <c r="F925">
        <v>49.950988770000002</v>
      </c>
      <c r="G925">
        <v>1303.5339355000001</v>
      </c>
      <c r="H925">
        <v>1292.1096190999999</v>
      </c>
      <c r="I925">
        <v>1373.8369141000001</v>
      </c>
      <c r="J925">
        <v>1360.2387695</v>
      </c>
      <c r="K925">
        <v>0</v>
      </c>
      <c r="L925">
        <v>1650</v>
      </c>
      <c r="M925">
        <v>1650</v>
      </c>
      <c r="N925">
        <v>0</v>
      </c>
    </row>
    <row r="926" spans="1:14" x14ac:dyDescent="0.25">
      <c r="A926">
        <v>695.50933099999997</v>
      </c>
      <c r="B926" s="1">
        <f>DATE(2012,3,26) + TIME(12,13,26)</f>
        <v>40994.509328703702</v>
      </c>
      <c r="C926">
        <v>80</v>
      </c>
      <c r="D926">
        <v>65.207908630000006</v>
      </c>
      <c r="E926">
        <v>50</v>
      </c>
      <c r="F926">
        <v>49.951137543000002</v>
      </c>
      <c r="G926">
        <v>1303.2349853999999</v>
      </c>
      <c r="H926">
        <v>1291.6707764</v>
      </c>
      <c r="I926">
        <v>1373.8095702999999</v>
      </c>
      <c r="J926">
        <v>1360.2155762</v>
      </c>
      <c r="K926">
        <v>0</v>
      </c>
      <c r="L926">
        <v>1650</v>
      </c>
      <c r="M926">
        <v>1650</v>
      </c>
      <c r="N926">
        <v>0</v>
      </c>
    </row>
    <row r="927" spans="1:14" x14ac:dyDescent="0.25">
      <c r="A927">
        <v>698.95058900000004</v>
      </c>
      <c r="B927" s="1">
        <f>DATE(2012,3,29) + TIME(22,48,50)</f>
        <v>40997.950578703705</v>
      </c>
      <c r="C927">
        <v>80</v>
      </c>
      <c r="D927">
        <v>64.750801085999996</v>
      </c>
      <c r="E927">
        <v>50</v>
      </c>
      <c r="F927">
        <v>49.951282501000001</v>
      </c>
      <c r="G927">
        <v>1302.9312743999999</v>
      </c>
      <c r="H927">
        <v>1291.2232666</v>
      </c>
      <c r="I927">
        <v>1373.7818603999999</v>
      </c>
      <c r="J927">
        <v>1360.1920166</v>
      </c>
      <c r="K927">
        <v>0</v>
      </c>
      <c r="L927">
        <v>1650</v>
      </c>
      <c r="M927">
        <v>1650</v>
      </c>
      <c r="N927">
        <v>0</v>
      </c>
    </row>
    <row r="928" spans="1:14" x14ac:dyDescent="0.25">
      <c r="A928">
        <v>701</v>
      </c>
      <c r="B928" s="1">
        <f>DATE(2012,4,1) + TIME(0,0,0)</f>
        <v>41000</v>
      </c>
      <c r="C928">
        <v>80</v>
      </c>
      <c r="D928">
        <v>64.340675353999998</v>
      </c>
      <c r="E928">
        <v>50</v>
      </c>
      <c r="F928">
        <v>49.951366425000003</v>
      </c>
      <c r="G928">
        <v>1302.6282959</v>
      </c>
      <c r="H928">
        <v>1290.7882079999999</v>
      </c>
      <c r="I928">
        <v>1373.7530518000001</v>
      </c>
      <c r="J928">
        <v>1360.1674805</v>
      </c>
      <c r="K928">
        <v>0</v>
      </c>
      <c r="L928">
        <v>1650</v>
      </c>
      <c r="M928">
        <v>1650</v>
      </c>
      <c r="N928">
        <v>0</v>
      </c>
    </row>
    <row r="929" spans="1:14" x14ac:dyDescent="0.25">
      <c r="A929">
        <v>704.51342499999998</v>
      </c>
      <c r="B929" s="1">
        <f>DATE(2012,4,4) + TIME(12,19,19)</f>
        <v>41003.513414351852</v>
      </c>
      <c r="C929">
        <v>80</v>
      </c>
      <c r="D929">
        <v>63.949260711999997</v>
      </c>
      <c r="E929">
        <v>50</v>
      </c>
      <c r="F929">
        <v>49.951519011999999</v>
      </c>
      <c r="G929">
        <v>1302.4250488</v>
      </c>
      <c r="H929">
        <v>1290.4643555</v>
      </c>
      <c r="I929">
        <v>1373.7368164</v>
      </c>
      <c r="J929">
        <v>1360.1535644999999</v>
      </c>
      <c r="K929">
        <v>0</v>
      </c>
      <c r="L929">
        <v>1650</v>
      </c>
      <c r="M929">
        <v>1650</v>
      </c>
      <c r="N929">
        <v>0</v>
      </c>
    </row>
    <row r="930" spans="1:14" x14ac:dyDescent="0.25">
      <c r="A930">
        <v>708.12691600000005</v>
      </c>
      <c r="B930" s="1">
        <f>DATE(2012,4,8) + TIME(3,2,45)</f>
        <v>41007.126909722225</v>
      </c>
      <c r="C930">
        <v>80</v>
      </c>
      <c r="D930">
        <v>63.461544037000003</v>
      </c>
      <c r="E930">
        <v>50</v>
      </c>
      <c r="F930">
        <v>49.951671599999997</v>
      </c>
      <c r="G930">
        <v>1302.1234131000001</v>
      </c>
      <c r="H930">
        <v>1290.0207519999999</v>
      </c>
      <c r="I930">
        <v>1373.7080077999999</v>
      </c>
      <c r="J930">
        <v>1360.1289062000001</v>
      </c>
      <c r="K930">
        <v>0</v>
      </c>
      <c r="L930">
        <v>1650</v>
      </c>
      <c r="M930">
        <v>1650</v>
      </c>
      <c r="N930">
        <v>0</v>
      </c>
    </row>
    <row r="931" spans="1:14" x14ac:dyDescent="0.25">
      <c r="A931">
        <v>711.81879900000001</v>
      </c>
      <c r="B931" s="1">
        <f>DATE(2012,4,11) + TIME(19,39,4)</f>
        <v>41010.818796296298</v>
      </c>
      <c r="C931">
        <v>80</v>
      </c>
      <c r="D931">
        <v>62.931095122999999</v>
      </c>
      <c r="E931">
        <v>50</v>
      </c>
      <c r="F931">
        <v>49.951828003000003</v>
      </c>
      <c r="G931">
        <v>1301.8074951000001</v>
      </c>
      <c r="H931">
        <v>1289.5491943</v>
      </c>
      <c r="I931">
        <v>1373.6783447</v>
      </c>
      <c r="J931">
        <v>1360.1035156</v>
      </c>
      <c r="K931">
        <v>0</v>
      </c>
      <c r="L931">
        <v>1650</v>
      </c>
      <c r="M931">
        <v>1650</v>
      </c>
      <c r="N931">
        <v>0</v>
      </c>
    </row>
    <row r="932" spans="1:14" x14ac:dyDescent="0.25">
      <c r="A932">
        <v>715.59467600000005</v>
      </c>
      <c r="B932" s="1">
        <f>DATE(2012,4,15) + TIME(14,16,19)</f>
        <v>41014.594664351855</v>
      </c>
      <c r="C932">
        <v>80</v>
      </c>
      <c r="D932">
        <v>62.372699738000001</v>
      </c>
      <c r="E932">
        <v>50</v>
      </c>
      <c r="F932">
        <v>49.951984406000001</v>
      </c>
      <c r="G932">
        <v>1301.4853516000001</v>
      </c>
      <c r="H932">
        <v>1289.0646973</v>
      </c>
      <c r="I932">
        <v>1373.6479492000001</v>
      </c>
      <c r="J932">
        <v>1360.0775146000001</v>
      </c>
      <c r="K932">
        <v>0</v>
      </c>
      <c r="L932">
        <v>1650</v>
      </c>
      <c r="M932">
        <v>1650</v>
      </c>
      <c r="N932">
        <v>0</v>
      </c>
    </row>
    <row r="933" spans="1:14" x14ac:dyDescent="0.25">
      <c r="A933">
        <v>719.43470300000001</v>
      </c>
      <c r="B933" s="1">
        <f>DATE(2012,4,19) + TIME(10,25,58)</f>
        <v>41018.434699074074</v>
      </c>
      <c r="C933">
        <v>80</v>
      </c>
      <c r="D933">
        <v>61.7903862</v>
      </c>
      <c r="E933">
        <v>50</v>
      </c>
      <c r="F933">
        <v>49.952140808000003</v>
      </c>
      <c r="G933">
        <v>1301.1590576000001</v>
      </c>
      <c r="H933">
        <v>1288.5714111</v>
      </c>
      <c r="I933">
        <v>1373.6168213000001</v>
      </c>
      <c r="J933">
        <v>1360.0506591999999</v>
      </c>
      <c r="K933">
        <v>0</v>
      </c>
      <c r="L933">
        <v>1650</v>
      </c>
      <c r="M933">
        <v>1650</v>
      </c>
      <c r="N933">
        <v>0</v>
      </c>
    </row>
    <row r="934" spans="1:14" x14ac:dyDescent="0.25">
      <c r="A934">
        <v>723.35026600000003</v>
      </c>
      <c r="B934" s="1">
        <f>DATE(2012,4,23) + TIME(8,24,22)</f>
        <v>41022.350254629629</v>
      </c>
      <c r="C934">
        <v>80</v>
      </c>
      <c r="D934">
        <v>61.187328338999997</v>
      </c>
      <c r="E934">
        <v>50</v>
      </c>
      <c r="F934">
        <v>49.952297211000001</v>
      </c>
      <c r="G934">
        <v>1300.8309326000001</v>
      </c>
      <c r="H934">
        <v>1288.0727539</v>
      </c>
      <c r="I934">
        <v>1373.5852050999999</v>
      </c>
      <c r="J934">
        <v>1360.0233154</v>
      </c>
      <c r="K934">
        <v>0</v>
      </c>
      <c r="L934">
        <v>1650</v>
      </c>
      <c r="M934">
        <v>1650</v>
      </c>
      <c r="N934">
        <v>0</v>
      </c>
    </row>
    <row r="935" spans="1:14" x14ac:dyDescent="0.25">
      <c r="A935">
        <v>727.35318800000005</v>
      </c>
      <c r="B935" s="1">
        <f>DATE(2012,4,27) + TIME(8,28,35)</f>
        <v>41026.353182870371</v>
      </c>
      <c r="C935">
        <v>80</v>
      </c>
      <c r="D935">
        <v>60.563674927000001</v>
      </c>
      <c r="E935">
        <v>50</v>
      </c>
      <c r="F935">
        <v>49.952461243000002</v>
      </c>
      <c r="G935">
        <v>1300.5013428</v>
      </c>
      <c r="H935">
        <v>1287.5693358999999</v>
      </c>
      <c r="I935">
        <v>1373.5527344</v>
      </c>
      <c r="J935">
        <v>1359.9952393000001</v>
      </c>
      <c r="K935">
        <v>0</v>
      </c>
      <c r="L935">
        <v>1650</v>
      </c>
      <c r="M935">
        <v>1650</v>
      </c>
      <c r="N935">
        <v>0</v>
      </c>
    </row>
    <row r="936" spans="1:14" x14ac:dyDescent="0.25">
      <c r="A936">
        <v>731</v>
      </c>
      <c r="B936" s="1">
        <f>DATE(2012,5,1) + TIME(0,0,0)</f>
        <v>41030</v>
      </c>
      <c r="C936">
        <v>80</v>
      </c>
      <c r="D936">
        <v>59.934375762999998</v>
      </c>
      <c r="E936">
        <v>50</v>
      </c>
      <c r="F936">
        <v>49.952602386000002</v>
      </c>
      <c r="G936">
        <v>1300.1711425999999</v>
      </c>
      <c r="H936">
        <v>1287.0657959</v>
      </c>
      <c r="I936">
        <v>1373.5192870999999</v>
      </c>
      <c r="J936">
        <v>1359.9661865</v>
      </c>
      <c r="K936">
        <v>0</v>
      </c>
      <c r="L936">
        <v>1650</v>
      </c>
      <c r="M936">
        <v>1650</v>
      </c>
      <c r="N936">
        <v>0</v>
      </c>
    </row>
    <row r="937" spans="1:14" x14ac:dyDescent="0.25">
      <c r="A937">
        <v>731.000001</v>
      </c>
      <c r="B937" s="1">
        <f>DATE(2012,5,1) + TIME(0,0,0)</f>
        <v>41030</v>
      </c>
      <c r="C937">
        <v>80</v>
      </c>
      <c r="D937">
        <v>59.934486389</v>
      </c>
      <c r="E937">
        <v>50</v>
      </c>
      <c r="F937">
        <v>49.952526093000003</v>
      </c>
      <c r="G937">
        <v>1314.7453613</v>
      </c>
      <c r="H937">
        <v>1300.8862305</v>
      </c>
      <c r="I937">
        <v>1359.3651123</v>
      </c>
      <c r="J937">
        <v>1346.5568848</v>
      </c>
      <c r="K937">
        <v>1650</v>
      </c>
      <c r="L937">
        <v>0</v>
      </c>
      <c r="M937">
        <v>0</v>
      </c>
      <c r="N937">
        <v>1650</v>
      </c>
    </row>
    <row r="938" spans="1:14" x14ac:dyDescent="0.25">
      <c r="A938">
        <v>731.00000399999999</v>
      </c>
      <c r="B938" s="1">
        <f>DATE(2012,5,1) + TIME(0,0,0)</f>
        <v>41030</v>
      </c>
      <c r="C938">
        <v>80</v>
      </c>
      <c r="D938">
        <v>59.934791564999998</v>
      </c>
      <c r="E938">
        <v>50</v>
      </c>
      <c r="F938">
        <v>49.952323913999997</v>
      </c>
      <c r="G938">
        <v>1316.3919678</v>
      </c>
      <c r="H938">
        <v>1302.7473144999999</v>
      </c>
      <c r="I938">
        <v>1357.7619629000001</v>
      </c>
      <c r="J938">
        <v>1344.9527588000001</v>
      </c>
      <c r="K938">
        <v>1650</v>
      </c>
      <c r="L938">
        <v>0</v>
      </c>
      <c r="M938">
        <v>0</v>
      </c>
      <c r="N938">
        <v>1650</v>
      </c>
    </row>
    <row r="939" spans="1:14" x14ac:dyDescent="0.25">
      <c r="A939">
        <v>731.00001299999997</v>
      </c>
      <c r="B939" s="1">
        <f>DATE(2012,5,1) + TIME(0,0,1)</f>
        <v>41030.000011574077</v>
      </c>
      <c r="C939">
        <v>80</v>
      </c>
      <c r="D939">
        <v>59.935489654999998</v>
      </c>
      <c r="E939">
        <v>50</v>
      </c>
      <c r="F939">
        <v>49.951869965</v>
      </c>
      <c r="G939">
        <v>1320.0776367000001</v>
      </c>
      <c r="H939">
        <v>1306.7325439000001</v>
      </c>
      <c r="I939">
        <v>1354.1651611</v>
      </c>
      <c r="J939">
        <v>1341.3548584</v>
      </c>
      <c r="K939">
        <v>1650</v>
      </c>
      <c r="L939">
        <v>0</v>
      </c>
      <c r="M939">
        <v>0</v>
      </c>
      <c r="N939">
        <v>1650</v>
      </c>
    </row>
    <row r="940" spans="1:14" x14ac:dyDescent="0.25">
      <c r="A940">
        <v>731.00004000000001</v>
      </c>
      <c r="B940" s="1">
        <f>DATE(2012,5,1) + TIME(0,0,3)</f>
        <v>41030.000034722223</v>
      </c>
      <c r="C940">
        <v>80</v>
      </c>
      <c r="D940">
        <v>59.936847686999997</v>
      </c>
      <c r="E940">
        <v>50</v>
      </c>
      <c r="F940">
        <v>49.951110839999998</v>
      </c>
      <c r="G940">
        <v>1326.2469481999999</v>
      </c>
      <c r="H940">
        <v>1313.0407714999999</v>
      </c>
      <c r="I940">
        <v>1348.1524658000001</v>
      </c>
      <c r="J940">
        <v>1335.3435059000001</v>
      </c>
      <c r="K940">
        <v>1650</v>
      </c>
      <c r="L940">
        <v>0</v>
      </c>
      <c r="M940">
        <v>0</v>
      </c>
      <c r="N940">
        <v>1650</v>
      </c>
    </row>
    <row r="941" spans="1:14" x14ac:dyDescent="0.25">
      <c r="A941">
        <v>731.00012100000004</v>
      </c>
      <c r="B941" s="1">
        <f>DATE(2012,5,1) + TIME(0,0,10)</f>
        <v>41030.000115740739</v>
      </c>
      <c r="C941">
        <v>80</v>
      </c>
      <c r="D941">
        <v>59.939422606999997</v>
      </c>
      <c r="E941">
        <v>50</v>
      </c>
      <c r="F941">
        <v>49.950176239000001</v>
      </c>
      <c r="G941">
        <v>1333.8522949000001</v>
      </c>
      <c r="H941">
        <v>1320.5538329999999</v>
      </c>
      <c r="I941">
        <v>1340.8092041</v>
      </c>
      <c r="J941">
        <v>1328.0064697</v>
      </c>
      <c r="K941">
        <v>1650</v>
      </c>
      <c r="L941">
        <v>0</v>
      </c>
      <c r="M941">
        <v>0</v>
      </c>
      <c r="N941">
        <v>1650</v>
      </c>
    </row>
    <row r="942" spans="1:14" x14ac:dyDescent="0.25">
      <c r="A942">
        <v>731.00036399999999</v>
      </c>
      <c r="B942" s="1">
        <f>DATE(2012,5,1) + TIME(0,0,31)</f>
        <v>41030.000358796293</v>
      </c>
      <c r="C942">
        <v>80</v>
      </c>
      <c r="D942">
        <v>59.945270538000003</v>
      </c>
      <c r="E942">
        <v>50</v>
      </c>
      <c r="F942">
        <v>49.949192046999997</v>
      </c>
      <c r="G942">
        <v>1341.8358154</v>
      </c>
      <c r="H942">
        <v>1328.3956298999999</v>
      </c>
      <c r="I942">
        <v>1333.2420654</v>
      </c>
      <c r="J942">
        <v>1320.4508057</v>
      </c>
      <c r="K942">
        <v>1650</v>
      </c>
      <c r="L942">
        <v>0</v>
      </c>
      <c r="M942">
        <v>0</v>
      </c>
      <c r="N942">
        <v>1650</v>
      </c>
    </row>
    <row r="943" spans="1:14" x14ac:dyDescent="0.25">
      <c r="A943">
        <v>731.00109299999997</v>
      </c>
      <c r="B943" s="1">
        <f>DATE(2012,5,1) + TIME(0,1,34)</f>
        <v>41030.001087962963</v>
      </c>
      <c r="C943">
        <v>80</v>
      </c>
      <c r="D943">
        <v>59.960929870999998</v>
      </c>
      <c r="E943">
        <v>50</v>
      </c>
      <c r="F943">
        <v>49.948127747000001</v>
      </c>
      <c r="G943">
        <v>1350.1165771000001</v>
      </c>
      <c r="H943">
        <v>1336.5329589999999</v>
      </c>
      <c r="I943">
        <v>1325.6466064000001</v>
      </c>
      <c r="J943">
        <v>1312.8624268000001</v>
      </c>
      <c r="K943">
        <v>1650</v>
      </c>
      <c r="L943">
        <v>0</v>
      </c>
      <c r="M943">
        <v>0</v>
      </c>
      <c r="N943">
        <v>1650</v>
      </c>
    </row>
    <row r="944" spans="1:14" x14ac:dyDescent="0.25">
      <c r="A944">
        <v>731.00328000000002</v>
      </c>
      <c r="B944" s="1">
        <f>DATE(2012,5,1) + TIME(0,4,43)</f>
        <v>41030.003275462965</v>
      </c>
      <c r="C944">
        <v>80</v>
      </c>
      <c r="D944">
        <v>60.006195067999997</v>
      </c>
      <c r="E944">
        <v>50</v>
      </c>
      <c r="F944">
        <v>49.946830749999997</v>
      </c>
      <c r="G944">
        <v>1358.7947998</v>
      </c>
      <c r="H944">
        <v>1345.0727539</v>
      </c>
      <c r="I944">
        <v>1317.9335937999999</v>
      </c>
      <c r="J944">
        <v>1305.1135254000001</v>
      </c>
      <c r="K944">
        <v>1650</v>
      </c>
      <c r="L944">
        <v>0</v>
      </c>
      <c r="M944">
        <v>0</v>
      </c>
      <c r="N944">
        <v>1650</v>
      </c>
    </row>
    <row r="945" spans="1:14" x14ac:dyDescent="0.25">
      <c r="A945">
        <v>731.00984100000005</v>
      </c>
      <c r="B945" s="1">
        <f>DATE(2012,5,1) + TIME(0,14,10)</f>
        <v>41030.009837962964</v>
      </c>
      <c r="C945">
        <v>80</v>
      </c>
      <c r="D945">
        <v>60.139816283999998</v>
      </c>
      <c r="E945">
        <v>50</v>
      </c>
      <c r="F945">
        <v>49.944919585999997</v>
      </c>
      <c r="G945">
        <v>1366.963501</v>
      </c>
      <c r="H945">
        <v>1353.1535644999999</v>
      </c>
      <c r="I945">
        <v>1310.5880127</v>
      </c>
      <c r="J945">
        <v>1297.6958007999999</v>
      </c>
      <c r="K945">
        <v>1650</v>
      </c>
      <c r="L945">
        <v>0</v>
      </c>
      <c r="M945">
        <v>0</v>
      </c>
      <c r="N945">
        <v>1650</v>
      </c>
    </row>
    <row r="946" spans="1:14" x14ac:dyDescent="0.25">
      <c r="A946">
        <v>731.02952400000004</v>
      </c>
      <c r="B946" s="1">
        <f>DATE(2012,5,1) + TIME(0,42,30)</f>
        <v>41030.029513888891</v>
      </c>
      <c r="C946">
        <v>80</v>
      </c>
      <c r="D946">
        <v>60.531932830999999</v>
      </c>
      <c r="E946">
        <v>50</v>
      </c>
      <c r="F946">
        <v>49.941310883</v>
      </c>
      <c r="G946">
        <v>1372.8018798999999</v>
      </c>
      <c r="H946">
        <v>1359.0177002</v>
      </c>
      <c r="I946">
        <v>1305.1899414</v>
      </c>
      <c r="J946">
        <v>1292.246582</v>
      </c>
      <c r="K946">
        <v>1650</v>
      </c>
      <c r="L946">
        <v>0</v>
      </c>
      <c r="M946">
        <v>0</v>
      </c>
      <c r="N946">
        <v>1650</v>
      </c>
    </row>
    <row r="947" spans="1:14" x14ac:dyDescent="0.25">
      <c r="A947">
        <v>731.06555200000003</v>
      </c>
      <c r="B947" s="1">
        <f>DATE(2012,5,1) + TIME(1,34,23)</f>
        <v>41030.06554398148</v>
      </c>
      <c r="C947">
        <v>80</v>
      </c>
      <c r="D947">
        <v>61.223781586000001</v>
      </c>
      <c r="E947">
        <v>50</v>
      </c>
      <c r="F947">
        <v>49.935768127000003</v>
      </c>
      <c r="G947">
        <v>1375.1524658000001</v>
      </c>
      <c r="H947">
        <v>1361.4952393000001</v>
      </c>
      <c r="I947">
        <v>1303.1145019999999</v>
      </c>
      <c r="J947">
        <v>1290.1542969</v>
      </c>
      <c r="K947">
        <v>1650</v>
      </c>
      <c r="L947">
        <v>0</v>
      </c>
      <c r="M947">
        <v>0</v>
      </c>
      <c r="N947">
        <v>1650</v>
      </c>
    </row>
    <row r="948" spans="1:14" x14ac:dyDescent="0.25">
      <c r="A948">
        <v>731.10237299999994</v>
      </c>
      <c r="B948" s="1">
        <f>DATE(2012,5,1) + TIME(2,27,24)</f>
        <v>41030.102361111109</v>
      </c>
      <c r="C948">
        <v>80</v>
      </c>
      <c r="D948">
        <v>61.905746460000003</v>
      </c>
      <c r="E948">
        <v>50</v>
      </c>
      <c r="F948">
        <v>49.930358886999997</v>
      </c>
      <c r="G948">
        <v>1375.7714844</v>
      </c>
      <c r="H948">
        <v>1362.2364502</v>
      </c>
      <c r="I948">
        <v>1302.6505127</v>
      </c>
      <c r="J948">
        <v>1289.6861572</v>
      </c>
      <c r="K948">
        <v>1650</v>
      </c>
      <c r="L948">
        <v>0</v>
      </c>
      <c r="M948">
        <v>0</v>
      </c>
      <c r="N948">
        <v>1650</v>
      </c>
    </row>
    <row r="949" spans="1:14" x14ac:dyDescent="0.25">
      <c r="A949">
        <v>731.13990200000001</v>
      </c>
      <c r="B949" s="1">
        <f>DATE(2012,5,1) + TIME(3,21,27)</f>
        <v>41030.13989583333</v>
      </c>
      <c r="C949">
        <v>80</v>
      </c>
      <c r="D949">
        <v>62.575702667000002</v>
      </c>
      <c r="E949">
        <v>50</v>
      </c>
      <c r="F949">
        <v>49.924945831000002</v>
      </c>
      <c r="G949">
        <v>1375.8837891000001</v>
      </c>
      <c r="H949">
        <v>1362.4683838000001</v>
      </c>
      <c r="I949">
        <v>1302.5734863</v>
      </c>
      <c r="J949">
        <v>1289.6077881000001</v>
      </c>
      <c r="K949">
        <v>1650</v>
      </c>
      <c r="L949">
        <v>0</v>
      </c>
      <c r="M949">
        <v>0</v>
      </c>
      <c r="N949">
        <v>1650</v>
      </c>
    </row>
    <row r="950" spans="1:14" x14ac:dyDescent="0.25">
      <c r="A950">
        <v>731.17815299999995</v>
      </c>
      <c r="B950" s="1">
        <f>DATE(2012,5,1) + TIME(4,16,32)</f>
        <v>41030.178148148145</v>
      </c>
      <c r="C950">
        <v>80</v>
      </c>
      <c r="D950">
        <v>63.233379364000001</v>
      </c>
      <c r="E950">
        <v>50</v>
      </c>
      <c r="F950">
        <v>49.919490814</v>
      </c>
      <c r="G950">
        <v>1375.8253173999999</v>
      </c>
      <c r="H950">
        <v>1362.5253906</v>
      </c>
      <c r="I950">
        <v>1302.5814209</v>
      </c>
      <c r="J950">
        <v>1289.6151123</v>
      </c>
      <c r="K950">
        <v>1650</v>
      </c>
      <c r="L950">
        <v>0</v>
      </c>
      <c r="M950">
        <v>0</v>
      </c>
      <c r="N950">
        <v>1650</v>
      </c>
    </row>
    <row r="951" spans="1:14" x14ac:dyDescent="0.25">
      <c r="A951">
        <v>731.21715600000005</v>
      </c>
      <c r="B951" s="1">
        <f>DATE(2012,5,1) + TIME(5,12,42)</f>
        <v>41030.217152777775</v>
      </c>
      <c r="C951">
        <v>80</v>
      </c>
      <c r="D951">
        <v>63.878787994</v>
      </c>
      <c r="E951">
        <v>50</v>
      </c>
      <c r="F951">
        <v>49.913986205999997</v>
      </c>
      <c r="G951">
        <v>1375.7045897999999</v>
      </c>
      <c r="H951">
        <v>1362.5158690999999</v>
      </c>
      <c r="I951">
        <v>1302.5998535000001</v>
      </c>
      <c r="J951">
        <v>1289.6330565999999</v>
      </c>
      <c r="K951">
        <v>1650</v>
      </c>
      <c r="L951">
        <v>0</v>
      </c>
      <c r="M951">
        <v>0</v>
      </c>
      <c r="N951">
        <v>1650</v>
      </c>
    </row>
    <row r="952" spans="1:14" x14ac:dyDescent="0.25">
      <c r="A952">
        <v>731.25694799999997</v>
      </c>
      <c r="B952" s="1">
        <f>DATE(2012,5,1) + TIME(6,10,0)</f>
        <v>41030.256944444445</v>
      </c>
      <c r="C952">
        <v>80</v>
      </c>
      <c r="D952">
        <v>64.511985779</v>
      </c>
      <c r="E952">
        <v>50</v>
      </c>
      <c r="F952">
        <v>49.908416748</v>
      </c>
      <c r="G952">
        <v>1375.5615233999999</v>
      </c>
      <c r="H952">
        <v>1362.4796143000001</v>
      </c>
      <c r="I952">
        <v>1302.6135254000001</v>
      </c>
      <c r="J952">
        <v>1289.6464844</v>
      </c>
      <c r="K952">
        <v>1650</v>
      </c>
      <c r="L952">
        <v>0</v>
      </c>
      <c r="M952">
        <v>0</v>
      </c>
      <c r="N952">
        <v>1650</v>
      </c>
    </row>
    <row r="953" spans="1:14" x14ac:dyDescent="0.25">
      <c r="A953">
        <v>731.29756899999995</v>
      </c>
      <c r="B953" s="1">
        <f>DATE(2012,5,1) + TIME(7,8,29)</f>
        <v>41030.29755787037</v>
      </c>
      <c r="C953">
        <v>80</v>
      </c>
      <c r="D953">
        <v>65.133094787999994</v>
      </c>
      <c r="E953">
        <v>50</v>
      </c>
      <c r="F953">
        <v>49.902790070000002</v>
      </c>
      <c r="G953">
        <v>1375.4118652</v>
      </c>
      <c r="H953">
        <v>1362.4326172000001</v>
      </c>
      <c r="I953">
        <v>1302.6218262</v>
      </c>
      <c r="J953">
        <v>1289.6542969</v>
      </c>
      <c r="K953">
        <v>1650</v>
      </c>
      <c r="L953">
        <v>0</v>
      </c>
      <c r="M953">
        <v>0</v>
      </c>
      <c r="N953">
        <v>1650</v>
      </c>
    </row>
    <row r="954" spans="1:14" x14ac:dyDescent="0.25">
      <c r="A954">
        <v>731.33906400000001</v>
      </c>
      <c r="B954" s="1">
        <f>DATE(2012,5,1) + TIME(8,8,15)</f>
        <v>41030.339062500003</v>
      </c>
      <c r="C954">
        <v>80</v>
      </c>
      <c r="D954">
        <v>65.742248535000002</v>
      </c>
      <c r="E954">
        <v>50</v>
      </c>
      <c r="F954">
        <v>49.897094727000002</v>
      </c>
      <c r="G954">
        <v>1375.2624512</v>
      </c>
      <c r="H954">
        <v>1362.3818358999999</v>
      </c>
      <c r="I954">
        <v>1302.6263428</v>
      </c>
      <c r="J954">
        <v>1289.6584473</v>
      </c>
      <c r="K954">
        <v>1650</v>
      </c>
      <c r="L954">
        <v>0</v>
      </c>
      <c r="M954">
        <v>0</v>
      </c>
      <c r="N954">
        <v>1650</v>
      </c>
    </row>
    <row r="955" spans="1:14" x14ac:dyDescent="0.25">
      <c r="A955">
        <v>731.38147700000002</v>
      </c>
      <c r="B955" s="1">
        <f>DATE(2012,5,1) + TIME(9,9,19)</f>
        <v>41030.381469907406</v>
      </c>
      <c r="C955">
        <v>80</v>
      </c>
      <c r="D955">
        <v>66.339408875000004</v>
      </c>
      <c r="E955">
        <v>50</v>
      </c>
      <c r="F955">
        <v>49.891330719000003</v>
      </c>
      <c r="G955">
        <v>1375.1159668</v>
      </c>
      <c r="H955">
        <v>1362.3303223</v>
      </c>
      <c r="I955">
        <v>1302.6287841999999</v>
      </c>
      <c r="J955">
        <v>1289.6604004000001</v>
      </c>
      <c r="K955">
        <v>1650</v>
      </c>
      <c r="L955">
        <v>0</v>
      </c>
      <c r="M955">
        <v>0</v>
      </c>
      <c r="N955">
        <v>1650</v>
      </c>
    </row>
    <row r="956" spans="1:14" x14ac:dyDescent="0.25">
      <c r="A956">
        <v>731.42486099999996</v>
      </c>
      <c r="B956" s="1">
        <f>DATE(2012,5,1) + TIME(10,11,47)</f>
        <v>41030.424849537034</v>
      </c>
      <c r="C956">
        <v>80</v>
      </c>
      <c r="D956">
        <v>66.924621582</v>
      </c>
      <c r="E956">
        <v>50</v>
      </c>
      <c r="F956">
        <v>49.885486602999997</v>
      </c>
      <c r="G956">
        <v>1374.9738769999999</v>
      </c>
      <c r="H956">
        <v>1362.2794189000001</v>
      </c>
      <c r="I956">
        <v>1302.6300048999999</v>
      </c>
      <c r="J956">
        <v>1289.6612548999999</v>
      </c>
      <c r="K956">
        <v>1650</v>
      </c>
      <c r="L956">
        <v>0</v>
      </c>
      <c r="M956">
        <v>0</v>
      </c>
      <c r="N956">
        <v>1650</v>
      </c>
    </row>
    <row r="957" spans="1:14" x14ac:dyDescent="0.25">
      <c r="A957">
        <v>731.46925799999997</v>
      </c>
      <c r="B957" s="1">
        <f>DATE(2012,5,1) + TIME(11,15,43)</f>
        <v>41030.469247685185</v>
      </c>
      <c r="C957">
        <v>80</v>
      </c>
      <c r="D957">
        <v>67.497795104999994</v>
      </c>
      <c r="E957">
        <v>50</v>
      </c>
      <c r="F957">
        <v>49.879570006999998</v>
      </c>
      <c r="G957">
        <v>1374.8364257999999</v>
      </c>
      <c r="H957">
        <v>1362.2296143000001</v>
      </c>
      <c r="I957">
        <v>1302.6306152</v>
      </c>
      <c r="J957">
        <v>1289.6613769999999</v>
      </c>
      <c r="K957">
        <v>1650</v>
      </c>
      <c r="L957">
        <v>0</v>
      </c>
      <c r="M957">
        <v>0</v>
      </c>
      <c r="N957">
        <v>1650</v>
      </c>
    </row>
    <row r="958" spans="1:14" x14ac:dyDescent="0.25">
      <c r="A958">
        <v>731.51473399999998</v>
      </c>
      <c r="B958" s="1">
        <f>DATE(2012,5,1) + TIME(12,21,13)</f>
        <v>41030.514733796299</v>
      </c>
      <c r="C958">
        <v>80</v>
      </c>
      <c r="D958">
        <v>68.059059142999999</v>
      </c>
      <c r="E958">
        <v>50</v>
      </c>
      <c r="F958">
        <v>49.873561858999999</v>
      </c>
      <c r="G958">
        <v>1374.7037353999999</v>
      </c>
      <c r="H958">
        <v>1362.1812743999999</v>
      </c>
      <c r="I958">
        <v>1302.6308594</v>
      </c>
      <c r="J958">
        <v>1289.6612548999999</v>
      </c>
      <c r="K958">
        <v>1650</v>
      </c>
      <c r="L958">
        <v>0</v>
      </c>
      <c r="M958">
        <v>0</v>
      </c>
      <c r="N958">
        <v>1650</v>
      </c>
    </row>
    <row r="959" spans="1:14" x14ac:dyDescent="0.25">
      <c r="A959">
        <v>731.56134999999995</v>
      </c>
      <c r="B959" s="1">
        <f>DATE(2012,5,1) + TIME(13,28,20)</f>
        <v>41030.561342592591</v>
      </c>
      <c r="C959">
        <v>80</v>
      </c>
      <c r="D959">
        <v>68.608436584000003</v>
      </c>
      <c r="E959">
        <v>50</v>
      </c>
      <c r="F959">
        <v>49.867465973000002</v>
      </c>
      <c r="G959">
        <v>1374.5758057</v>
      </c>
      <c r="H959">
        <v>1362.1343993999999</v>
      </c>
      <c r="I959">
        <v>1302.6309814000001</v>
      </c>
      <c r="J959">
        <v>1289.6608887</v>
      </c>
      <c r="K959">
        <v>1650</v>
      </c>
      <c r="L959">
        <v>0</v>
      </c>
      <c r="M959">
        <v>0</v>
      </c>
      <c r="N959">
        <v>1650</v>
      </c>
    </row>
    <row r="960" spans="1:14" x14ac:dyDescent="0.25">
      <c r="A960">
        <v>731.60917400000005</v>
      </c>
      <c r="B960" s="1">
        <f>DATE(2012,5,1) + TIME(14,37,12)</f>
        <v>41030.609166666669</v>
      </c>
      <c r="C960">
        <v>80</v>
      </c>
      <c r="D960">
        <v>69.145919800000001</v>
      </c>
      <c r="E960">
        <v>50</v>
      </c>
      <c r="F960">
        <v>49.861274719000001</v>
      </c>
      <c r="G960">
        <v>1374.4522704999999</v>
      </c>
      <c r="H960">
        <v>1362.0888672000001</v>
      </c>
      <c r="I960">
        <v>1302.6308594</v>
      </c>
      <c r="J960">
        <v>1289.6604004000001</v>
      </c>
      <c r="K960">
        <v>1650</v>
      </c>
      <c r="L960">
        <v>0</v>
      </c>
      <c r="M960">
        <v>0</v>
      </c>
      <c r="N960">
        <v>1650</v>
      </c>
    </row>
    <row r="961" spans="1:14" x14ac:dyDescent="0.25">
      <c r="A961">
        <v>731.658276</v>
      </c>
      <c r="B961" s="1">
        <f>DATE(2012,5,1) + TIME(15,47,55)</f>
        <v>41030.658275462964</v>
      </c>
      <c r="C961">
        <v>80</v>
      </c>
      <c r="D961">
        <v>69.671501160000005</v>
      </c>
      <c r="E961">
        <v>50</v>
      </c>
      <c r="F961">
        <v>49.854976653999998</v>
      </c>
      <c r="G961">
        <v>1374.3331298999999</v>
      </c>
      <c r="H961">
        <v>1362.0447998</v>
      </c>
      <c r="I961">
        <v>1302.6307373</v>
      </c>
      <c r="J961">
        <v>1289.6597899999999</v>
      </c>
      <c r="K961">
        <v>1650</v>
      </c>
      <c r="L961">
        <v>0</v>
      </c>
      <c r="M961">
        <v>0</v>
      </c>
      <c r="N961">
        <v>1650</v>
      </c>
    </row>
    <row r="962" spans="1:14" x14ac:dyDescent="0.25">
      <c r="A962">
        <v>731.70873500000005</v>
      </c>
      <c r="B962" s="1">
        <f>DATE(2012,5,1) + TIME(17,0,34)</f>
        <v>41030.708726851852</v>
      </c>
      <c r="C962">
        <v>80</v>
      </c>
      <c r="D962">
        <v>70.185020446999999</v>
      </c>
      <c r="E962">
        <v>50</v>
      </c>
      <c r="F962">
        <v>49.848571776999997</v>
      </c>
      <c r="G962">
        <v>1374.2181396000001</v>
      </c>
      <c r="H962">
        <v>1362.0018310999999</v>
      </c>
      <c r="I962">
        <v>1302.6306152</v>
      </c>
      <c r="J962">
        <v>1289.6591797000001</v>
      </c>
      <c r="K962">
        <v>1650</v>
      </c>
      <c r="L962">
        <v>0</v>
      </c>
      <c r="M962">
        <v>0</v>
      </c>
      <c r="N962">
        <v>1650</v>
      </c>
    </row>
    <row r="963" spans="1:14" x14ac:dyDescent="0.25">
      <c r="A963">
        <v>731.76063199999999</v>
      </c>
      <c r="B963" s="1">
        <f>DATE(2012,5,1) + TIME(18,15,18)</f>
        <v>41030.760625000003</v>
      </c>
      <c r="C963">
        <v>80</v>
      </c>
      <c r="D963">
        <v>70.686340332</v>
      </c>
      <c r="E963">
        <v>50</v>
      </c>
      <c r="F963">
        <v>49.842048644999998</v>
      </c>
      <c r="G963">
        <v>1374.1069336</v>
      </c>
      <c r="H963">
        <v>1361.9600829999999</v>
      </c>
      <c r="I963">
        <v>1302.6303711</v>
      </c>
      <c r="J963">
        <v>1289.6584473</v>
      </c>
      <c r="K963">
        <v>1650</v>
      </c>
      <c r="L963">
        <v>0</v>
      </c>
      <c r="M963">
        <v>0</v>
      </c>
      <c r="N963">
        <v>1650</v>
      </c>
    </row>
    <row r="964" spans="1:14" x14ac:dyDescent="0.25">
      <c r="A964">
        <v>731.81406100000004</v>
      </c>
      <c r="B964" s="1">
        <f>DATE(2012,5,1) + TIME(19,32,14)</f>
        <v>41030.814050925925</v>
      </c>
      <c r="C964">
        <v>80</v>
      </c>
      <c r="D964">
        <v>71.175636291999993</v>
      </c>
      <c r="E964">
        <v>50</v>
      </c>
      <c r="F964">
        <v>49.835395812999998</v>
      </c>
      <c r="G964">
        <v>1373.9995117000001</v>
      </c>
      <c r="H964">
        <v>1361.9194336</v>
      </c>
      <c r="I964">
        <v>1302.6301269999999</v>
      </c>
      <c r="J964">
        <v>1289.6577147999999</v>
      </c>
      <c r="K964">
        <v>1650</v>
      </c>
      <c r="L964">
        <v>0</v>
      </c>
      <c r="M964">
        <v>0</v>
      </c>
      <c r="N964">
        <v>1650</v>
      </c>
    </row>
    <row r="965" spans="1:14" x14ac:dyDescent="0.25">
      <c r="A965">
        <v>731.86911799999996</v>
      </c>
      <c r="B965" s="1">
        <f>DATE(2012,5,1) + TIME(20,51,31)</f>
        <v>41030.869108796294</v>
      </c>
      <c r="C965">
        <v>80</v>
      </c>
      <c r="D965">
        <v>71.652854919000006</v>
      </c>
      <c r="E965">
        <v>50</v>
      </c>
      <c r="F965">
        <v>49.828613281000003</v>
      </c>
      <c r="G965">
        <v>1373.8955077999999</v>
      </c>
      <c r="H965">
        <v>1361.8796387</v>
      </c>
      <c r="I965">
        <v>1302.6297606999999</v>
      </c>
      <c r="J965">
        <v>1289.6568603999999</v>
      </c>
      <c r="K965">
        <v>1650</v>
      </c>
      <c r="L965">
        <v>0</v>
      </c>
      <c r="M965">
        <v>0</v>
      </c>
      <c r="N965">
        <v>1650</v>
      </c>
    </row>
    <row r="966" spans="1:14" x14ac:dyDescent="0.25">
      <c r="A966">
        <v>731.92591200000004</v>
      </c>
      <c r="B966" s="1">
        <f>DATE(2012,5,1) + TIME(22,13,18)</f>
        <v>41030.925902777781</v>
      </c>
      <c r="C966">
        <v>80</v>
      </c>
      <c r="D966">
        <v>72.117935181000007</v>
      </c>
      <c r="E966">
        <v>50</v>
      </c>
      <c r="F966">
        <v>49.821685791</v>
      </c>
      <c r="G966">
        <v>1373.7949219</v>
      </c>
      <c r="H966">
        <v>1361.8406981999999</v>
      </c>
      <c r="I966">
        <v>1302.6293945</v>
      </c>
      <c r="J966">
        <v>1289.6560059000001</v>
      </c>
      <c r="K966">
        <v>1650</v>
      </c>
      <c r="L966">
        <v>0</v>
      </c>
      <c r="M966">
        <v>0</v>
      </c>
      <c r="N966">
        <v>1650</v>
      </c>
    </row>
    <row r="967" spans="1:14" x14ac:dyDescent="0.25">
      <c r="A967">
        <v>731.98457800000006</v>
      </c>
      <c r="B967" s="1">
        <f>DATE(2012,5,1) + TIME(23,37,47)</f>
        <v>41030.984571759262</v>
      </c>
      <c r="C967">
        <v>80</v>
      </c>
      <c r="D967">
        <v>72.570915221999996</v>
      </c>
      <c r="E967">
        <v>50</v>
      </c>
      <c r="F967">
        <v>49.814601897999999</v>
      </c>
      <c r="G967">
        <v>1373.6972656</v>
      </c>
      <c r="H967">
        <v>1361.8026123</v>
      </c>
      <c r="I967">
        <v>1302.6290283000001</v>
      </c>
      <c r="J967">
        <v>1289.6550293</v>
      </c>
      <c r="K967">
        <v>1650</v>
      </c>
      <c r="L967">
        <v>0</v>
      </c>
      <c r="M967">
        <v>0</v>
      </c>
      <c r="N967">
        <v>1650</v>
      </c>
    </row>
    <row r="968" spans="1:14" x14ac:dyDescent="0.25">
      <c r="A968">
        <v>732.04524300000003</v>
      </c>
      <c r="B968" s="1">
        <f>DATE(2012,5,2) + TIME(1,5,8)</f>
        <v>41031.045231481483</v>
      </c>
      <c r="C968">
        <v>80</v>
      </c>
      <c r="D968">
        <v>73.011688231999997</v>
      </c>
      <c r="E968">
        <v>50</v>
      </c>
      <c r="F968">
        <v>49.807350159000002</v>
      </c>
      <c r="G968">
        <v>1373.6026611</v>
      </c>
      <c r="H968">
        <v>1361.7650146000001</v>
      </c>
      <c r="I968">
        <v>1302.6285399999999</v>
      </c>
      <c r="J968">
        <v>1289.6540527</v>
      </c>
      <c r="K968">
        <v>1650</v>
      </c>
      <c r="L968">
        <v>0</v>
      </c>
      <c r="M968">
        <v>0</v>
      </c>
      <c r="N968">
        <v>1650</v>
      </c>
    </row>
    <row r="969" spans="1:14" x14ac:dyDescent="0.25">
      <c r="A969">
        <v>732.10803799999996</v>
      </c>
      <c r="B969" s="1">
        <f>DATE(2012,5,2) + TIME(2,35,34)</f>
        <v>41031.108032407406</v>
      </c>
      <c r="C969">
        <v>80</v>
      </c>
      <c r="D969">
        <v>73.440071106000005</v>
      </c>
      <c r="E969">
        <v>50</v>
      </c>
      <c r="F969">
        <v>49.799919127999999</v>
      </c>
      <c r="G969">
        <v>1373.5107422000001</v>
      </c>
      <c r="H969">
        <v>1361.7280272999999</v>
      </c>
      <c r="I969">
        <v>1302.6280518000001</v>
      </c>
      <c r="J969">
        <v>1289.6530762</v>
      </c>
      <c r="K969">
        <v>1650</v>
      </c>
      <c r="L969">
        <v>0</v>
      </c>
      <c r="M969">
        <v>0</v>
      </c>
      <c r="N969">
        <v>1650</v>
      </c>
    </row>
    <row r="970" spans="1:14" x14ac:dyDescent="0.25">
      <c r="A970">
        <v>732.17312300000003</v>
      </c>
      <c r="B970" s="1">
        <f>DATE(2012,5,2) + TIME(4,9,17)</f>
        <v>41031.173113425924</v>
      </c>
      <c r="C970">
        <v>80</v>
      </c>
      <c r="D970">
        <v>73.855964661000002</v>
      </c>
      <c r="E970">
        <v>50</v>
      </c>
      <c r="F970">
        <v>49.792297363000003</v>
      </c>
      <c r="G970">
        <v>1373.4213867000001</v>
      </c>
      <c r="H970">
        <v>1361.6915283000001</v>
      </c>
      <c r="I970">
        <v>1302.6275635</v>
      </c>
      <c r="J970">
        <v>1289.6518555</v>
      </c>
      <c r="K970">
        <v>1650</v>
      </c>
      <c r="L970">
        <v>0</v>
      </c>
      <c r="M970">
        <v>0</v>
      </c>
      <c r="N970">
        <v>1650</v>
      </c>
    </row>
    <row r="971" spans="1:14" x14ac:dyDescent="0.25">
      <c r="A971">
        <v>732.24067200000002</v>
      </c>
      <c r="B971" s="1">
        <f>DATE(2012,5,2) + TIME(5,46,34)</f>
        <v>41031.240671296298</v>
      </c>
      <c r="C971">
        <v>80</v>
      </c>
      <c r="D971">
        <v>74.259269713999998</v>
      </c>
      <c r="E971">
        <v>50</v>
      </c>
      <c r="F971">
        <v>49.784469604000002</v>
      </c>
      <c r="G971">
        <v>1373.3344727000001</v>
      </c>
      <c r="H971">
        <v>1361.6553954999999</v>
      </c>
      <c r="I971">
        <v>1302.6269531</v>
      </c>
      <c r="J971">
        <v>1289.6507568</v>
      </c>
      <c r="K971">
        <v>1650</v>
      </c>
      <c r="L971">
        <v>0</v>
      </c>
      <c r="M971">
        <v>0</v>
      </c>
      <c r="N971">
        <v>1650</v>
      </c>
    </row>
    <row r="972" spans="1:14" x14ac:dyDescent="0.25">
      <c r="A972">
        <v>732.31088</v>
      </c>
      <c r="B972" s="1">
        <f>DATE(2012,5,2) + TIME(7,27,40)</f>
        <v>41031.310879629629</v>
      </c>
      <c r="C972">
        <v>80</v>
      </c>
      <c r="D972">
        <v>74.649856567</v>
      </c>
      <c r="E972">
        <v>50</v>
      </c>
      <c r="F972">
        <v>49.776420592999997</v>
      </c>
      <c r="G972">
        <v>1373.2497559000001</v>
      </c>
      <c r="H972">
        <v>1361.6193848</v>
      </c>
      <c r="I972">
        <v>1302.6263428</v>
      </c>
      <c r="J972">
        <v>1289.6495361</v>
      </c>
      <c r="K972">
        <v>1650</v>
      </c>
      <c r="L972">
        <v>0</v>
      </c>
      <c r="M972">
        <v>0</v>
      </c>
      <c r="N972">
        <v>1650</v>
      </c>
    </row>
    <row r="973" spans="1:14" x14ac:dyDescent="0.25">
      <c r="A973">
        <v>732.38396399999999</v>
      </c>
      <c r="B973" s="1">
        <f>DATE(2012,5,2) + TIME(9,12,54)</f>
        <v>41031.383958333332</v>
      </c>
      <c r="C973">
        <v>80</v>
      </c>
      <c r="D973">
        <v>75.027587890999996</v>
      </c>
      <c r="E973">
        <v>50</v>
      </c>
      <c r="F973">
        <v>49.768127440999997</v>
      </c>
      <c r="G973">
        <v>1373.1671143000001</v>
      </c>
      <c r="H973">
        <v>1361.5836182</v>
      </c>
      <c r="I973">
        <v>1302.6256103999999</v>
      </c>
      <c r="J973">
        <v>1289.6483154</v>
      </c>
      <c r="K973">
        <v>1650</v>
      </c>
      <c r="L973">
        <v>0</v>
      </c>
      <c r="M973">
        <v>0</v>
      </c>
      <c r="N973">
        <v>1650</v>
      </c>
    </row>
    <row r="974" spans="1:14" x14ac:dyDescent="0.25">
      <c r="A974">
        <v>732.46016999999995</v>
      </c>
      <c r="B974" s="1">
        <f>DATE(2012,5,2) + TIME(11,2,38)</f>
        <v>41031.460162037038</v>
      </c>
      <c r="C974">
        <v>80</v>
      </c>
      <c r="D974">
        <v>75.392112732000001</v>
      </c>
      <c r="E974">
        <v>50</v>
      </c>
      <c r="F974">
        <v>49.759574890000003</v>
      </c>
      <c r="G974">
        <v>1373.0863036999999</v>
      </c>
      <c r="H974">
        <v>1361.5478516000001</v>
      </c>
      <c r="I974">
        <v>1302.6248779</v>
      </c>
      <c r="J974">
        <v>1289.6469727000001</v>
      </c>
      <c r="K974">
        <v>1650</v>
      </c>
      <c r="L974">
        <v>0</v>
      </c>
      <c r="M974">
        <v>0</v>
      </c>
      <c r="N974">
        <v>1650</v>
      </c>
    </row>
    <row r="975" spans="1:14" x14ac:dyDescent="0.25">
      <c r="A975">
        <v>732.53977099999997</v>
      </c>
      <c r="B975" s="1">
        <f>DATE(2012,5,2) + TIME(12,57,16)</f>
        <v>41031.539768518516</v>
      </c>
      <c r="C975">
        <v>80</v>
      </c>
      <c r="D975">
        <v>75.743530273000005</v>
      </c>
      <c r="E975">
        <v>50</v>
      </c>
      <c r="F975">
        <v>49.750732421999999</v>
      </c>
      <c r="G975">
        <v>1373.0073242000001</v>
      </c>
      <c r="H975">
        <v>1361.5120850000001</v>
      </c>
      <c r="I975">
        <v>1302.6241454999999</v>
      </c>
      <c r="J975">
        <v>1289.6455077999999</v>
      </c>
      <c r="K975">
        <v>1650</v>
      </c>
      <c r="L975">
        <v>0</v>
      </c>
      <c r="M975">
        <v>0</v>
      </c>
      <c r="N975">
        <v>1650</v>
      </c>
    </row>
    <row r="976" spans="1:14" x14ac:dyDescent="0.25">
      <c r="A976">
        <v>732.62307999999996</v>
      </c>
      <c r="B976" s="1">
        <f>DATE(2012,5,2) + TIME(14,57,14)</f>
        <v>41031.623078703706</v>
      </c>
      <c r="C976">
        <v>80</v>
      </c>
      <c r="D976">
        <v>76.081710814999994</v>
      </c>
      <c r="E976">
        <v>50</v>
      </c>
      <c r="F976">
        <v>49.741584778000004</v>
      </c>
      <c r="G976">
        <v>1372.9298096</v>
      </c>
      <c r="H976">
        <v>1361.4760742000001</v>
      </c>
      <c r="I976">
        <v>1302.6232910000001</v>
      </c>
      <c r="J976">
        <v>1289.644043</v>
      </c>
      <c r="K976">
        <v>1650</v>
      </c>
      <c r="L976">
        <v>0</v>
      </c>
      <c r="M976">
        <v>0</v>
      </c>
      <c r="N976">
        <v>1650</v>
      </c>
    </row>
    <row r="977" spans="1:14" x14ac:dyDescent="0.25">
      <c r="A977">
        <v>732.71046200000001</v>
      </c>
      <c r="B977" s="1">
        <f>DATE(2012,5,2) + TIME(17,3,3)</f>
        <v>41031.710451388892</v>
      </c>
      <c r="C977">
        <v>80</v>
      </c>
      <c r="D977">
        <v>76.406547545999999</v>
      </c>
      <c r="E977">
        <v>50</v>
      </c>
      <c r="F977">
        <v>49.732089995999999</v>
      </c>
      <c r="G977">
        <v>1372.8537598</v>
      </c>
      <c r="H977">
        <v>1361.4398193</v>
      </c>
      <c r="I977">
        <v>1302.6224365</v>
      </c>
      <c r="J977">
        <v>1289.6424560999999</v>
      </c>
      <c r="K977">
        <v>1650</v>
      </c>
      <c r="L977">
        <v>0</v>
      </c>
      <c r="M977">
        <v>0</v>
      </c>
      <c r="N977">
        <v>1650</v>
      </c>
    </row>
    <row r="978" spans="1:14" x14ac:dyDescent="0.25">
      <c r="A978">
        <v>732.80237099999999</v>
      </c>
      <c r="B978" s="1">
        <f>DATE(2012,5,2) + TIME(19,15,24)</f>
        <v>41031.802361111113</v>
      </c>
      <c r="C978">
        <v>80</v>
      </c>
      <c r="D978">
        <v>76.718032836999996</v>
      </c>
      <c r="E978">
        <v>50</v>
      </c>
      <c r="F978">
        <v>49.722221374999997</v>
      </c>
      <c r="G978">
        <v>1372.7786865</v>
      </c>
      <c r="H978">
        <v>1361.4030762</v>
      </c>
      <c r="I978">
        <v>1302.621582</v>
      </c>
      <c r="J978">
        <v>1289.6408690999999</v>
      </c>
      <c r="K978">
        <v>1650</v>
      </c>
      <c r="L978">
        <v>0</v>
      </c>
      <c r="M978">
        <v>0</v>
      </c>
      <c r="N978">
        <v>1650</v>
      </c>
    </row>
    <row r="979" spans="1:14" x14ac:dyDescent="0.25">
      <c r="A979">
        <v>732.89922799999999</v>
      </c>
      <c r="B979" s="1">
        <f>DATE(2012,5,2) + TIME(21,34,53)</f>
        <v>41031.899224537039</v>
      </c>
      <c r="C979">
        <v>80</v>
      </c>
      <c r="D979">
        <v>77.015838622999993</v>
      </c>
      <c r="E979">
        <v>50</v>
      </c>
      <c r="F979">
        <v>49.711936950999998</v>
      </c>
      <c r="G979">
        <v>1372.7048339999999</v>
      </c>
      <c r="H979">
        <v>1361.3658447</v>
      </c>
      <c r="I979">
        <v>1302.6206055</v>
      </c>
      <c r="J979">
        <v>1289.6391602000001</v>
      </c>
      <c r="K979">
        <v>1650</v>
      </c>
      <c r="L979">
        <v>0</v>
      </c>
      <c r="M979">
        <v>0</v>
      </c>
      <c r="N979">
        <v>1650</v>
      </c>
    </row>
    <row r="980" spans="1:14" x14ac:dyDescent="0.25">
      <c r="A980">
        <v>733.00157899999999</v>
      </c>
      <c r="B980" s="1">
        <f>DATE(2012,5,3) + TIME(0,2,16)</f>
        <v>41032.001574074071</v>
      </c>
      <c r="C980">
        <v>80</v>
      </c>
      <c r="D980">
        <v>77.299812317000004</v>
      </c>
      <c r="E980">
        <v>50</v>
      </c>
      <c r="F980">
        <v>49.701194762999997</v>
      </c>
      <c r="G980">
        <v>1372.6317139</v>
      </c>
      <c r="H980">
        <v>1361.3280029</v>
      </c>
      <c r="I980">
        <v>1302.6195068</v>
      </c>
      <c r="J980">
        <v>1289.6374512</v>
      </c>
      <c r="K980">
        <v>1650</v>
      </c>
      <c r="L980">
        <v>0</v>
      </c>
      <c r="M980">
        <v>0</v>
      </c>
      <c r="N980">
        <v>1650</v>
      </c>
    </row>
    <row r="981" spans="1:14" x14ac:dyDescent="0.25">
      <c r="A981">
        <v>733.11006299999997</v>
      </c>
      <c r="B981" s="1">
        <f>DATE(2012,5,3) + TIME(2,38,29)</f>
        <v>41032.11005787037</v>
      </c>
      <c r="C981">
        <v>80</v>
      </c>
      <c r="D981">
        <v>77.569801330999994</v>
      </c>
      <c r="E981">
        <v>50</v>
      </c>
      <c r="F981">
        <v>49.689941406000003</v>
      </c>
      <c r="G981">
        <v>1372.5592041</v>
      </c>
      <c r="H981">
        <v>1361.2893065999999</v>
      </c>
      <c r="I981">
        <v>1302.6184082</v>
      </c>
      <c r="J981">
        <v>1289.6354980000001</v>
      </c>
      <c r="K981">
        <v>1650</v>
      </c>
      <c r="L981">
        <v>0</v>
      </c>
      <c r="M981">
        <v>0</v>
      </c>
      <c r="N981">
        <v>1650</v>
      </c>
    </row>
    <row r="982" spans="1:14" x14ac:dyDescent="0.25">
      <c r="A982">
        <v>733.22542999999996</v>
      </c>
      <c r="B982" s="1">
        <f>DATE(2012,5,3) + TIME(5,24,37)</f>
        <v>41032.225428240738</v>
      </c>
      <c r="C982">
        <v>80</v>
      </c>
      <c r="D982">
        <v>77.825660705999994</v>
      </c>
      <c r="E982">
        <v>50</v>
      </c>
      <c r="F982">
        <v>49.678123474000003</v>
      </c>
      <c r="G982">
        <v>1372.4871826000001</v>
      </c>
      <c r="H982">
        <v>1361.2496338000001</v>
      </c>
      <c r="I982">
        <v>1302.6171875</v>
      </c>
      <c r="J982">
        <v>1289.6335449000001</v>
      </c>
      <c r="K982">
        <v>1650</v>
      </c>
      <c r="L982">
        <v>0</v>
      </c>
      <c r="M982">
        <v>0</v>
      </c>
      <c r="N982">
        <v>1650</v>
      </c>
    </row>
    <row r="983" spans="1:14" x14ac:dyDescent="0.25">
      <c r="A983">
        <v>733.34854900000005</v>
      </c>
      <c r="B983" s="1">
        <f>DATE(2012,5,3) + TIME(8,21,54)</f>
        <v>41032.348541666666</v>
      </c>
      <c r="C983">
        <v>80</v>
      </c>
      <c r="D983">
        <v>78.067192078000005</v>
      </c>
      <c r="E983">
        <v>50</v>
      </c>
      <c r="F983">
        <v>49.665664673000002</v>
      </c>
      <c r="G983">
        <v>1372.4152832</v>
      </c>
      <c r="H983">
        <v>1361.2087402</v>
      </c>
      <c r="I983">
        <v>1302.6159668</v>
      </c>
      <c r="J983">
        <v>1289.6314697</v>
      </c>
      <c r="K983">
        <v>1650</v>
      </c>
      <c r="L983">
        <v>0</v>
      </c>
      <c r="M983">
        <v>0</v>
      </c>
      <c r="N983">
        <v>1650</v>
      </c>
    </row>
    <row r="984" spans="1:14" x14ac:dyDescent="0.25">
      <c r="A984">
        <v>733.48051199999998</v>
      </c>
      <c r="B984" s="1">
        <f>DATE(2012,5,3) + TIME(11,31,56)</f>
        <v>41032.480509259258</v>
      </c>
      <c r="C984">
        <v>80</v>
      </c>
      <c r="D984">
        <v>78.294288635000001</v>
      </c>
      <c r="E984">
        <v>50</v>
      </c>
      <c r="F984">
        <v>49.652481078999998</v>
      </c>
      <c r="G984">
        <v>1372.3432617000001</v>
      </c>
      <c r="H984">
        <v>1361.166626</v>
      </c>
      <c r="I984">
        <v>1302.614624</v>
      </c>
      <c r="J984">
        <v>1289.6291504000001</v>
      </c>
      <c r="K984">
        <v>1650</v>
      </c>
      <c r="L984">
        <v>0</v>
      </c>
      <c r="M984">
        <v>0</v>
      </c>
      <c r="N984">
        <v>1650</v>
      </c>
    </row>
    <row r="985" spans="1:14" x14ac:dyDescent="0.25">
      <c r="A985">
        <v>733.62263199999995</v>
      </c>
      <c r="B985" s="1">
        <f>DATE(2012,5,3) + TIME(14,56,35)</f>
        <v>41032.622627314813</v>
      </c>
      <c r="C985">
        <v>80</v>
      </c>
      <c r="D985">
        <v>78.506805420000006</v>
      </c>
      <c r="E985">
        <v>50</v>
      </c>
      <c r="F985">
        <v>49.638473511000001</v>
      </c>
      <c r="G985">
        <v>1372.2709961</v>
      </c>
      <c r="H985">
        <v>1361.1229248</v>
      </c>
      <c r="I985">
        <v>1302.6130370999999</v>
      </c>
      <c r="J985">
        <v>1289.6268310999999</v>
      </c>
      <c r="K985">
        <v>1650</v>
      </c>
      <c r="L985">
        <v>0</v>
      </c>
      <c r="M985">
        <v>0</v>
      </c>
      <c r="N985">
        <v>1650</v>
      </c>
    </row>
    <row r="986" spans="1:14" x14ac:dyDescent="0.25">
      <c r="A986">
        <v>733.77651600000002</v>
      </c>
      <c r="B986" s="1">
        <f>DATE(2012,5,3) + TIME(18,38,10)</f>
        <v>41032.776504629626</v>
      </c>
      <c r="C986">
        <v>80</v>
      </c>
      <c r="D986">
        <v>78.704620360999996</v>
      </c>
      <c r="E986">
        <v>50</v>
      </c>
      <c r="F986">
        <v>49.623512267999999</v>
      </c>
      <c r="G986">
        <v>1372.197876</v>
      </c>
      <c r="H986">
        <v>1361.0773925999999</v>
      </c>
      <c r="I986">
        <v>1302.6114502</v>
      </c>
      <c r="J986">
        <v>1289.6242675999999</v>
      </c>
      <c r="K986">
        <v>1650</v>
      </c>
      <c r="L986">
        <v>0</v>
      </c>
      <c r="M986">
        <v>0</v>
      </c>
      <c r="N986">
        <v>1650</v>
      </c>
    </row>
    <row r="987" spans="1:14" x14ac:dyDescent="0.25">
      <c r="A987">
        <v>733.93580499999996</v>
      </c>
      <c r="B987" s="1">
        <f>DATE(2012,5,3) + TIME(22,27,33)</f>
        <v>41032.935798611114</v>
      </c>
      <c r="C987">
        <v>80</v>
      </c>
      <c r="D987">
        <v>78.879776000999996</v>
      </c>
      <c r="E987">
        <v>50</v>
      </c>
      <c r="F987">
        <v>49.608161926000001</v>
      </c>
      <c r="G987">
        <v>1372.1269531</v>
      </c>
      <c r="H987">
        <v>1361.0313721</v>
      </c>
      <c r="I987">
        <v>1302.6097411999999</v>
      </c>
      <c r="J987">
        <v>1289.6214600000001</v>
      </c>
      <c r="K987">
        <v>1650</v>
      </c>
      <c r="L987">
        <v>0</v>
      </c>
      <c r="M987">
        <v>0</v>
      </c>
      <c r="N987">
        <v>1650</v>
      </c>
    </row>
    <row r="988" spans="1:14" x14ac:dyDescent="0.25">
      <c r="A988">
        <v>734.09603700000002</v>
      </c>
      <c r="B988" s="1">
        <f>DATE(2012,5,4) + TIME(2,18,17)</f>
        <v>41033.096030092594</v>
      </c>
      <c r="C988">
        <v>80</v>
      </c>
      <c r="D988">
        <v>79.030387877999999</v>
      </c>
      <c r="E988">
        <v>50</v>
      </c>
      <c r="F988">
        <v>49.592796325999998</v>
      </c>
      <c r="G988">
        <v>1372.0593262</v>
      </c>
      <c r="H988">
        <v>1360.9859618999999</v>
      </c>
      <c r="I988">
        <v>1302.6077881000001</v>
      </c>
      <c r="J988">
        <v>1289.6186522999999</v>
      </c>
      <c r="K988">
        <v>1650</v>
      </c>
      <c r="L988">
        <v>0</v>
      </c>
      <c r="M988">
        <v>0</v>
      </c>
      <c r="N988">
        <v>1650</v>
      </c>
    </row>
    <row r="989" spans="1:14" x14ac:dyDescent="0.25">
      <c r="A989">
        <v>734.25779699999998</v>
      </c>
      <c r="B989" s="1">
        <f>DATE(2012,5,4) + TIME(6,11,13)</f>
        <v>41033.257789351854</v>
      </c>
      <c r="C989">
        <v>80</v>
      </c>
      <c r="D989">
        <v>79.160186768000003</v>
      </c>
      <c r="E989">
        <v>50</v>
      </c>
      <c r="F989">
        <v>49.577369689999998</v>
      </c>
      <c r="G989">
        <v>1371.9946289</v>
      </c>
      <c r="H989">
        <v>1360.9415283000001</v>
      </c>
      <c r="I989">
        <v>1302.6058350000001</v>
      </c>
      <c r="J989">
        <v>1289.6157227000001</v>
      </c>
      <c r="K989">
        <v>1650</v>
      </c>
      <c r="L989">
        <v>0</v>
      </c>
      <c r="M989">
        <v>0</v>
      </c>
      <c r="N989">
        <v>1650</v>
      </c>
    </row>
    <row r="990" spans="1:14" x14ac:dyDescent="0.25">
      <c r="A990">
        <v>734.42146000000002</v>
      </c>
      <c r="B990" s="1">
        <f>DATE(2012,5,4) + TIME(10,6,54)</f>
        <v>41033.421458333331</v>
      </c>
      <c r="C990">
        <v>80</v>
      </c>
      <c r="D990">
        <v>79.272109985</v>
      </c>
      <c r="E990">
        <v>50</v>
      </c>
      <c r="F990">
        <v>49.561847686999997</v>
      </c>
      <c r="G990">
        <v>1371.9323730000001</v>
      </c>
      <c r="H990">
        <v>1360.8979492000001</v>
      </c>
      <c r="I990">
        <v>1302.6038818</v>
      </c>
      <c r="J990">
        <v>1289.6129149999999</v>
      </c>
      <c r="K990">
        <v>1650</v>
      </c>
      <c r="L990">
        <v>0</v>
      </c>
      <c r="M990">
        <v>0</v>
      </c>
      <c r="N990">
        <v>1650</v>
      </c>
    </row>
    <row r="991" spans="1:14" x14ac:dyDescent="0.25">
      <c r="A991">
        <v>734.587401</v>
      </c>
      <c r="B991" s="1">
        <f>DATE(2012,5,4) + TIME(14,5,51)</f>
        <v>41033.587395833332</v>
      </c>
      <c r="C991">
        <v>80</v>
      </c>
      <c r="D991">
        <v>79.368652343999997</v>
      </c>
      <c r="E991">
        <v>50</v>
      </c>
      <c r="F991">
        <v>49.546195984000001</v>
      </c>
      <c r="G991">
        <v>1371.8721923999999</v>
      </c>
      <c r="H991">
        <v>1360.8549805</v>
      </c>
      <c r="I991">
        <v>1302.6019286999999</v>
      </c>
      <c r="J991">
        <v>1289.6099853999999</v>
      </c>
      <c r="K991">
        <v>1650</v>
      </c>
      <c r="L991">
        <v>0</v>
      </c>
      <c r="M991">
        <v>0</v>
      </c>
      <c r="N991">
        <v>1650</v>
      </c>
    </row>
    <row r="992" spans="1:14" x14ac:dyDescent="0.25">
      <c r="A992">
        <v>734.75599599999998</v>
      </c>
      <c r="B992" s="1">
        <f>DATE(2012,5,4) + TIME(18,8,38)</f>
        <v>41033.755995370368</v>
      </c>
      <c r="C992">
        <v>80</v>
      </c>
      <c r="D992">
        <v>79.451911925999994</v>
      </c>
      <c r="E992">
        <v>50</v>
      </c>
      <c r="F992">
        <v>49.530391692999999</v>
      </c>
      <c r="G992">
        <v>1371.8138428</v>
      </c>
      <c r="H992">
        <v>1360.8125</v>
      </c>
      <c r="I992">
        <v>1302.5998535000001</v>
      </c>
      <c r="J992">
        <v>1289.6069336</v>
      </c>
      <c r="K992">
        <v>1650</v>
      </c>
      <c r="L992">
        <v>0</v>
      </c>
      <c r="M992">
        <v>0</v>
      </c>
      <c r="N992">
        <v>1650</v>
      </c>
    </row>
    <row r="993" spans="1:14" x14ac:dyDescent="0.25">
      <c r="A993">
        <v>734.92769499999997</v>
      </c>
      <c r="B993" s="1">
        <f>DATE(2012,5,4) + TIME(22,15,52)</f>
        <v>41033.927685185183</v>
      </c>
      <c r="C993">
        <v>80</v>
      </c>
      <c r="D993">
        <v>79.523704529</v>
      </c>
      <c r="E993">
        <v>50</v>
      </c>
      <c r="F993">
        <v>49.514389037999997</v>
      </c>
      <c r="G993">
        <v>1371.7569579999999</v>
      </c>
      <c r="H993">
        <v>1360.7706298999999</v>
      </c>
      <c r="I993">
        <v>1302.5979004000001</v>
      </c>
      <c r="J993">
        <v>1289.6038818</v>
      </c>
      <c r="K993">
        <v>1650</v>
      </c>
      <c r="L993">
        <v>0</v>
      </c>
      <c r="M993">
        <v>0</v>
      </c>
      <c r="N993">
        <v>1650</v>
      </c>
    </row>
    <row r="994" spans="1:14" x14ac:dyDescent="0.25">
      <c r="A994">
        <v>735.10284000000001</v>
      </c>
      <c r="B994" s="1">
        <f>DATE(2012,5,5) + TIME(2,28,5)</f>
        <v>41034.102835648147</v>
      </c>
      <c r="C994">
        <v>80</v>
      </c>
      <c r="D994">
        <v>79.585540770999998</v>
      </c>
      <c r="E994">
        <v>50</v>
      </c>
      <c r="F994">
        <v>49.498165131</v>
      </c>
      <c r="G994">
        <v>1371.7015381000001</v>
      </c>
      <c r="H994">
        <v>1360.729126</v>
      </c>
      <c r="I994">
        <v>1302.5957031</v>
      </c>
      <c r="J994">
        <v>1289.6008300999999</v>
      </c>
      <c r="K994">
        <v>1650</v>
      </c>
      <c r="L994">
        <v>0</v>
      </c>
      <c r="M994">
        <v>0</v>
      </c>
      <c r="N994">
        <v>1650</v>
      </c>
    </row>
    <row r="995" spans="1:14" x14ac:dyDescent="0.25">
      <c r="A995">
        <v>735.28141200000005</v>
      </c>
      <c r="B995" s="1">
        <f>DATE(2012,5,5) + TIME(6,45,13)</f>
        <v>41034.281400462962</v>
      </c>
      <c r="C995">
        <v>80</v>
      </c>
      <c r="D995">
        <v>79.638633728000002</v>
      </c>
      <c r="E995">
        <v>50</v>
      </c>
      <c r="F995">
        <v>49.481719970999997</v>
      </c>
      <c r="G995">
        <v>1371.6472168</v>
      </c>
      <c r="H995">
        <v>1360.6879882999999</v>
      </c>
      <c r="I995">
        <v>1302.5936279</v>
      </c>
      <c r="J995">
        <v>1289.5976562000001</v>
      </c>
      <c r="K995">
        <v>1650</v>
      </c>
      <c r="L995">
        <v>0</v>
      </c>
      <c r="M995">
        <v>0</v>
      </c>
      <c r="N995">
        <v>1650</v>
      </c>
    </row>
    <row r="996" spans="1:14" x14ac:dyDescent="0.25">
      <c r="A996">
        <v>735.46338900000001</v>
      </c>
      <c r="B996" s="1">
        <f>DATE(2012,5,5) + TIME(11,7,16)</f>
        <v>41034.463379629633</v>
      </c>
      <c r="C996">
        <v>80</v>
      </c>
      <c r="D996">
        <v>79.684074401999993</v>
      </c>
      <c r="E996">
        <v>50</v>
      </c>
      <c r="F996">
        <v>49.465053558000001</v>
      </c>
      <c r="G996">
        <v>1371.5938721</v>
      </c>
      <c r="H996">
        <v>1360.6473389</v>
      </c>
      <c r="I996">
        <v>1302.5913086</v>
      </c>
      <c r="J996">
        <v>1289.5944824000001</v>
      </c>
      <c r="K996">
        <v>1650</v>
      </c>
      <c r="L996">
        <v>0</v>
      </c>
      <c r="M996">
        <v>0</v>
      </c>
      <c r="N996">
        <v>1650</v>
      </c>
    </row>
    <row r="997" spans="1:14" x14ac:dyDescent="0.25">
      <c r="A997">
        <v>735.64923399999998</v>
      </c>
      <c r="B997" s="1">
        <f>DATE(2012,5,5) + TIME(15,34,53)</f>
        <v>41034.649224537039</v>
      </c>
      <c r="C997">
        <v>80</v>
      </c>
      <c r="D997">
        <v>79.722946167000003</v>
      </c>
      <c r="E997">
        <v>50</v>
      </c>
      <c r="F997">
        <v>49.448135376000003</v>
      </c>
      <c r="G997">
        <v>1371.541626</v>
      </c>
      <c r="H997">
        <v>1360.6069336</v>
      </c>
      <c r="I997">
        <v>1302.5891113</v>
      </c>
      <c r="J997">
        <v>1289.5911865</v>
      </c>
      <c r="K997">
        <v>1650</v>
      </c>
      <c r="L997">
        <v>0</v>
      </c>
      <c r="M997">
        <v>0</v>
      </c>
      <c r="N997">
        <v>1650</v>
      </c>
    </row>
    <row r="998" spans="1:14" x14ac:dyDescent="0.25">
      <c r="A998">
        <v>735.83929599999999</v>
      </c>
      <c r="B998" s="1">
        <f>DATE(2012,5,5) + TIME(20,8,35)</f>
        <v>41034.83929398148</v>
      </c>
      <c r="C998">
        <v>80</v>
      </c>
      <c r="D998">
        <v>79.756126404</v>
      </c>
      <c r="E998">
        <v>50</v>
      </c>
      <c r="F998">
        <v>49.430934905999997</v>
      </c>
      <c r="G998">
        <v>1371.4901123</v>
      </c>
      <c r="H998">
        <v>1360.5668945</v>
      </c>
      <c r="I998">
        <v>1302.5867920000001</v>
      </c>
      <c r="J998">
        <v>1289.5878906</v>
      </c>
      <c r="K998">
        <v>1650</v>
      </c>
      <c r="L998">
        <v>0</v>
      </c>
      <c r="M998">
        <v>0</v>
      </c>
      <c r="N998">
        <v>1650</v>
      </c>
    </row>
    <row r="999" spans="1:14" x14ac:dyDescent="0.25">
      <c r="A999">
        <v>736.03399200000001</v>
      </c>
      <c r="B999" s="1">
        <f>DATE(2012,5,6) + TIME(0,48,56)</f>
        <v>41035.03398148148</v>
      </c>
      <c r="C999">
        <v>80</v>
      </c>
      <c r="D999">
        <v>79.784416199000006</v>
      </c>
      <c r="E999">
        <v>50</v>
      </c>
      <c r="F999">
        <v>49.413421630999999</v>
      </c>
      <c r="G999">
        <v>1371.4393310999999</v>
      </c>
      <c r="H999">
        <v>1360.5270995999999</v>
      </c>
      <c r="I999">
        <v>1302.5843506000001</v>
      </c>
      <c r="J999">
        <v>1289.5843506000001</v>
      </c>
      <c r="K999">
        <v>1650</v>
      </c>
      <c r="L999">
        <v>0</v>
      </c>
      <c r="M999">
        <v>0</v>
      </c>
      <c r="N999">
        <v>1650</v>
      </c>
    </row>
    <row r="1000" spans="1:14" x14ac:dyDescent="0.25">
      <c r="A1000">
        <v>736.23378500000001</v>
      </c>
      <c r="B1000" s="1">
        <f>DATE(2012,5,6) + TIME(5,36,39)</f>
        <v>41035.233784722222</v>
      </c>
      <c r="C1000">
        <v>80</v>
      </c>
      <c r="D1000">
        <v>79.808471679999997</v>
      </c>
      <c r="E1000">
        <v>50</v>
      </c>
      <c r="F1000">
        <v>49.395557404000002</v>
      </c>
      <c r="G1000">
        <v>1371.3890381000001</v>
      </c>
      <c r="H1000">
        <v>1360.4874268000001</v>
      </c>
      <c r="I1000">
        <v>1302.5819091999999</v>
      </c>
      <c r="J1000">
        <v>1289.5808105000001</v>
      </c>
      <c r="K1000">
        <v>1650</v>
      </c>
      <c r="L1000">
        <v>0</v>
      </c>
      <c r="M1000">
        <v>0</v>
      </c>
      <c r="N1000">
        <v>1650</v>
      </c>
    </row>
    <row r="1001" spans="1:14" x14ac:dyDescent="0.25">
      <c r="A1001">
        <v>736.43917699999997</v>
      </c>
      <c r="B1001" s="1">
        <f>DATE(2012,5,6) + TIME(10,32,24)</f>
        <v>41035.439166666663</v>
      </c>
      <c r="C1001">
        <v>80</v>
      </c>
      <c r="D1001">
        <v>79.828903198000006</v>
      </c>
      <c r="E1001">
        <v>50</v>
      </c>
      <c r="F1001">
        <v>49.377307891999997</v>
      </c>
      <c r="G1001">
        <v>1371.3391113</v>
      </c>
      <c r="H1001">
        <v>1360.4479980000001</v>
      </c>
      <c r="I1001">
        <v>1302.5793457</v>
      </c>
      <c r="J1001">
        <v>1289.5772704999999</v>
      </c>
      <c r="K1001">
        <v>1650</v>
      </c>
      <c r="L1001">
        <v>0</v>
      </c>
      <c r="M1001">
        <v>0</v>
      </c>
      <c r="N1001">
        <v>1650</v>
      </c>
    </row>
    <row r="1002" spans="1:14" x14ac:dyDescent="0.25">
      <c r="A1002">
        <v>736.65071799999998</v>
      </c>
      <c r="B1002" s="1">
        <f>DATE(2012,5,6) + TIME(15,37,2)</f>
        <v>41035.650717592594</v>
      </c>
      <c r="C1002">
        <v>80</v>
      </c>
      <c r="D1002">
        <v>79.846199036000002</v>
      </c>
      <c r="E1002">
        <v>50</v>
      </c>
      <c r="F1002">
        <v>49.358631133999999</v>
      </c>
      <c r="G1002">
        <v>1371.2895507999999</v>
      </c>
      <c r="H1002">
        <v>1360.4085693</v>
      </c>
      <c r="I1002">
        <v>1302.5767822</v>
      </c>
      <c r="J1002">
        <v>1289.5734863</v>
      </c>
      <c r="K1002">
        <v>1650</v>
      </c>
      <c r="L1002">
        <v>0</v>
      </c>
      <c r="M1002">
        <v>0</v>
      </c>
      <c r="N1002">
        <v>1650</v>
      </c>
    </row>
    <row r="1003" spans="1:14" x14ac:dyDescent="0.25">
      <c r="A1003">
        <v>736.869012</v>
      </c>
      <c r="B1003" s="1">
        <f>DATE(2012,5,6) + TIME(20,51,22)</f>
        <v>41035.869004629632</v>
      </c>
      <c r="C1003">
        <v>80</v>
      </c>
      <c r="D1003">
        <v>79.860816955999994</v>
      </c>
      <c r="E1003">
        <v>50</v>
      </c>
      <c r="F1003">
        <v>49.339485168000003</v>
      </c>
      <c r="G1003">
        <v>1371.2401123</v>
      </c>
      <c r="H1003">
        <v>1360.3691406</v>
      </c>
      <c r="I1003">
        <v>1302.5740966999999</v>
      </c>
      <c r="J1003">
        <v>1289.5697021000001</v>
      </c>
      <c r="K1003">
        <v>1650</v>
      </c>
      <c r="L1003">
        <v>0</v>
      </c>
      <c r="M1003">
        <v>0</v>
      </c>
      <c r="N1003">
        <v>1650</v>
      </c>
    </row>
    <row r="1004" spans="1:14" x14ac:dyDescent="0.25">
      <c r="A1004">
        <v>737.09473400000002</v>
      </c>
      <c r="B1004" s="1">
        <f>DATE(2012,5,7) + TIME(2,16,25)</f>
        <v>41036.094733796293</v>
      </c>
      <c r="C1004">
        <v>80</v>
      </c>
      <c r="D1004">
        <v>79.873123168999996</v>
      </c>
      <c r="E1004">
        <v>50</v>
      </c>
      <c r="F1004">
        <v>49.319820403999998</v>
      </c>
      <c r="G1004">
        <v>1371.1907959</v>
      </c>
      <c r="H1004">
        <v>1360.3297118999999</v>
      </c>
      <c r="I1004">
        <v>1302.5712891000001</v>
      </c>
      <c r="J1004">
        <v>1289.5656738</v>
      </c>
      <c r="K1004">
        <v>1650</v>
      </c>
      <c r="L1004">
        <v>0</v>
      </c>
      <c r="M1004">
        <v>0</v>
      </c>
      <c r="N1004">
        <v>1650</v>
      </c>
    </row>
    <row r="1005" spans="1:14" x14ac:dyDescent="0.25">
      <c r="A1005">
        <v>737.32863299999997</v>
      </c>
      <c r="B1005" s="1">
        <f>DATE(2012,5,7) + TIME(7,53,13)</f>
        <v>41036.328622685185</v>
      </c>
      <c r="C1005">
        <v>80</v>
      </c>
      <c r="D1005">
        <v>79.883460998999993</v>
      </c>
      <c r="E1005">
        <v>50</v>
      </c>
      <c r="F1005">
        <v>49.299579620000003</v>
      </c>
      <c r="G1005">
        <v>1371.1413574000001</v>
      </c>
      <c r="H1005">
        <v>1360.2900391000001</v>
      </c>
      <c r="I1005">
        <v>1302.5683594</v>
      </c>
      <c r="J1005">
        <v>1289.5615233999999</v>
      </c>
      <c r="K1005">
        <v>1650</v>
      </c>
      <c r="L1005">
        <v>0</v>
      </c>
      <c r="M1005">
        <v>0</v>
      </c>
      <c r="N1005">
        <v>1650</v>
      </c>
    </row>
    <row r="1006" spans="1:14" x14ac:dyDescent="0.25">
      <c r="A1006">
        <v>737.57155699999998</v>
      </c>
      <c r="B1006" s="1">
        <f>DATE(2012,5,7) + TIME(13,43,2)</f>
        <v>41036.571550925924</v>
      </c>
      <c r="C1006">
        <v>80</v>
      </c>
      <c r="D1006">
        <v>79.892120360999996</v>
      </c>
      <c r="E1006">
        <v>50</v>
      </c>
      <c r="F1006">
        <v>49.278701781999999</v>
      </c>
      <c r="G1006">
        <v>1371.0917969</v>
      </c>
      <c r="H1006">
        <v>1360.2502440999999</v>
      </c>
      <c r="I1006">
        <v>1302.5654297000001</v>
      </c>
      <c r="J1006">
        <v>1289.557251</v>
      </c>
      <c r="K1006">
        <v>1650</v>
      </c>
      <c r="L1006">
        <v>0</v>
      </c>
      <c r="M1006">
        <v>0</v>
      </c>
      <c r="N1006">
        <v>1650</v>
      </c>
    </row>
    <row r="1007" spans="1:14" x14ac:dyDescent="0.25">
      <c r="A1007">
        <v>737.82455500000003</v>
      </c>
      <c r="B1007" s="1">
        <f>DATE(2012,5,7) + TIME(19,47,21)</f>
        <v>41036.824548611112</v>
      </c>
      <c r="C1007">
        <v>80</v>
      </c>
      <c r="D1007">
        <v>79.899337768999999</v>
      </c>
      <c r="E1007">
        <v>50</v>
      </c>
      <c r="F1007">
        <v>49.257122039999999</v>
      </c>
      <c r="G1007">
        <v>1371.0419922000001</v>
      </c>
      <c r="H1007">
        <v>1360.2100829999999</v>
      </c>
      <c r="I1007">
        <v>1302.5622559000001</v>
      </c>
      <c r="J1007">
        <v>1289.5527344</v>
      </c>
      <c r="K1007">
        <v>1650</v>
      </c>
      <c r="L1007">
        <v>0</v>
      </c>
      <c r="M1007">
        <v>0</v>
      </c>
      <c r="N1007">
        <v>1650</v>
      </c>
    </row>
    <row r="1008" spans="1:14" x14ac:dyDescent="0.25">
      <c r="A1008">
        <v>738.08871999999997</v>
      </c>
      <c r="B1008" s="1">
        <f>DATE(2012,5,8) + TIME(2,7,45)</f>
        <v>41037.08871527778</v>
      </c>
      <c r="C1008">
        <v>80</v>
      </c>
      <c r="D1008">
        <v>79.905349731000001</v>
      </c>
      <c r="E1008">
        <v>50</v>
      </c>
      <c r="F1008">
        <v>49.234756470000001</v>
      </c>
      <c r="G1008">
        <v>1370.9915771000001</v>
      </c>
      <c r="H1008">
        <v>1360.1696777</v>
      </c>
      <c r="I1008">
        <v>1302.5589600000001</v>
      </c>
      <c r="J1008">
        <v>1289.5480957</v>
      </c>
      <c r="K1008">
        <v>1650</v>
      </c>
      <c r="L1008">
        <v>0</v>
      </c>
      <c r="M1008">
        <v>0</v>
      </c>
      <c r="N1008">
        <v>1650</v>
      </c>
    </row>
    <row r="1009" spans="1:14" x14ac:dyDescent="0.25">
      <c r="A1009">
        <v>738.36460999999997</v>
      </c>
      <c r="B1009" s="1">
        <f>DATE(2012,5,8) + TIME(8,45,2)</f>
        <v>41037.364606481482</v>
      </c>
      <c r="C1009">
        <v>80</v>
      </c>
      <c r="D1009">
        <v>79.910316467000001</v>
      </c>
      <c r="E1009">
        <v>50</v>
      </c>
      <c r="F1009">
        <v>49.211570739999999</v>
      </c>
      <c r="G1009">
        <v>1370.9406738</v>
      </c>
      <c r="H1009">
        <v>1360.1286620999999</v>
      </c>
      <c r="I1009">
        <v>1302.5555420000001</v>
      </c>
      <c r="J1009">
        <v>1289.5433350000001</v>
      </c>
      <c r="K1009">
        <v>1650</v>
      </c>
      <c r="L1009">
        <v>0</v>
      </c>
      <c r="M1009">
        <v>0</v>
      </c>
      <c r="N1009">
        <v>1650</v>
      </c>
    </row>
    <row r="1010" spans="1:14" x14ac:dyDescent="0.25">
      <c r="A1010">
        <v>738.64966100000004</v>
      </c>
      <c r="B1010" s="1">
        <f>DATE(2012,5,8) + TIME(15,35,30)</f>
        <v>41037.649652777778</v>
      </c>
      <c r="C1010">
        <v>80</v>
      </c>
      <c r="D1010">
        <v>79.914367675999998</v>
      </c>
      <c r="E1010">
        <v>50</v>
      </c>
      <c r="F1010">
        <v>49.187736510999997</v>
      </c>
      <c r="G1010">
        <v>1370.8892822</v>
      </c>
      <c r="H1010">
        <v>1360.0872803</v>
      </c>
      <c r="I1010">
        <v>1302.5520019999999</v>
      </c>
      <c r="J1010">
        <v>1289.5382079999999</v>
      </c>
      <c r="K1010">
        <v>1650</v>
      </c>
      <c r="L1010">
        <v>0</v>
      </c>
      <c r="M1010">
        <v>0</v>
      </c>
      <c r="N1010">
        <v>1650</v>
      </c>
    </row>
    <row r="1011" spans="1:14" x14ac:dyDescent="0.25">
      <c r="A1011">
        <v>738.94487200000003</v>
      </c>
      <c r="B1011" s="1">
        <f>DATE(2012,5,8) + TIME(22,40,36)</f>
        <v>41037.944861111115</v>
      </c>
      <c r="C1011">
        <v>80</v>
      </c>
      <c r="D1011">
        <v>79.917663574000002</v>
      </c>
      <c r="E1011">
        <v>50</v>
      </c>
      <c r="F1011">
        <v>49.163192748999997</v>
      </c>
      <c r="G1011">
        <v>1370.8377685999999</v>
      </c>
      <c r="H1011">
        <v>1360.0457764</v>
      </c>
      <c r="I1011">
        <v>1302.5482178</v>
      </c>
      <c r="J1011">
        <v>1289.5329589999999</v>
      </c>
      <c r="K1011">
        <v>1650</v>
      </c>
      <c r="L1011">
        <v>0</v>
      </c>
      <c r="M1011">
        <v>0</v>
      </c>
      <c r="N1011">
        <v>1650</v>
      </c>
    </row>
    <row r="1012" spans="1:14" x14ac:dyDescent="0.25">
      <c r="A1012">
        <v>739.25121100000001</v>
      </c>
      <c r="B1012" s="1">
        <f>DATE(2012,5,9) + TIME(6,1,44)</f>
        <v>41038.251203703701</v>
      </c>
      <c r="C1012">
        <v>80</v>
      </c>
      <c r="D1012">
        <v>79.920349121000001</v>
      </c>
      <c r="E1012">
        <v>50</v>
      </c>
      <c r="F1012">
        <v>49.137878418</v>
      </c>
      <c r="G1012">
        <v>1370.7861327999999</v>
      </c>
      <c r="H1012">
        <v>1360.0041504000001</v>
      </c>
      <c r="I1012">
        <v>1302.5443115</v>
      </c>
      <c r="J1012">
        <v>1289.5274658000001</v>
      </c>
      <c r="K1012">
        <v>1650</v>
      </c>
      <c r="L1012">
        <v>0</v>
      </c>
      <c r="M1012">
        <v>0</v>
      </c>
      <c r="N1012">
        <v>1650</v>
      </c>
    </row>
    <row r="1013" spans="1:14" x14ac:dyDescent="0.25">
      <c r="A1013">
        <v>739.56977500000005</v>
      </c>
      <c r="B1013" s="1">
        <f>DATE(2012,5,9) + TIME(13,40,28)</f>
        <v>41038.569768518515</v>
      </c>
      <c r="C1013">
        <v>80</v>
      </c>
      <c r="D1013">
        <v>79.922531128000003</v>
      </c>
      <c r="E1013">
        <v>50</v>
      </c>
      <c r="F1013">
        <v>49.111721039000003</v>
      </c>
      <c r="G1013">
        <v>1370.7340088000001</v>
      </c>
      <c r="H1013">
        <v>1359.9624022999999</v>
      </c>
      <c r="I1013">
        <v>1302.5402832</v>
      </c>
      <c r="J1013">
        <v>1289.5217285000001</v>
      </c>
      <c r="K1013">
        <v>1650</v>
      </c>
      <c r="L1013">
        <v>0</v>
      </c>
      <c r="M1013">
        <v>0</v>
      </c>
      <c r="N1013">
        <v>1650</v>
      </c>
    </row>
    <row r="1014" spans="1:14" x14ac:dyDescent="0.25">
      <c r="A1014">
        <v>739.89347899999996</v>
      </c>
      <c r="B1014" s="1">
        <f>DATE(2012,5,9) + TIME(21,26,36)</f>
        <v>41038.893472222226</v>
      </c>
      <c r="C1014">
        <v>80</v>
      </c>
      <c r="D1014">
        <v>79.924262999999996</v>
      </c>
      <c r="E1014">
        <v>50</v>
      </c>
      <c r="F1014">
        <v>49.085186004999997</v>
      </c>
      <c r="G1014">
        <v>1370.6816406</v>
      </c>
      <c r="H1014">
        <v>1359.9202881000001</v>
      </c>
      <c r="I1014">
        <v>1302.5360106999999</v>
      </c>
      <c r="J1014">
        <v>1289.5158690999999</v>
      </c>
      <c r="K1014">
        <v>1650</v>
      </c>
      <c r="L1014">
        <v>0</v>
      </c>
      <c r="M1014">
        <v>0</v>
      </c>
      <c r="N1014">
        <v>1650</v>
      </c>
    </row>
    <row r="1015" spans="1:14" x14ac:dyDescent="0.25">
      <c r="A1015">
        <v>740.22033699999997</v>
      </c>
      <c r="B1015" s="1">
        <f>DATE(2012,5,10) + TIME(5,17,17)</f>
        <v>41039.220335648148</v>
      </c>
      <c r="C1015">
        <v>80</v>
      </c>
      <c r="D1015">
        <v>79.925636291999993</v>
      </c>
      <c r="E1015">
        <v>50</v>
      </c>
      <c r="F1015">
        <v>49.058422088999997</v>
      </c>
      <c r="G1015">
        <v>1370.6300048999999</v>
      </c>
      <c r="H1015">
        <v>1359.8787841999999</v>
      </c>
      <c r="I1015">
        <v>1302.5316161999999</v>
      </c>
      <c r="J1015">
        <v>1289.5098877</v>
      </c>
      <c r="K1015">
        <v>1650</v>
      </c>
      <c r="L1015">
        <v>0</v>
      </c>
      <c r="M1015">
        <v>0</v>
      </c>
      <c r="N1015">
        <v>1650</v>
      </c>
    </row>
    <row r="1016" spans="1:14" x14ac:dyDescent="0.25">
      <c r="A1016">
        <v>740.55123600000002</v>
      </c>
      <c r="B1016" s="1">
        <f>DATE(2012,5,10) + TIME(13,13,46)</f>
        <v>41039.551226851851</v>
      </c>
      <c r="C1016">
        <v>80</v>
      </c>
      <c r="D1016">
        <v>79.926734924000002</v>
      </c>
      <c r="E1016">
        <v>50</v>
      </c>
      <c r="F1016">
        <v>49.031394958</v>
      </c>
      <c r="G1016">
        <v>1370.5793457</v>
      </c>
      <c r="H1016">
        <v>1359.8382568</v>
      </c>
      <c r="I1016">
        <v>1302.5272216999999</v>
      </c>
      <c r="J1016">
        <v>1289.5037841999999</v>
      </c>
      <c r="K1016">
        <v>1650</v>
      </c>
      <c r="L1016">
        <v>0</v>
      </c>
      <c r="M1016">
        <v>0</v>
      </c>
      <c r="N1016">
        <v>1650</v>
      </c>
    </row>
    <row r="1017" spans="1:14" x14ac:dyDescent="0.25">
      <c r="A1017">
        <v>740.88705000000004</v>
      </c>
      <c r="B1017" s="1">
        <f>DATE(2012,5,10) + TIME(21,17,21)</f>
        <v>41039.887048611112</v>
      </c>
      <c r="C1017">
        <v>80</v>
      </c>
      <c r="D1017">
        <v>79.927619934000006</v>
      </c>
      <c r="E1017">
        <v>50</v>
      </c>
      <c r="F1017">
        <v>49.004058837999999</v>
      </c>
      <c r="G1017">
        <v>1370.5295410000001</v>
      </c>
      <c r="H1017">
        <v>1359.7983397999999</v>
      </c>
      <c r="I1017">
        <v>1302.5228271000001</v>
      </c>
      <c r="J1017">
        <v>1289.4975586</v>
      </c>
      <c r="K1017">
        <v>1650</v>
      </c>
      <c r="L1017">
        <v>0</v>
      </c>
      <c r="M1017">
        <v>0</v>
      </c>
      <c r="N1017">
        <v>1650</v>
      </c>
    </row>
    <row r="1018" spans="1:14" x14ac:dyDescent="0.25">
      <c r="A1018">
        <v>741.22867099999996</v>
      </c>
      <c r="B1018" s="1">
        <f>DATE(2012,5,11) + TIME(5,29,17)</f>
        <v>41040.228668981479</v>
      </c>
      <c r="C1018">
        <v>80</v>
      </c>
      <c r="D1018">
        <v>79.928337096999996</v>
      </c>
      <c r="E1018">
        <v>50</v>
      </c>
      <c r="F1018">
        <v>48.976375580000003</v>
      </c>
      <c r="G1018">
        <v>1370.4803466999999</v>
      </c>
      <c r="H1018">
        <v>1359.7590332</v>
      </c>
      <c r="I1018">
        <v>1302.5183105000001</v>
      </c>
      <c r="J1018">
        <v>1289.4912108999999</v>
      </c>
      <c r="K1018">
        <v>1650</v>
      </c>
      <c r="L1018">
        <v>0</v>
      </c>
      <c r="M1018">
        <v>0</v>
      </c>
      <c r="N1018">
        <v>1650</v>
      </c>
    </row>
    <row r="1019" spans="1:14" x14ac:dyDescent="0.25">
      <c r="A1019">
        <v>741.574972</v>
      </c>
      <c r="B1019" s="1">
        <f>DATE(2012,5,11) + TIME(13,47,57)</f>
        <v>41040.574965277781</v>
      </c>
      <c r="C1019">
        <v>80</v>
      </c>
      <c r="D1019">
        <v>79.928916931000003</v>
      </c>
      <c r="E1019">
        <v>50</v>
      </c>
      <c r="F1019">
        <v>48.948421478</v>
      </c>
      <c r="G1019">
        <v>1370.4317627</v>
      </c>
      <c r="H1019">
        <v>1359.7203368999999</v>
      </c>
      <c r="I1019">
        <v>1302.5136719</v>
      </c>
      <c r="J1019">
        <v>1289.4848632999999</v>
      </c>
      <c r="K1019">
        <v>1650</v>
      </c>
      <c r="L1019">
        <v>0</v>
      </c>
      <c r="M1019">
        <v>0</v>
      </c>
      <c r="N1019">
        <v>1650</v>
      </c>
    </row>
    <row r="1020" spans="1:14" x14ac:dyDescent="0.25">
      <c r="A1020">
        <v>741.92622600000004</v>
      </c>
      <c r="B1020" s="1">
        <f>DATE(2012,5,11) + TIME(22,13,45)</f>
        <v>41040.926215277781</v>
      </c>
      <c r="C1020">
        <v>80</v>
      </c>
      <c r="D1020">
        <v>79.929382324000002</v>
      </c>
      <c r="E1020">
        <v>50</v>
      </c>
      <c r="F1020">
        <v>48.920188904</v>
      </c>
      <c r="G1020">
        <v>1370.3837891000001</v>
      </c>
      <c r="H1020">
        <v>1359.6820068</v>
      </c>
      <c r="I1020">
        <v>1302.5089111</v>
      </c>
      <c r="J1020">
        <v>1289.4782714999999</v>
      </c>
      <c r="K1020">
        <v>1650</v>
      </c>
      <c r="L1020">
        <v>0</v>
      </c>
      <c r="M1020">
        <v>0</v>
      </c>
      <c r="N1020">
        <v>1650</v>
      </c>
    </row>
    <row r="1021" spans="1:14" x14ac:dyDescent="0.25">
      <c r="A1021">
        <v>742.28326200000004</v>
      </c>
      <c r="B1021" s="1">
        <f>DATE(2012,5,12) + TIME(6,47,53)</f>
        <v>41041.283252314817</v>
      </c>
      <c r="C1021">
        <v>80</v>
      </c>
      <c r="D1021">
        <v>79.929771423000005</v>
      </c>
      <c r="E1021">
        <v>50</v>
      </c>
      <c r="F1021">
        <v>48.891632080000001</v>
      </c>
      <c r="G1021">
        <v>1370.3363036999999</v>
      </c>
      <c r="H1021">
        <v>1359.6442870999999</v>
      </c>
      <c r="I1021">
        <v>1302.5041504000001</v>
      </c>
      <c r="J1021">
        <v>1289.4715576000001</v>
      </c>
      <c r="K1021">
        <v>1650</v>
      </c>
      <c r="L1021">
        <v>0</v>
      </c>
      <c r="M1021">
        <v>0</v>
      </c>
      <c r="N1021">
        <v>1650</v>
      </c>
    </row>
    <row r="1022" spans="1:14" x14ac:dyDescent="0.25">
      <c r="A1022">
        <v>742.64693899999997</v>
      </c>
      <c r="B1022" s="1">
        <f>DATE(2012,5,12) + TIME(15,31,35)</f>
        <v>41041.646932870368</v>
      </c>
      <c r="C1022">
        <v>80</v>
      </c>
      <c r="D1022">
        <v>79.930084229000002</v>
      </c>
      <c r="E1022">
        <v>50</v>
      </c>
      <c r="F1022">
        <v>48.862705231</v>
      </c>
      <c r="G1022">
        <v>1370.2894286999999</v>
      </c>
      <c r="H1022">
        <v>1359.6070557</v>
      </c>
      <c r="I1022">
        <v>1302.4992675999999</v>
      </c>
      <c r="J1022">
        <v>1289.4648437999999</v>
      </c>
      <c r="K1022">
        <v>1650</v>
      </c>
      <c r="L1022">
        <v>0</v>
      </c>
      <c r="M1022">
        <v>0</v>
      </c>
      <c r="N1022">
        <v>1650</v>
      </c>
    </row>
    <row r="1023" spans="1:14" x14ac:dyDescent="0.25">
      <c r="A1023">
        <v>743.01816399999996</v>
      </c>
      <c r="B1023" s="1">
        <f>DATE(2012,5,13) + TIME(0,26,9)</f>
        <v>41042.018159722225</v>
      </c>
      <c r="C1023">
        <v>80</v>
      </c>
      <c r="D1023">
        <v>79.930343628000003</v>
      </c>
      <c r="E1023">
        <v>50</v>
      </c>
      <c r="F1023">
        <v>48.833351135000001</v>
      </c>
      <c r="G1023">
        <v>1370.2427978999999</v>
      </c>
      <c r="H1023">
        <v>1359.5700684000001</v>
      </c>
      <c r="I1023">
        <v>1302.4942627</v>
      </c>
      <c r="J1023">
        <v>1289.4578856999999</v>
      </c>
      <c r="K1023">
        <v>1650</v>
      </c>
      <c r="L1023">
        <v>0</v>
      </c>
      <c r="M1023">
        <v>0</v>
      </c>
      <c r="N1023">
        <v>1650</v>
      </c>
    </row>
    <row r="1024" spans="1:14" x14ac:dyDescent="0.25">
      <c r="A1024">
        <v>743.39790900000003</v>
      </c>
      <c r="B1024" s="1">
        <f>DATE(2012,5,13) + TIME(9,32,59)</f>
        <v>41042.397905092592</v>
      </c>
      <c r="C1024">
        <v>80</v>
      </c>
      <c r="D1024">
        <v>79.930557250999996</v>
      </c>
      <c r="E1024">
        <v>50</v>
      </c>
      <c r="F1024">
        <v>48.803512572999999</v>
      </c>
      <c r="G1024">
        <v>1370.1964111</v>
      </c>
      <c r="H1024">
        <v>1359.5333252</v>
      </c>
      <c r="I1024">
        <v>1302.4891356999999</v>
      </c>
      <c r="J1024">
        <v>1289.4508057</v>
      </c>
      <c r="K1024">
        <v>1650</v>
      </c>
      <c r="L1024">
        <v>0</v>
      </c>
      <c r="M1024">
        <v>0</v>
      </c>
      <c r="N1024">
        <v>1650</v>
      </c>
    </row>
    <row r="1025" spans="1:14" x14ac:dyDescent="0.25">
      <c r="A1025">
        <v>743.78722800000003</v>
      </c>
      <c r="B1025" s="1">
        <f>DATE(2012,5,13) + TIME(18,53,36)</f>
        <v>41042.787222222221</v>
      </c>
      <c r="C1025">
        <v>80</v>
      </c>
      <c r="D1025">
        <v>79.930740356000001</v>
      </c>
      <c r="E1025">
        <v>50</v>
      </c>
      <c r="F1025">
        <v>48.773124695</v>
      </c>
      <c r="G1025">
        <v>1370.1501464999999</v>
      </c>
      <c r="H1025">
        <v>1359.4967041</v>
      </c>
      <c r="I1025">
        <v>1302.4838867000001</v>
      </c>
      <c r="J1025">
        <v>1289.4434814000001</v>
      </c>
      <c r="K1025">
        <v>1650</v>
      </c>
      <c r="L1025">
        <v>0</v>
      </c>
      <c r="M1025">
        <v>0</v>
      </c>
      <c r="N1025">
        <v>1650</v>
      </c>
    </row>
    <row r="1026" spans="1:14" x14ac:dyDescent="0.25">
      <c r="A1026">
        <v>744.18727899999999</v>
      </c>
      <c r="B1026" s="1">
        <f>DATE(2012,5,14) + TIME(4,29,40)</f>
        <v>41043.187268518515</v>
      </c>
      <c r="C1026">
        <v>80</v>
      </c>
      <c r="D1026">
        <v>79.930885314999998</v>
      </c>
      <c r="E1026">
        <v>50</v>
      </c>
      <c r="F1026">
        <v>48.742115020999996</v>
      </c>
      <c r="G1026">
        <v>1370.1037598</v>
      </c>
      <c r="H1026">
        <v>1359.4600829999999</v>
      </c>
      <c r="I1026">
        <v>1302.4785156</v>
      </c>
      <c r="J1026">
        <v>1289.4359131000001</v>
      </c>
      <c r="K1026">
        <v>1650</v>
      </c>
      <c r="L1026">
        <v>0</v>
      </c>
      <c r="M1026">
        <v>0</v>
      </c>
      <c r="N1026">
        <v>1650</v>
      </c>
    </row>
    <row r="1027" spans="1:14" x14ac:dyDescent="0.25">
      <c r="A1027">
        <v>744.599335</v>
      </c>
      <c r="B1027" s="1">
        <f>DATE(2012,5,14) + TIME(14,23,2)</f>
        <v>41043.599328703705</v>
      </c>
      <c r="C1027">
        <v>80</v>
      </c>
      <c r="D1027">
        <v>79.931007385000001</v>
      </c>
      <c r="E1027">
        <v>50</v>
      </c>
      <c r="F1027">
        <v>48.710403442</v>
      </c>
      <c r="G1027">
        <v>1370.0573730000001</v>
      </c>
      <c r="H1027">
        <v>1359.4234618999999</v>
      </c>
      <c r="I1027">
        <v>1302.4730225000001</v>
      </c>
      <c r="J1027">
        <v>1289.4282227000001</v>
      </c>
      <c r="K1027">
        <v>1650</v>
      </c>
      <c r="L1027">
        <v>0</v>
      </c>
      <c r="M1027">
        <v>0</v>
      </c>
      <c r="N1027">
        <v>1650</v>
      </c>
    </row>
    <row r="1028" spans="1:14" x14ac:dyDescent="0.25">
      <c r="A1028">
        <v>745.02483900000004</v>
      </c>
      <c r="B1028" s="1">
        <f>DATE(2012,5,15) + TIME(0,35,46)</f>
        <v>41044.024837962963</v>
      </c>
      <c r="C1028">
        <v>80</v>
      </c>
      <c r="D1028">
        <v>79.931114196999999</v>
      </c>
      <c r="E1028">
        <v>50</v>
      </c>
      <c r="F1028">
        <v>48.677902222</v>
      </c>
      <c r="G1028">
        <v>1370.0107422000001</v>
      </c>
      <c r="H1028">
        <v>1359.3867187999999</v>
      </c>
      <c r="I1028">
        <v>1302.4672852000001</v>
      </c>
      <c r="J1028">
        <v>1289.4201660000001</v>
      </c>
      <c r="K1028">
        <v>1650</v>
      </c>
      <c r="L1028">
        <v>0</v>
      </c>
      <c r="M1028">
        <v>0</v>
      </c>
      <c r="N1028">
        <v>1650</v>
      </c>
    </row>
    <row r="1029" spans="1:14" x14ac:dyDescent="0.25">
      <c r="A1029">
        <v>745.46567100000004</v>
      </c>
      <c r="B1029" s="1">
        <f>DATE(2012,5,15) + TIME(11,10,34)</f>
        <v>41044.465671296297</v>
      </c>
      <c r="C1029">
        <v>80</v>
      </c>
      <c r="D1029">
        <v>79.931190490999995</v>
      </c>
      <c r="E1029">
        <v>50</v>
      </c>
      <c r="F1029">
        <v>48.644496918000002</v>
      </c>
      <c r="G1029">
        <v>1369.9637451000001</v>
      </c>
      <c r="H1029">
        <v>1359.3496094</v>
      </c>
      <c r="I1029">
        <v>1302.4613036999999</v>
      </c>
      <c r="J1029">
        <v>1289.4118652</v>
      </c>
      <c r="K1029">
        <v>1650</v>
      </c>
      <c r="L1029">
        <v>0</v>
      </c>
      <c r="M1029">
        <v>0</v>
      </c>
      <c r="N1029">
        <v>1650</v>
      </c>
    </row>
    <row r="1030" spans="1:14" x14ac:dyDescent="0.25">
      <c r="A1030">
        <v>745.92340799999999</v>
      </c>
      <c r="B1030" s="1">
        <f>DATE(2012,5,15) + TIME(22,9,42)</f>
        <v>41044.923402777778</v>
      </c>
      <c r="C1030">
        <v>80</v>
      </c>
      <c r="D1030">
        <v>79.931259155000006</v>
      </c>
      <c r="E1030">
        <v>50</v>
      </c>
      <c r="F1030">
        <v>48.610084534000002</v>
      </c>
      <c r="G1030">
        <v>1369.9161377</v>
      </c>
      <c r="H1030">
        <v>1359.3122559000001</v>
      </c>
      <c r="I1030">
        <v>1302.4550781</v>
      </c>
      <c r="J1030">
        <v>1289.4031981999999</v>
      </c>
      <c r="K1030">
        <v>1650</v>
      </c>
      <c r="L1030">
        <v>0</v>
      </c>
      <c r="M1030">
        <v>0</v>
      </c>
      <c r="N1030">
        <v>1650</v>
      </c>
    </row>
    <row r="1031" spans="1:14" x14ac:dyDescent="0.25">
      <c r="A1031">
        <v>746.39858100000004</v>
      </c>
      <c r="B1031" s="1">
        <f>DATE(2012,5,16) + TIME(9,33,57)</f>
        <v>41045.398576388892</v>
      </c>
      <c r="C1031">
        <v>80</v>
      </c>
      <c r="D1031">
        <v>79.931312560999999</v>
      </c>
      <c r="E1031">
        <v>50</v>
      </c>
      <c r="F1031">
        <v>48.574630737</v>
      </c>
      <c r="G1031">
        <v>1369.8680420000001</v>
      </c>
      <c r="H1031">
        <v>1359.2744141000001</v>
      </c>
      <c r="I1031">
        <v>1302.4486084</v>
      </c>
      <c r="J1031">
        <v>1289.3941649999999</v>
      </c>
      <c r="K1031">
        <v>1650</v>
      </c>
      <c r="L1031">
        <v>0</v>
      </c>
      <c r="M1031">
        <v>0</v>
      </c>
      <c r="N1031">
        <v>1650</v>
      </c>
    </row>
    <row r="1032" spans="1:14" x14ac:dyDescent="0.25">
      <c r="A1032">
        <v>746.88497199999995</v>
      </c>
      <c r="B1032" s="1">
        <f>DATE(2012,5,16) + TIME(21,14,21)</f>
        <v>41045.884965277779</v>
      </c>
      <c r="C1032">
        <v>80</v>
      </c>
      <c r="D1032">
        <v>79.931350707999997</v>
      </c>
      <c r="E1032">
        <v>50</v>
      </c>
      <c r="F1032">
        <v>48.538452147999998</v>
      </c>
      <c r="G1032">
        <v>1369.8192139</v>
      </c>
      <c r="H1032">
        <v>1359.2362060999999</v>
      </c>
      <c r="I1032">
        <v>1302.4417725000001</v>
      </c>
      <c r="J1032">
        <v>1289.3847656</v>
      </c>
      <c r="K1032">
        <v>1650</v>
      </c>
      <c r="L1032">
        <v>0</v>
      </c>
      <c r="M1032">
        <v>0</v>
      </c>
      <c r="N1032">
        <v>1650</v>
      </c>
    </row>
    <row r="1033" spans="1:14" x14ac:dyDescent="0.25">
      <c r="A1033">
        <v>747.38246400000003</v>
      </c>
      <c r="B1033" s="1">
        <f>DATE(2012,5,17) + TIME(9,10,44)</f>
        <v>41046.382453703707</v>
      </c>
      <c r="C1033">
        <v>80</v>
      </c>
      <c r="D1033">
        <v>79.931381225999999</v>
      </c>
      <c r="E1033">
        <v>50</v>
      </c>
      <c r="F1033">
        <v>48.501586914000001</v>
      </c>
      <c r="G1033">
        <v>1369.7705077999999</v>
      </c>
      <c r="H1033">
        <v>1359.1979980000001</v>
      </c>
      <c r="I1033">
        <v>1302.4348144999999</v>
      </c>
      <c r="J1033">
        <v>1289.375</v>
      </c>
      <c r="K1033">
        <v>1650</v>
      </c>
      <c r="L1033">
        <v>0</v>
      </c>
      <c r="M1033">
        <v>0</v>
      </c>
      <c r="N1033">
        <v>1650</v>
      </c>
    </row>
    <row r="1034" spans="1:14" x14ac:dyDescent="0.25">
      <c r="A1034">
        <v>747.88730899999996</v>
      </c>
      <c r="B1034" s="1">
        <f>DATE(2012,5,17) + TIME(21,17,43)</f>
        <v>41046.887303240743</v>
      </c>
      <c r="C1034">
        <v>80</v>
      </c>
      <c r="D1034">
        <v>79.931396484000004</v>
      </c>
      <c r="E1034">
        <v>50</v>
      </c>
      <c r="F1034">
        <v>48.464248656999999</v>
      </c>
      <c r="G1034">
        <v>1369.7218018000001</v>
      </c>
      <c r="H1034">
        <v>1359.1599120999999</v>
      </c>
      <c r="I1034">
        <v>1302.4274902</v>
      </c>
      <c r="J1034">
        <v>1289.3651123</v>
      </c>
      <c r="K1034">
        <v>1650</v>
      </c>
      <c r="L1034">
        <v>0</v>
      </c>
      <c r="M1034">
        <v>0</v>
      </c>
      <c r="N1034">
        <v>1650</v>
      </c>
    </row>
    <row r="1035" spans="1:14" x14ac:dyDescent="0.25">
      <c r="A1035">
        <v>748.39748899999995</v>
      </c>
      <c r="B1035" s="1">
        <f>DATE(2012,5,18) + TIME(9,32,23)</f>
        <v>41047.397488425922</v>
      </c>
      <c r="C1035">
        <v>80</v>
      </c>
      <c r="D1035">
        <v>79.931404114000003</v>
      </c>
      <c r="E1035">
        <v>50</v>
      </c>
      <c r="F1035">
        <v>48.426589966000002</v>
      </c>
      <c r="G1035">
        <v>1369.6737060999999</v>
      </c>
      <c r="H1035">
        <v>1359.1221923999999</v>
      </c>
      <c r="I1035">
        <v>1302.4201660000001</v>
      </c>
      <c r="J1035">
        <v>1289.3548584</v>
      </c>
      <c r="K1035">
        <v>1650</v>
      </c>
      <c r="L1035">
        <v>0</v>
      </c>
      <c r="M1035">
        <v>0</v>
      </c>
      <c r="N1035">
        <v>1650</v>
      </c>
    </row>
    <row r="1036" spans="1:14" x14ac:dyDescent="0.25">
      <c r="A1036">
        <v>748.91274799999997</v>
      </c>
      <c r="B1036" s="1">
        <f>DATE(2012,5,18) + TIME(21,54,21)</f>
        <v>41047.912743055553</v>
      </c>
      <c r="C1036">
        <v>80</v>
      </c>
      <c r="D1036">
        <v>79.931411742999998</v>
      </c>
      <c r="E1036">
        <v>50</v>
      </c>
      <c r="F1036">
        <v>48.388656615999999</v>
      </c>
      <c r="G1036">
        <v>1369.6260986</v>
      </c>
      <c r="H1036">
        <v>1359.0850829999999</v>
      </c>
      <c r="I1036">
        <v>1302.4127197</v>
      </c>
      <c r="J1036">
        <v>1289.3444824000001</v>
      </c>
      <c r="K1036">
        <v>1650</v>
      </c>
      <c r="L1036">
        <v>0</v>
      </c>
      <c r="M1036">
        <v>0</v>
      </c>
      <c r="N1036">
        <v>1650</v>
      </c>
    </row>
    <row r="1037" spans="1:14" x14ac:dyDescent="0.25">
      <c r="A1037">
        <v>749.434393</v>
      </c>
      <c r="B1037" s="1">
        <f>DATE(2012,5,19) + TIME(10,25,31)</f>
        <v>41048.434386574074</v>
      </c>
      <c r="C1037">
        <v>80</v>
      </c>
      <c r="D1037">
        <v>79.931404114000003</v>
      </c>
      <c r="E1037">
        <v>50</v>
      </c>
      <c r="F1037">
        <v>48.350414276000002</v>
      </c>
      <c r="G1037">
        <v>1369.5792236</v>
      </c>
      <c r="H1037">
        <v>1359.0484618999999</v>
      </c>
      <c r="I1037">
        <v>1302.4050293</v>
      </c>
      <c r="J1037">
        <v>1289.3339844</v>
      </c>
      <c r="K1037">
        <v>1650</v>
      </c>
      <c r="L1037">
        <v>0</v>
      </c>
      <c r="M1037">
        <v>0</v>
      </c>
      <c r="N1037">
        <v>1650</v>
      </c>
    </row>
    <row r="1038" spans="1:14" x14ac:dyDescent="0.25">
      <c r="A1038">
        <v>749.96374700000001</v>
      </c>
      <c r="B1038" s="1">
        <f>DATE(2012,5,19) + TIME(23,7,47)</f>
        <v>41048.963738425926</v>
      </c>
      <c r="C1038">
        <v>80</v>
      </c>
      <c r="D1038">
        <v>79.931404114000003</v>
      </c>
      <c r="E1038">
        <v>50</v>
      </c>
      <c r="F1038">
        <v>48.311817169000001</v>
      </c>
      <c r="G1038">
        <v>1369.5328368999999</v>
      </c>
      <c r="H1038">
        <v>1359.0123291</v>
      </c>
      <c r="I1038">
        <v>1302.3973389</v>
      </c>
      <c r="J1038">
        <v>1289.3232422000001</v>
      </c>
      <c r="K1038">
        <v>1650</v>
      </c>
      <c r="L1038">
        <v>0</v>
      </c>
      <c r="M1038">
        <v>0</v>
      </c>
      <c r="N1038">
        <v>1650</v>
      </c>
    </row>
    <row r="1039" spans="1:14" x14ac:dyDescent="0.25">
      <c r="A1039">
        <v>750.50217899999996</v>
      </c>
      <c r="B1039" s="1">
        <f>DATE(2012,5,20) + TIME(12,3,8)</f>
        <v>41049.502175925925</v>
      </c>
      <c r="C1039">
        <v>80</v>
      </c>
      <c r="D1039">
        <v>79.931388854999994</v>
      </c>
      <c r="E1039">
        <v>50</v>
      </c>
      <c r="F1039">
        <v>48.272796630999999</v>
      </c>
      <c r="G1039">
        <v>1369.4866943</v>
      </c>
      <c r="H1039">
        <v>1358.9764404</v>
      </c>
      <c r="I1039">
        <v>1302.3894043</v>
      </c>
      <c r="J1039">
        <v>1289.3122559000001</v>
      </c>
      <c r="K1039">
        <v>1650</v>
      </c>
      <c r="L1039">
        <v>0</v>
      </c>
      <c r="M1039">
        <v>0</v>
      </c>
      <c r="N1039">
        <v>1650</v>
      </c>
    </row>
    <row r="1040" spans="1:14" x14ac:dyDescent="0.25">
      <c r="A1040">
        <v>751.05114000000003</v>
      </c>
      <c r="B1040" s="1">
        <f>DATE(2012,5,21) + TIME(1,13,38)</f>
        <v>41050.051134259258</v>
      </c>
      <c r="C1040">
        <v>80</v>
      </c>
      <c r="D1040">
        <v>79.931373596</v>
      </c>
      <c r="E1040">
        <v>50</v>
      </c>
      <c r="F1040">
        <v>48.233272552000003</v>
      </c>
      <c r="G1040">
        <v>1369.440918</v>
      </c>
      <c r="H1040">
        <v>1358.9406738</v>
      </c>
      <c r="I1040">
        <v>1302.3813477000001</v>
      </c>
      <c r="J1040">
        <v>1289.3009033000001</v>
      </c>
      <c r="K1040">
        <v>1650</v>
      </c>
      <c r="L1040">
        <v>0</v>
      </c>
      <c r="M1040">
        <v>0</v>
      </c>
      <c r="N1040">
        <v>1650</v>
      </c>
    </row>
    <row r="1041" spans="1:14" x14ac:dyDescent="0.25">
      <c r="A1041">
        <v>751.61021800000003</v>
      </c>
      <c r="B1041" s="1">
        <f>DATE(2012,5,21) + TIME(14,38,42)</f>
        <v>41050.610208333332</v>
      </c>
      <c r="C1041">
        <v>80</v>
      </c>
      <c r="D1041">
        <v>79.931358337000006</v>
      </c>
      <c r="E1041">
        <v>50</v>
      </c>
      <c r="F1041">
        <v>48.193264008</v>
      </c>
      <c r="G1041">
        <v>1369.3951416</v>
      </c>
      <c r="H1041">
        <v>1358.9051514</v>
      </c>
      <c r="I1041">
        <v>1302.3730469</v>
      </c>
      <c r="J1041">
        <v>1289.2893065999999</v>
      </c>
      <c r="K1041">
        <v>1650</v>
      </c>
      <c r="L1041">
        <v>0</v>
      </c>
      <c r="M1041">
        <v>0</v>
      </c>
      <c r="N1041">
        <v>1650</v>
      </c>
    </row>
    <row r="1042" spans="1:14" x14ac:dyDescent="0.25">
      <c r="A1042">
        <v>752.18043699999998</v>
      </c>
      <c r="B1042" s="1">
        <f>DATE(2012,5,22) + TIME(4,19,49)</f>
        <v>41051.180428240739</v>
      </c>
      <c r="C1042">
        <v>80</v>
      </c>
      <c r="D1042">
        <v>79.931343079000001</v>
      </c>
      <c r="E1042">
        <v>50</v>
      </c>
      <c r="F1042">
        <v>48.152717590000002</v>
      </c>
      <c r="G1042">
        <v>1369.3496094</v>
      </c>
      <c r="H1042">
        <v>1358.869751</v>
      </c>
      <c r="I1042">
        <v>1302.3645019999999</v>
      </c>
      <c r="J1042">
        <v>1289.2774658000001</v>
      </c>
      <c r="K1042">
        <v>1650</v>
      </c>
      <c r="L1042">
        <v>0</v>
      </c>
      <c r="M1042">
        <v>0</v>
      </c>
      <c r="N1042">
        <v>1650</v>
      </c>
    </row>
    <row r="1043" spans="1:14" x14ac:dyDescent="0.25">
      <c r="A1043">
        <v>752.76344700000004</v>
      </c>
      <c r="B1043" s="1">
        <f>DATE(2012,5,22) + TIME(18,19,21)</f>
        <v>41051.763437499998</v>
      </c>
      <c r="C1043">
        <v>80</v>
      </c>
      <c r="D1043">
        <v>79.931320189999994</v>
      </c>
      <c r="E1043">
        <v>50</v>
      </c>
      <c r="F1043">
        <v>48.111541748</v>
      </c>
      <c r="G1043">
        <v>1369.3041992000001</v>
      </c>
      <c r="H1043">
        <v>1358.8343506000001</v>
      </c>
      <c r="I1043">
        <v>1302.3557129000001</v>
      </c>
      <c r="J1043">
        <v>1289.2652588000001</v>
      </c>
      <c r="K1043">
        <v>1650</v>
      </c>
      <c r="L1043">
        <v>0</v>
      </c>
      <c r="M1043">
        <v>0</v>
      </c>
      <c r="N1043">
        <v>1650</v>
      </c>
    </row>
    <row r="1044" spans="1:14" x14ac:dyDescent="0.25">
      <c r="A1044">
        <v>753.35873700000002</v>
      </c>
      <c r="B1044" s="1">
        <f>DATE(2012,5,23) + TIME(8,36,34)</f>
        <v>41052.358726851853</v>
      </c>
      <c r="C1044">
        <v>80</v>
      </c>
      <c r="D1044">
        <v>79.931297302000004</v>
      </c>
      <c r="E1044">
        <v>50</v>
      </c>
      <c r="F1044">
        <v>48.069755553999997</v>
      </c>
      <c r="G1044">
        <v>1369.2586670000001</v>
      </c>
      <c r="H1044">
        <v>1358.7990723</v>
      </c>
      <c r="I1044">
        <v>1302.3466797000001</v>
      </c>
      <c r="J1044">
        <v>1289.2526855000001</v>
      </c>
      <c r="K1044">
        <v>1650</v>
      </c>
      <c r="L1044">
        <v>0</v>
      </c>
      <c r="M1044">
        <v>0</v>
      </c>
      <c r="N1044">
        <v>1650</v>
      </c>
    </row>
    <row r="1045" spans="1:14" x14ac:dyDescent="0.25">
      <c r="A1045">
        <v>753.96717999999998</v>
      </c>
      <c r="B1045" s="1">
        <f>DATE(2012,5,23) + TIME(23,12,44)</f>
        <v>41052.967175925929</v>
      </c>
      <c r="C1045">
        <v>80</v>
      </c>
      <c r="D1045">
        <v>79.931274414000001</v>
      </c>
      <c r="E1045">
        <v>50</v>
      </c>
      <c r="F1045">
        <v>48.027309418000002</v>
      </c>
      <c r="G1045">
        <v>1369.2131348</v>
      </c>
      <c r="H1045">
        <v>1358.7636719</v>
      </c>
      <c r="I1045">
        <v>1302.3374022999999</v>
      </c>
      <c r="J1045">
        <v>1289.239624</v>
      </c>
      <c r="K1045">
        <v>1650</v>
      </c>
      <c r="L1045">
        <v>0</v>
      </c>
      <c r="M1045">
        <v>0</v>
      </c>
      <c r="N1045">
        <v>1650</v>
      </c>
    </row>
    <row r="1046" spans="1:14" x14ac:dyDescent="0.25">
      <c r="A1046">
        <v>754.59053900000004</v>
      </c>
      <c r="B1046" s="1">
        <f>DATE(2012,5,24) + TIME(14,10,22)</f>
        <v>41053.590532407405</v>
      </c>
      <c r="C1046">
        <v>80</v>
      </c>
      <c r="D1046">
        <v>79.931251525999997</v>
      </c>
      <c r="E1046">
        <v>50</v>
      </c>
      <c r="F1046">
        <v>47.984115600999999</v>
      </c>
      <c r="G1046">
        <v>1369.1676024999999</v>
      </c>
      <c r="H1046">
        <v>1358.7283935999999</v>
      </c>
      <c r="I1046">
        <v>1302.3278809000001</v>
      </c>
      <c r="J1046">
        <v>1289.2263184000001</v>
      </c>
      <c r="K1046">
        <v>1650</v>
      </c>
      <c r="L1046">
        <v>0</v>
      </c>
      <c r="M1046">
        <v>0</v>
      </c>
      <c r="N1046">
        <v>1650</v>
      </c>
    </row>
    <row r="1047" spans="1:14" x14ac:dyDescent="0.25">
      <c r="A1047">
        <v>755.23072100000002</v>
      </c>
      <c r="B1047" s="1">
        <f>DATE(2012,5,25) + TIME(5,32,14)</f>
        <v>41054.230717592596</v>
      </c>
      <c r="C1047">
        <v>80</v>
      </c>
      <c r="D1047">
        <v>79.931228637999993</v>
      </c>
      <c r="E1047">
        <v>50</v>
      </c>
      <c r="F1047">
        <v>47.940078735</v>
      </c>
      <c r="G1047">
        <v>1369.1219481999999</v>
      </c>
      <c r="H1047">
        <v>1358.6929932</v>
      </c>
      <c r="I1047">
        <v>1302.3179932</v>
      </c>
      <c r="J1047">
        <v>1289.2124022999999</v>
      </c>
      <c r="K1047">
        <v>1650</v>
      </c>
      <c r="L1047">
        <v>0</v>
      </c>
      <c r="M1047">
        <v>0</v>
      </c>
      <c r="N1047">
        <v>1650</v>
      </c>
    </row>
    <row r="1048" spans="1:14" x14ac:dyDescent="0.25">
      <c r="A1048">
        <v>755.88984700000003</v>
      </c>
      <c r="B1048" s="1">
        <f>DATE(2012,5,25) + TIME(21,21,22)</f>
        <v>41054.889837962961</v>
      </c>
      <c r="C1048">
        <v>80</v>
      </c>
      <c r="D1048">
        <v>79.931205750000004</v>
      </c>
      <c r="E1048">
        <v>50</v>
      </c>
      <c r="F1048">
        <v>47.895080565999997</v>
      </c>
      <c r="G1048">
        <v>1369.0760498</v>
      </c>
      <c r="H1048">
        <v>1358.6573486</v>
      </c>
      <c r="I1048">
        <v>1302.3077393000001</v>
      </c>
      <c r="J1048">
        <v>1289.1979980000001</v>
      </c>
      <c r="K1048">
        <v>1650</v>
      </c>
      <c r="L1048">
        <v>0</v>
      </c>
      <c r="M1048">
        <v>0</v>
      </c>
      <c r="N1048">
        <v>1650</v>
      </c>
    </row>
    <row r="1049" spans="1:14" x14ac:dyDescent="0.25">
      <c r="A1049">
        <v>756.55720299999996</v>
      </c>
      <c r="B1049" s="1">
        <f>DATE(2012,5,26) + TIME(13,22,22)</f>
        <v>41055.557199074072</v>
      </c>
      <c r="C1049">
        <v>80</v>
      </c>
      <c r="D1049">
        <v>79.931182860999996</v>
      </c>
      <c r="E1049">
        <v>50</v>
      </c>
      <c r="F1049">
        <v>47.849571228000002</v>
      </c>
      <c r="G1049">
        <v>1369.0296631000001</v>
      </c>
      <c r="H1049">
        <v>1358.6214600000001</v>
      </c>
      <c r="I1049">
        <v>1302.2971190999999</v>
      </c>
      <c r="J1049">
        <v>1289.1831055</v>
      </c>
      <c r="K1049">
        <v>1650</v>
      </c>
      <c r="L1049">
        <v>0</v>
      </c>
      <c r="M1049">
        <v>0</v>
      </c>
      <c r="N1049">
        <v>1650</v>
      </c>
    </row>
    <row r="1050" spans="1:14" x14ac:dyDescent="0.25">
      <c r="A1050">
        <v>757.22835999999995</v>
      </c>
      <c r="B1050" s="1">
        <f>DATE(2012,5,27) + TIME(5,28,50)</f>
        <v>41056.228356481479</v>
      </c>
      <c r="C1050">
        <v>80</v>
      </c>
      <c r="D1050">
        <v>79.931152343999997</v>
      </c>
      <c r="E1050">
        <v>50</v>
      </c>
      <c r="F1050">
        <v>47.803813933999997</v>
      </c>
      <c r="G1050">
        <v>1368.9837646000001</v>
      </c>
      <c r="H1050">
        <v>1358.5858154</v>
      </c>
      <c r="I1050">
        <v>1302.2861327999999</v>
      </c>
      <c r="J1050">
        <v>1289.1678466999999</v>
      </c>
      <c r="K1050">
        <v>1650</v>
      </c>
      <c r="L1050">
        <v>0</v>
      </c>
      <c r="M1050">
        <v>0</v>
      </c>
      <c r="N1050">
        <v>1650</v>
      </c>
    </row>
    <row r="1051" spans="1:14" x14ac:dyDescent="0.25">
      <c r="A1051">
        <v>757.905078</v>
      </c>
      <c r="B1051" s="1">
        <f>DATE(2012,5,27) + TIME(21,43,18)</f>
        <v>41056.905069444445</v>
      </c>
      <c r="C1051">
        <v>80</v>
      </c>
      <c r="D1051">
        <v>79.931129455999994</v>
      </c>
      <c r="E1051">
        <v>50</v>
      </c>
      <c r="F1051">
        <v>47.7578125</v>
      </c>
      <c r="G1051">
        <v>1368.9384766000001</v>
      </c>
      <c r="H1051">
        <v>1358.5507812000001</v>
      </c>
      <c r="I1051">
        <v>1302.2751464999999</v>
      </c>
      <c r="J1051">
        <v>1289.1522216999999</v>
      </c>
      <c r="K1051">
        <v>1650</v>
      </c>
      <c r="L1051">
        <v>0</v>
      </c>
      <c r="M1051">
        <v>0</v>
      </c>
      <c r="N1051">
        <v>1650</v>
      </c>
    </row>
    <row r="1052" spans="1:14" x14ac:dyDescent="0.25">
      <c r="A1052">
        <v>758.58911899999998</v>
      </c>
      <c r="B1052" s="1">
        <f>DATE(2012,5,28) + TIME(14,8,19)</f>
        <v>41057.589108796295</v>
      </c>
      <c r="C1052">
        <v>80</v>
      </c>
      <c r="D1052">
        <v>79.931106567</v>
      </c>
      <c r="E1052">
        <v>50</v>
      </c>
      <c r="F1052">
        <v>47.711524963000002</v>
      </c>
      <c r="G1052">
        <v>1368.8937988</v>
      </c>
      <c r="H1052">
        <v>1358.5161132999999</v>
      </c>
      <c r="I1052">
        <v>1302.2637939000001</v>
      </c>
      <c r="J1052">
        <v>1289.1363524999999</v>
      </c>
      <c r="K1052">
        <v>1650</v>
      </c>
      <c r="L1052">
        <v>0</v>
      </c>
      <c r="M1052">
        <v>0</v>
      </c>
      <c r="N1052">
        <v>1650</v>
      </c>
    </row>
    <row r="1053" spans="1:14" x14ac:dyDescent="0.25">
      <c r="A1053">
        <v>759.28227200000003</v>
      </c>
      <c r="B1053" s="1">
        <f>DATE(2012,5,29) + TIME(6,46,28)</f>
        <v>41058.282268518517</v>
      </c>
      <c r="C1053">
        <v>80</v>
      </c>
      <c r="D1053">
        <v>79.931083678999997</v>
      </c>
      <c r="E1053">
        <v>50</v>
      </c>
      <c r="F1053">
        <v>47.664886475000003</v>
      </c>
      <c r="G1053">
        <v>1368.8494873</v>
      </c>
      <c r="H1053">
        <v>1358.4818115</v>
      </c>
      <c r="I1053">
        <v>1302.2523193</v>
      </c>
      <c r="J1053">
        <v>1289.1201172000001</v>
      </c>
      <c r="K1053">
        <v>1650</v>
      </c>
      <c r="L1053">
        <v>0</v>
      </c>
      <c r="M1053">
        <v>0</v>
      </c>
      <c r="N1053">
        <v>1650</v>
      </c>
    </row>
    <row r="1054" spans="1:14" x14ac:dyDescent="0.25">
      <c r="A1054">
        <v>759.98638400000004</v>
      </c>
      <c r="B1054" s="1">
        <f>DATE(2012,5,29) + TIME(23,40,23)</f>
        <v>41058.986377314817</v>
      </c>
      <c r="C1054">
        <v>80</v>
      </c>
      <c r="D1054">
        <v>79.931060790999993</v>
      </c>
      <c r="E1054">
        <v>50</v>
      </c>
      <c r="F1054">
        <v>47.617805480999998</v>
      </c>
      <c r="G1054">
        <v>1368.8052978999999</v>
      </c>
      <c r="H1054">
        <v>1358.4476318</v>
      </c>
      <c r="I1054">
        <v>1302.2406006000001</v>
      </c>
      <c r="J1054">
        <v>1289.1035156</v>
      </c>
      <c r="K1054">
        <v>1650</v>
      </c>
      <c r="L1054">
        <v>0</v>
      </c>
      <c r="M1054">
        <v>0</v>
      </c>
      <c r="N1054">
        <v>1650</v>
      </c>
    </row>
    <row r="1055" spans="1:14" x14ac:dyDescent="0.25">
      <c r="A1055">
        <v>760.70340299999998</v>
      </c>
      <c r="B1055" s="1">
        <f>DATE(2012,5,30) + TIME(16,52,53)</f>
        <v>41059.7033912037</v>
      </c>
      <c r="C1055">
        <v>80</v>
      </c>
      <c r="D1055">
        <v>79.931037903000004</v>
      </c>
      <c r="E1055">
        <v>50</v>
      </c>
      <c r="F1055">
        <v>47.570186614999997</v>
      </c>
      <c r="G1055">
        <v>1368.7614745999999</v>
      </c>
      <c r="H1055">
        <v>1358.4136963000001</v>
      </c>
      <c r="I1055">
        <v>1302.2285156</v>
      </c>
      <c r="J1055">
        <v>1289.0863036999999</v>
      </c>
      <c r="K1055">
        <v>1650</v>
      </c>
      <c r="L1055">
        <v>0</v>
      </c>
      <c r="M1055">
        <v>0</v>
      </c>
      <c r="N1055">
        <v>1650</v>
      </c>
    </row>
    <row r="1056" spans="1:14" x14ac:dyDescent="0.25">
      <c r="A1056">
        <v>761.43540499999995</v>
      </c>
      <c r="B1056" s="1">
        <f>DATE(2012,5,31) + TIME(10,26,58)</f>
        <v>41060.435393518521</v>
      </c>
      <c r="C1056">
        <v>80</v>
      </c>
      <c r="D1056">
        <v>79.931015015</v>
      </c>
      <c r="E1056">
        <v>50</v>
      </c>
      <c r="F1056">
        <v>47.521915436</v>
      </c>
      <c r="G1056">
        <v>1368.7175293</v>
      </c>
      <c r="H1056">
        <v>1358.3797606999999</v>
      </c>
      <c r="I1056">
        <v>1302.2160644999999</v>
      </c>
      <c r="J1056">
        <v>1289.0687256000001</v>
      </c>
      <c r="K1056">
        <v>1650</v>
      </c>
      <c r="L1056">
        <v>0</v>
      </c>
      <c r="M1056">
        <v>0</v>
      </c>
      <c r="N1056">
        <v>1650</v>
      </c>
    </row>
    <row r="1057" spans="1:14" x14ac:dyDescent="0.25">
      <c r="A1057">
        <v>762</v>
      </c>
      <c r="B1057" s="1">
        <f>DATE(2012,6,1) + TIME(0,0,0)</f>
        <v>41061</v>
      </c>
      <c r="C1057">
        <v>80</v>
      </c>
      <c r="D1057">
        <v>79.930992126000007</v>
      </c>
      <c r="E1057">
        <v>50</v>
      </c>
      <c r="F1057">
        <v>47.481235503999997</v>
      </c>
      <c r="G1057">
        <v>1368.6734618999999</v>
      </c>
      <c r="H1057">
        <v>1358.3455810999999</v>
      </c>
      <c r="I1057">
        <v>1302.2026367000001</v>
      </c>
      <c r="J1057">
        <v>1289.0510254000001</v>
      </c>
      <c r="K1057">
        <v>1650</v>
      </c>
      <c r="L1057">
        <v>0</v>
      </c>
      <c r="M1057">
        <v>0</v>
      </c>
      <c r="N1057">
        <v>1650</v>
      </c>
    </row>
    <row r="1058" spans="1:14" x14ac:dyDescent="0.25">
      <c r="A1058">
        <v>762.74922700000002</v>
      </c>
      <c r="B1058" s="1">
        <f>DATE(2012,6,1) + TIME(17,58,53)</f>
        <v>41061.749224537038</v>
      </c>
      <c r="C1058">
        <v>80</v>
      </c>
      <c r="D1058">
        <v>79.930976868000002</v>
      </c>
      <c r="E1058">
        <v>50</v>
      </c>
      <c r="F1058">
        <v>47.433475494</v>
      </c>
      <c r="G1058">
        <v>1368.6402588000001</v>
      </c>
      <c r="H1058">
        <v>1358.3198242000001</v>
      </c>
      <c r="I1058">
        <v>1302.1932373</v>
      </c>
      <c r="J1058">
        <v>1289.0358887</v>
      </c>
      <c r="K1058">
        <v>1650</v>
      </c>
      <c r="L1058">
        <v>0</v>
      </c>
      <c r="M1058">
        <v>0</v>
      </c>
      <c r="N1058">
        <v>1650</v>
      </c>
    </row>
    <row r="1059" spans="1:14" x14ac:dyDescent="0.25">
      <c r="A1059">
        <v>763.52724699999999</v>
      </c>
      <c r="B1059" s="1">
        <f>DATE(2012,6,2) + TIME(12,39,14)</f>
        <v>41062.527245370373</v>
      </c>
      <c r="C1059">
        <v>80</v>
      </c>
      <c r="D1059">
        <v>79.930953978999995</v>
      </c>
      <c r="E1059">
        <v>50</v>
      </c>
      <c r="F1059">
        <v>47.384033203000001</v>
      </c>
      <c r="G1059">
        <v>1368.5966797000001</v>
      </c>
      <c r="H1059">
        <v>1358.2861327999999</v>
      </c>
      <c r="I1059">
        <v>1302.1799315999999</v>
      </c>
      <c r="J1059">
        <v>1289.0167236</v>
      </c>
      <c r="K1059">
        <v>1650</v>
      </c>
      <c r="L1059">
        <v>0</v>
      </c>
      <c r="M1059">
        <v>0</v>
      </c>
      <c r="N1059">
        <v>1650</v>
      </c>
    </row>
    <row r="1060" spans="1:14" x14ac:dyDescent="0.25">
      <c r="A1060">
        <v>764.31883300000004</v>
      </c>
      <c r="B1060" s="1">
        <f>DATE(2012,6,3) + TIME(7,39,7)</f>
        <v>41063.318831018521</v>
      </c>
      <c r="C1060">
        <v>80</v>
      </c>
      <c r="D1060">
        <v>79.930938721000004</v>
      </c>
      <c r="E1060">
        <v>50</v>
      </c>
      <c r="F1060">
        <v>47.333530426000003</v>
      </c>
      <c r="G1060">
        <v>1368.5523682</v>
      </c>
      <c r="H1060">
        <v>1358.2518310999999</v>
      </c>
      <c r="I1060">
        <v>1302.1657714999999</v>
      </c>
      <c r="J1060">
        <v>1288.9967041</v>
      </c>
      <c r="K1060">
        <v>1650</v>
      </c>
      <c r="L1060">
        <v>0</v>
      </c>
      <c r="M1060">
        <v>0</v>
      </c>
      <c r="N1060">
        <v>1650</v>
      </c>
    </row>
    <row r="1061" spans="1:14" x14ac:dyDescent="0.25">
      <c r="A1061">
        <v>765.12637800000005</v>
      </c>
      <c r="B1061" s="1">
        <f>DATE(2012,6,4) + TIME(3,1,59)</f>
        <v>41064.126377314817</v>
      </c>
      <c r="C1061">
        <v>80</v>
      </c>
      <c r="D1061">
        <v>79.930915833</v>
      </c>
      <c r="E1061">
        <v>50</v>
      </c>
      <c r="F1061">
        <v>47.282020568999997</v>
      </c>
      <c r="G1061">
        <v>1368.5079346</v>
      </c>
      <c r="H1061">
        <v>1358.2174072</v>
      </c>
      <c r="I1061">
        <v>1302.1512451000001</v>
      </c>
      <c r="J1061">
        <v>1288.9759521000001</v>
      </c>
      <c r="K1061">
        <v>1650</v>
      </c>
      <c r="L1061">
        <v>0</v>
      </c>
      <c r="M1061">
        <v>0</v>
      </c>
      <c r="N1061">
        <v>1650</v>
      </c>
    </row>
    <row r="1062" spans="1:14" x14ac:dyDescent="0.25">
      <c r="A1062">
        <v>765.952224</v>
      </c>
      <c r="B1062" s="1">
        <f>DATE(2012,6,4) + TIME(22,51,12)</f>
        <v>41064.952222222222</v>
      </c>
      <c r="C1062">
        <v>80</v>
      </c>
      <c r="D1062">
        <v>79.930900574000006</v>
      </c>
      <c r="E1062">
        <v>50</v>
      </c>
      <c r="F1062">
        <v>47.229503631999997</v>
      </c>
      <c r="G1062">
        <v>1368.4636230000001</v>
      </c>
      <c r="H1062">
        <v>1358.1829834</v>
      </c>
      <c r="I1062">
        <v>1302.1363524999999</v>
      </c>
      <c r="J1062">
        <v>1288.9544678</v>
      </c>
      <c r="K1062">
        <v>1650</v>
      </c>
      <c r="L1062">
        <v>0</v>
      </c>
      <c r="M1062">
        <v>0</v>
      </c>
      <c r="N1062">
        <v>1650</v>
      </c>
    </row>
    <row r="1063" spans="1:14" x14ac:dyDescent="0.25">
      <c r="A1063">
        <v>766.79894300000001</v>
      </c>
      <c r="B1063" s="1">
        <f>DATE(2012,6,5) + TIME(19,10,28)</f>
        <v>41065.798935185187</v>
      </c>
      <c r="C1063">
        <v>80</v>
      </c>
      <c r="D1063">
        <v>79.930885314999998</v>
      </c>
      <c r="E1063">
        <v>50</v>
      </c>
      <c r="F1063">
        <v>47.175903320000003</v>
      </c>
      <c r="G1063">
        <v>1368.4189452999999</v>
      </c>
      <c r="H1063">
        <v>1358.1484375</v>
      </c>
      <c r="I1063">
        <v>1302.1208495999999</v>
      </c>
      <c r="J1063">
        <v>1288.9321289</v>
      </c>
      <c r="K1063">
        <v>1650</v>
      </c>
      <c r="L1063">
        <v>0</v>
      </c>
      <c r="M1063">
        <v>0</v>
      </c>
      <c r="N1063">
        <v>1650</v>
      </c>
    </row>
    <row r="1064" spans="1:14" x14ac:dyDescent="0.25">
      <c r="A1064">
        <v>767.65323000000001</v>
      </c>
      <c r="B1064" s="1">
        <f>DATE(2012,6,6) + TIME(15,40,39)</f>
        <v>41066.653229166666</v>
      </c>
      <c r="C1064">
        <v>80</v>
      </c>
      <c r="D1064">
        <v>79.930862426999994</v>
      </c>
      <c r="E1064">
        <v>50</v>
      </c>
      <c r="F1064">
        <v>47.121726989999999</v>
      </c>
      <c r="G1064">
        <v>1368.3740233999999</v>
      </c>
      <c r="H1064">
        <v>1358.1136475000001</v>
      </c>
      <c r="I1064">
        <v>1302.1046143000001</v>
      </c>
      <c r="J1064">
        <v>1288.9088135</v>
      </c>
      <c r="K1064">
        <v>1650</v>
      </c>
      <c r="L1064">
        <v>0</v>
      </c>
      <c r="M1064">
        <v>0</v>
      </c>
      <c r="N1064">
        <v>1650</v>
      </c>
    </row>
    <row r="1065" spans="1:14" x14ac:dyDescent="0.25">
      <c r="A1065">
        <v>768.51339199999995</v>
      </c>
      <c r="B1065" s="1">
        <f>DATE(2012,6,7) + TIME(12,19,17)</f>
        <v>41067.513391203705</v>
      </c>
      <c r="C1065">
        <v>80</v>
      </c>
      <c r="D1065">
        <v>79.930847168</v>
      </c>
      <c r="E1065">
        <v>50</v>
      </c>
      <c r="F1065">
        <v>47.067161560000002</v>
      </c>
      <c r="G1065">
        <v>1368.3295897999999</v>
      </c>
      <c r="H1065">
        <v>1358.0792236</v>
      </c>
      <c r="I1065">
        <v>1302.0881348</v>
      </c>
      <c r="J1065">
        <v>1288.8850098</v>
      </c>
      <c r="K1065">
        <v>1650</v>
      </c>
      <c r="L1065">
        <v>0</v>
      </c>
      <c r="M1065">
        <v>0</v>
      </c>
      <c r="N1065">
        <v>1650</v>
      </c>
    </row>
    <row r="1066" spans="1:14" x14ac:dyDescent="0.25">
      <c r="A1066">
        <v>769.38177800000005</v>
      </c>
      <c r="B1066" s="1">
        <f>DATE(2012,6,8) + TIME(9,9,45)</f>
        <v>41068.38177083333</v>
      </c>
      <c r="C1066">
        <v>80</v>
      </c>
      <c r="D1066">
        <v>79.930831909000005</v>
      </c>
      <c r="E1066">
        <v>50</v>
      </c>
      <c r="F1066">
        <v>47.012218474999997</v>
      </c>
      <c r="G1066">
        <v>1368.2855225000001</v>
      </c>
      <c r="H1066">
        <v>1358.0450439000001</v>
      </c>
      <c r="I1066">
        <v>1302.0712891000001</v>
      </c>
      <c r="J1066">
        <v>1288.8605957</v>
      </c>
      <c r="K1066">
        <v>1650</v>
      </c>
      <c r="L1066">
        <v>0</v>
      </c>
      <c r="M1066">
        <v>0</v>
      </c>
      <c r="N1066">
        <v>1650</v>
      </c>
    </row>
    <row r="1067" spans="1:14" x14ac:dyDescent="0.25">
      <c r="A1067">
        <v>770.26074200000005</v>
      </c>
      <c r="B1067" s="1">
        <f>DATE(2012,6,9) + TIME(6,15,28)</f>
        <v>41069.260740740741</v>
      </c>
      <c r="C1067">
        <v>80</v>
      </c>
      <c r="D1067">
        <v>79.930816649999997</v>
      </c>
      <c r="E1067">
        <v>50</v>
      </c>
      <c r="F1067">
        <v>46.956844330000003</v>
      </c>
      <c r="G1067">
        <v>1368.2419434000001</v>
      </c>
      <c r="H1067">
        <v>1358.0112305</v>
      </c>
      <c r="I1067">
        <v>1302.0540771000001</v>
      </c>
      <c r="J1067">
        <v>1288.8355713000001</v>
      </c>
      <c r="K1067">
        <v>1650</v>
      </c>
      <c r="L1067">
        <v>0</v>
      </c>
      <c r="M1067">
        <v>0</v>
      </c>
      <c r="N1067">
        <v>1650</v>
      </c>
    </row>
    <row r="1068" spans="1:14" x14ac:dyDescent="0.25">
      <c r="A1068">
        <v>771.15270699999996</v>
      </c>
      <c r="B1068" s="1">
        <f>DATE(2012,6,10) + TIME(3,39,53)</f>
        <v>41070.152696759258</v>
      </c>
      <c r="C1068">
        <v>80</v>
      </c>
      <c r="D1068">
        <v>79.930809021000002</v>
      </c>
      <c r="E1068">
        <v>50</v>
      </c>
      <c r="F1068">
        <v>46.900936127000001</v>
      </c>
      <c r="G1068">
        <v>1368.1984863</v>
      </c>
      <c r="H1068">
        <v>1357.9775391000001</v>
      </c>
      <c r="I1068">
        <v>1302.0363769999999</v>
      </c>
      <c r="J1068">
        <v>1288.8096923999999</v>
      </c>
      <c r="K1068">
        <v>1650</v>
      </c>
      <c r="L1068">
        <v>0</v>
      </c>
      <c r="M1068">
        <v>0</v>
      </c>
      <c r="N1068">
        <v>1650</v>
      </c>
    </row>
    <row r="1069" spans="1:14" x14ac:dyDescent="0.25">
      <c r="A1069">
        <v>772.06021699999997</v>
      </c>
      <c r="B1069" s="1">
        <f>DATE(2012,6,11) + TIME(1,26,42)</f>
        <v>41071.060208333336</v>
      </c>
      <c r="C1069">
        <v>80</v>
      </c>
      <c r="D1069">
        <v>79.930793761999993</v>
      </c>
      <c r="E1069">
        <v>50</v>
      </c>
      <c r="F1069">
        <v>46.844383239999999</v>
      </c>
      <c r="G1069">
        <v>1368.1551514</v>
      </c>
      <c r="H1069">
        <v>1357.9438477000001</v>
      </c>
      <c r="I1069">
        <v>1302.0181885</v>
      </c>
      <c r="J1069">
        <v>1288.7830810999999</v>
      </c>
      <c r="K1069">
        <v>1650</v>
      </c>
      <c r="L1069">
        <v>0</v>
      </c>
      <c r="M1069">
        <v>0</v>
      </c>
      <c r="N1069">
        <v>1650</v>
      </c>
    </row>
    <row r="1070" spans="1:14" x14ac:dyDescent="0.25">
      <c r="A1070">
        <v>772.98596699999996</v>
      </c>
      <c r="B1070" s="1">
        <f>DATE(2012,6,11) + TIME(23,39,47)</f>
        <v>41071.985960648148</v>
      </c>
      <c r="C1070">
        <v>80</v>
      </c>
      <c r="D1070">
        <v>79.930786132999998</v>
      </c>
      <c r="E1070">
        <v>50</v>
      </c>
      <c r="F1070">
        <v>46.787033080999997</v>
      </c>
      <c r="G1070">
        <v>1368.1118164</v>
      </c>
      <c r="H1070">
        <v>1357.9102783000001</v>
      </c>
      <c r="I1070">
        <v>1301.9995117000001</v>
      </c>
      <c r="J1070">
        <v>1288.7554932</v>
      </c>
      <c r="K1070">
        <v>1650</v>
      </c>
      <c r="L1070">
        <v>0</v>
      </c>
      <c r="M1070">
        <v>0</v>
      </c>
      <c r="N1070">
        <v>1650</v>
      </c>
    </row>
    <row r="1071" spans="1:14" x14ac:dyDescent="0.25">
      <c r="A1071">
        <v>773.93287299999997</v>
      </c>
      <c r="B1071" s="1">
        <f>DATE(2012,6,12) + TIME(22,23,20)</f>
        <v>41072.932870370372</v>
      </c>
      <c r="C1071">
        <v>80</v>
      </c>
      <c r="D1071">
        <v>79.930770874000004</v>
      </c>
      <c r="E1071">
        <v>50</v>
      </c>
      <c r="F1071">
        <v>46.728736877000003</v>
      </c>
      <c r="G1071">
        <v>1368.0683594</v>
      </c>
      <c r="H1071">
        <v>1357.8764647999999</v>
      </c>
      <c r="I1071">
        <v>1301.9801024999999</v>
      </c>
      <c r="J1071">
        <v>1288.7269286999999</v>
      </c>
      <c r="K1071">
        <v>1650</v>
      </c>
      <c r="L1071">
        <v>0</v>
      </c>
      <c r="M1071">
        <v>0</v>
      </c>
      <c r="N1071">
        <v>1650</v>
      </c>
    </row>
    <row r="1072" spans="1:14" x14ac:dyDescent="0.25">
      <c r="A1072">
        <v>774.89987599999995</v>
      </c>
      <c r="B1072" s="1">
        <f>DATE(2012,6,13) + TIME(21,35,49)</f>
        <v>41073.899872685186</v>
      </c>
      <c r="C1072">
        <v>80</v>
      </c>
      <c r="D1072">
        <v>79.930763244999994</v>
      </c>
      <c r="E1072">
        <v>50</v>
      </c>
      <c r="F1072">
        <v>46.669464111000003</v>
      </c>
      <c r="G1072">
        <v>1368.0246582</v>
      </c>
      <c r="H1072">
        <v>1357.8424072</v>
      </c>
      <c r="I1072">
        <v>1301.9599608999999</v>
      </c>
      <c r="J1072">
        <v>1288.6972656</v>
      </c>
      <c r="K1072">
        <v>1650</v>
      </c>
      <c r="L1072">
        <v>0</v>
      </c>
      <c r="M1072">
        <v>0</v>
      </c>
      <c r="N1072">
        <v>1650</v>
      </c>
    </row>
    <row r="1073" spans="1:14" x14ac:dyDescent="0.25">
      <c r="A1073">
        <v>775.88591699999995</v>
      </c>
      <c r="B1073" s="1">
        <f>DATE(2012,6,14) + TIME(21,15,43)</f>
        <v>41074.885914351849</v>
      </c>
      <c r="C1073">
        <v>80</v>
      </c>
      <c r="D1073">
        <v>79.930755614999995</v>
      </c>
      <c r="E1073">
        <v>50</v>
      </c>
      <c r="F1073">
        <v>46.609222412000001</v>
      </c>
      <c r="G1073">
        <v>1367.9807129000001</v>
      </c>
      <c r="H1073">
        <v>1357.8083495999999</v>
      </c>
      <c r="I1073">
        <v>1301.9390868999999</v>
      </c>
      <c r="J1073">
        <v>1288.6663818</v>
      </c>
      <c r="K1073">
        <v>1650</v>
      </c>
      <c r="L1073">
        <v>0</v>
      </c>
      <c r="M1073">
        <v>0</v>
      </c>
      <c r="N1073">
        <v>1650</v>
      </c>
    </row>
    <row r="1074" spans="1:14" x14ac:dyDescent="0.25">
      <c r="A1074">
        <v>776.89396399999998</v>
      </c>
      <c r="B1074" s="1">
        <f>DATE(2012,6,15) + TIME(21,27,18)</f>
        <v>41075.893958333334</v>
      </c>
      <c r="C1074">
        <v>80</v>
      </c>
      <c r="D1074">
        <v>79.930747986</v>
      </c>
      <c r="E1074">
        <v>50</v>
      </c>
      <c r="F1074">
        <v>46.547912598000003</v>
      </c>
      <c r="G1074">
        <v>1367.9367675999999</v>
      </c>
      <c r="H1074">
        <v>1357.7740478999999</v>
      </c>
      <c r="I1074">
        <v>1301.9174805</v>
      </c>
      <c r="J1074">
        <v>1288.6342772999999</v>
      </c>
      <c r="K1074">
        <v>1650</v>
      </c>
      <c r="L1074">
        <v>0</v>
      </c>
      <c r="M1074">
        <v>0</v>
      </c>
      <c r="N1074">
        <v>1650</v>
      </c>
    </row>
    <row r="1075" spans="1:14" x14ac:dyDescent="0.25">
      <c r="A1075">
        <v>777.92715599999997</v>
      </c>
      <c r="B1075" s="1">
        <f>DATE(2012,6,16) + TIME(22,15,6)</f>
        <v>41076.927152777775</v>
      </c>
      <c r="C1075">
        <v>80</v>
      </c>
      <c r="D1075">
        <v>79.930740356000001</v>
      </c>
      <c r="E1075">
        <v>50</v>
      </c>
      <c r="F1075">
        <v>46.485389709000003</v>
      </c>
      <c r="G1075">
        <v>1367.8924560999999</v>
      </c>
      <c r="H1075">
        <v>1357.7395019999999</v>
      </c>
      <c r="I1075">
        <v>1301.8950195</v>
      </c>
      <c r="J1075">
        <v>1288.6009521000001</v>
      </c>
      <c r="K1075">
        <v>1650</v>
      </c>
      <c r="L1075">
        <v>0</v>
      </c>
      <c r="M1075">
        <v>0</v>
      </c>
      <c r="N1075">
        <v>1650</v>
      </c>
    </row>
    <row r="1076" spans="1:14" x14ac:dyDescent="0.25">
      <c r="A1076">
        <v>778.98094900000001</v>
      </c>
      <c r="B1076" s="1">
        <f>DATE(2012,6,17) + TIME(23,32,33)</f>
        <v>41077.980937499997</v>
      </c>
      <c r="C1076">
        <v>80</v>
      </c>
      <c r="D1076">
        <v>79.930740356000001</v>
      </c>
      <c r="E1076">
        <v>50</v>
      </c>
      <c r="F1076">
        <v>46.421745299999998</v>
      </c>
      <c r="G1076">
        <v>1367.8477783000001</v>
      </c>
      <c r="H1076">
        <v>1357.7047118999999</v>
      </c>
      <c r="I1076">
        <v>1301.8717041</v>
      </c>
      <c r="J1076">
        <v>1288.5661620999999</v>
      </c>
      <c r="K1076">
        <v>1650</v>
      </c>
      <c r="L1076">
        <v>0</v>
      </c>
      <c r="M1076">
        <v>0</v>
      </c>
      <c r="N1076">
        <v>1650</v>
      </c>
    </row>
    <row r="1077" spans="1:14" x14ac:dyDescent="0.25">
      <c r="A1077">
        <v>780.04284600000005</v>
      </c>
      <c r="B1077" s="1">
        <f>DATE(2012,6,19) + TIME(1,1,41)</f>
        <v>41079.04283564815</v>
      </c>
      <c r="C1077">
        <v>80</v>
      </c>
      <c r="D1077">
        <v>79.930732727000006</v>
      </c>
      <c r="E1077">
        <v>50</v>
      </c>
      <c r="F1077">
        <v>46.357418060000001</v>
      </c>
      <c r="G1077">
        <v>1367.8031006000001</v>
      </c>
      <c r="H1077">
        <v>1357.6697998</v>
      </c>
      <c r="I1077">
        <v>1301.8475341999999</v>
      </c>
      <c r="J1077">
        <v>1288.5300293</v>
      </c>
      <c r="K1077">
        <v>1650</v>
      </c>
      <c r="L1077">
        <v>0</v>
      </c>
      <c r="M1077">
        <v>0</v>
      </c>
      <c r="N1077">
        <v>1650</v>
      </c>
    </row>
    <row r="1078" spans="1:14" x14ac:dyDescent="0.25">
      <c r="A1078">
        <v>781.111942</v>
      </c>
      <c r="B1078" s="1">
        <f>DATE(2012,6,20) + TIME(2,41,11)</f>
        <v>41080.111932870372</v>
      </c>
      <c r="C1078">
        <v>80</v>
      </c>
      <c r="D1078">
        <v>79.930732727000006</v>
      </c>
      <c r="E1078">
        <v>50</v>
      </c>
      <c r="F1078">
        <v>46.292598724000001</v>
      </c>
      <c r="G1078">
        <v>1367.7586670000001</v>
      </c>
      <c r="H1078">
        <v>1357.6351318</v>
      </c>
      <c r="I1078">
        <v>1301.822876</v>
      </c>
      <c r="J1078">
        <v>1288.4929199000001</v>
      </c>
      <c r="K1078">
        <v>1650</v>
      </c>
      <c r="L1078">
        <v>0</v>
      </c>
      <c r="M1078">
        <v>0</v>
      </c>
      <c r="N1078">
        <v>1650</v>
      </c>
    </row>
    <row r="1079" spans="1:14" x14ac:dyDescent="0.25">
      <c r="A1079">
        <v>782.19126800000004</v>
      </c>
      <c r="B1079" s="1">
        <f>DATE(2012,6,21) + TIME(4,35,25)</f>
        <v>41081.191261574073</v>
      </c>
      <c r="C1079">
        <v>80</v>
      </c>
      <c r="D1079">
        <v>79.930725097999996</v>
      </c>
      <c r="E1079">
        <v>50</v>
      </c>
      <c r="F1079">
        <v>46.227287292</v>
      </c>
      <c r="G1079">
        <v>1367.7147216999999</v>
      </c>
      <c r="H1079">
        <v>1357.6008300999999</v>
      </c>
      <c r="I1079">
        <v>1301.7976074000001</v>
      </c>
      <c r="J1079">
        <v>1288.4548339999999</v>
      </c>
      <c r="K1079">
        <v>1650</v>
      </c>
      <c r="L1079">
        <v>0</v>
      </c>
      <c r="M1079">
        <v>0</v>
      </c>
      <c r="N1079">
        <v>1650</v>
      </c>
    </row>
    <row r="1080" spans="1:14" x14ac:dyDescent="0.25">
      <c r="A1080">
        <v>783.28027899999995</v>
      </c>
      <c r="B1080" s="1">
        <f>DATE(2012,6,22) + TIME(6,43,36)</f>
        <v>41082.280277777776</v>
      </c>
      <c r="C1080">
        <v>80</v>
      </c>
      <c r="D1080">
        <v>79.930725097999996</v>
      </c>
      <c r="E1080">
        <v>50</v>
      </c>
      <c r="F1080">
        <v>46.161518096999998</v>
      </c>
      <c r="G1080">
        <v>1367.6710204999999</v>
      </c>
      <c r="H1080">
        <v>1357.5666504000001</v>
      </c>
      <c r="I1080">
        <v>1301.7717285000001</v>
      </c>
      <c r="J1080">
        <v>1288.4156493999999</v>
      </c>
      <c r="K1080">
        <v>1650</v>
      </c>
      <c r="L1080">
        <v>0</v>
      </c>
      <c r="M1080">
        <v>0</v>
      </c>
      <c r="N1080">
        <v>1650</v>
      </c>
    </row>
    <row r="1081" spans="1:14" x14ac:dyDescent="0.25">
      <c r="A1081">
        <v>784.37863200000004</v>
      </c>
      <c r="B1081" s="1">
        <f>DATE(2012,6,23) + TIME(9,5,13)</f>
        <v>41083.378622685188</v>
      </c>
      <c r="C1081">
        <v>80</v>
      </c>
      <c r="D1081">
        <v>79.930725097999996</v>
      </c>
      <c r="E1081">
        <v>50</v>
      </c>
      <c r="F1081">
        <v>46.095310210999997</v>
      </c>
      <c r="G1081">
        <v>1367.6275635</v>
      </c>
      <c r="H1081">
        <v>1357.5327147999999</v>
      </c>
      <c r="I1081">
        <v>1301.7451172000001</v>
      </c>
      <c r="J1081">
        <v>1288.3753661999999</v>
      </c>
      <c r="K1081">
        <v>1650</v>
      </c>
      <c r="L1081">
        <v>0</v>
      </c>
      <c r="M1081">
        <v>0</v>
      </c>
      <c r="N1081">
        <v>1650</v>
      </c>
    </row>
    <row r="1082" spans="1:14" x14ac:dyDescent="0.25">
      <c r="A1082">
        <v>785.48913200000004</v>
      </c>
      <c r="B1082" s="1">
        <f>DATE(2012,6,24) + TIME(11,44,20)</f>
        <v>41084.489120370374</v>
      </c>
      <c r="C1082">
        <v>80</v>
      </c>
      <c r="D1082">
        <v>79.930725097999996</v>
      </c>
      <c r="E1082">
        <v>50</v>
      </c>
      <c r="F1082">
        <v>46.028579712000003</v>
      </c>
      <c r="G1082">
        <v>1367.5844727000001</v>
      </c>
      <c r="H1082">
        <v>1357.4989014</v>
      </c>
      <c r="I1082">
        <v>1301.7178954999999</v>
      </c>
      <c r="J1082">
        <v>1288.3339844</v>
      </c>
      <c r="K1082">
        <v>1650</v>
      </c>
      <c r="L1082">
        <v>0</v>
      </c>
      <c r="M1082">
        <v>0</v>
      </c>
      <c r="N1082">
        <v>1650</v>
      </c>
    </row>
    <row r="1083" spans="1:14" x14ac:dyDescent="0.25">
      <c r="A1083">
        <v>786.61466900000005</v>
      </c>
      <c r="B1083" s="1">
        <f>DATE(2012,6,25) + TIME(14,45,7)</f>
        <v>41085.614664351851</v>
      </c>
      <c r="C1083">
        <v>80</v>
      </c>
      <c r="D1083">
        <v>79.930725097999996</v>
      </c>
      <c r="E1083">
        <v>50</v>
      </c>
      <c r="F1083">
        <v>45.961204529</v>
      </c>
      <c r="G1083">
        <v>1367.541626</v>
      </c>
      <c r="H1083">
        <v>1357.465332</v>
      </c>
      <c r="I1083">
        <v>1301.6900635</v>
      </c>
      <c r="J1083">
        <v>1288.2913818</v>
      </c>
      <c r="K1083">
        <v>1650</v>
      </c>
      <c r="L1083">
        <v>0</v>
      </c>
      <c r="M1083">
        <v>0</v>
      </c>
      <c r="N1083">
        <v>1650</v>
      </c>
    </row>
    <row r="1084" spans="1:14" x14ac:dyDescent="0.25">
      <c r="A1084">
        <v>787.75826199999995</v>
      </c>
      <c r="B1084" s="1">
        <f>DATE(2012,6,26) + TIME(18,11,53)</f>
        <v>41086.758252314816</v>
      </c>
      <c r="C1084">
        <v>80</v>
      </c>
      <c r="D1084">
        <v>79.930732727000006</v>
      </c>
      <c r="E1084">
        <v>50</v>
      </c>
      <c r="F1084">
        <v>45.893032073999997</v>
      </c>
      <c r="G1084">
        <v>1367.4987793</v>
      </c>
      <c r="H1084">
        <v>1357.4316406</v>
      </c>
      <c r="I1084">
        <v>1301.6613769999999</v>
      </c>
      <c r="J1084">
        <v>1288.2474365</v>
      </c>
      <c r="K1084">
        <v>1650</v>
      </c>
      <c r="L1084">
        <v>0</v>
      </c>
      <c r="M1084">
        <v>0</v>
      </c>
      <c r="N1084">
        <v>1650</v>
      </c>
    </row>
    <row r="1085" spans="1:14" x14ac:dyDescent="0.25">
      <c r="A1085">
        <v>788.92310099999997</v>
      </c>
      <c r="B1085" s="1">
        <f>DATE(2012,6,27) + TIME(22,9,15)</f>
        <v>41087.923090277778</v>
      </c>
      <c r="C1085">
        <v>80</v>
      </c>
      <c r="D1085">
        <v>79.930732727000006</v>
      </c>
      <c r="E1085">
        <v>50</v>
      </c>
      <c r="F1085">
        <v>45.823883057000003</v>
      </c>
      <c r="G1085">
        <v>1367.4559326000001</v>
      </c>
      <c r="H1085">
        <v>1357.3979492000001</v>
      </c>
      <c r="I1085">
        <v>1301.6318358999999</v>
      </c>
      <c r="J1085">
        <v>1288.2019043</v>
      </c>
      <c r="K1085">
        <v>1650</v>
      </c>
      <c r="L1085">
        <v>0</v>
      </c>
      <c r="M1085">
        <v>0</v>
      </c>
      <c r="N1085">
        <v>1650</v>
      </c>
    </row>
    <row r="1086" spans="1:14" x14ac:dyDescent="0.25">
      <c r="A1086">
        <v>790.11259500000006</v>
      </c>
      <c r="B1086" s="1">
        <f>DATE(2012,6,29) + TIME(2,42,8)</f>
        <v>41089.112592592595</v>
      </c>
      <c r="C1086">
        <v>80</v>
      </c>
      <c r="D1086">
        <v>79.930740356000001</v>
      </c>
      <c r="E1086">
        <v>50</v>
      </c>
      <c r="F1086">
        <v>45.753578185999999</v>
      </c>
      <c r="G1086">
        <v>1367.4128418</v>
      </c>
      <c r="H1086">
        <v>1357.3641356999999</v>
      </c>
      <c r="I1086">
        <v>1301.6013184000001</v>
      </c>
      <c r="J1086">
        <v>1288.1547852000001</v>
      </c>
      <c r="K1086">
        <v>1650</v>
      </c>
      <c r="L1086">
        <v>0</v>
      </c>
      <c r="M1086">
        <v>0</v>
      </c>
      <c r="N1086">
        <v>1650</v>
      </c>
    </row>
    <row r="1087" spans="1:14" x14ac:dyDescent="0.25">
      <c r="A1087">
        <v>791.330468</v>
      </c>
      <c r="B1087" s="1">
        <f>DATE(2012,6,30) + TIME(7,55,52)</f>
        <v>41090.330462962964</v>
      </c>
      <c r="C1087">
        <v>80</v>
      </c>
      <c r="D1087">
        <v>79.930747986</v>
      </c>
      <c r="E1087">
        <v>50</v>
      </c>
      <c r="F1087">
        <v>45.681907654</v>
      </c>
      <c r="G1087">
        <v>1367.3696289</v>
      </c>
      <c r="H1087">
        <v>1357.3300781</v>
      </c>
      <c r="I1087">
        <v>1301.5697021000001</v>
      </c>
      <c r="J1087">
        <v>1288.1058350000001</v>
      </c>
      <c r="K1087">
        <v>1650</v>
      </c>
      <c r="L1087">
        <v>0</v>
      </c>
      <c r="M1087">
        <v>0</v>
      </c>
      <c r="N1087">
        <v>1650</v>
      </c>
    </row>
    <row r="1088" spans="1:14" x14ac:dyDescent="0.25">
      <c r="A1088">
        <v>792</v>
      </c>
      <c r="B1088" s="1">
        <f>DATE(2012,7,1) + TIME(0,0,0)</f>
        <v>41091</v>
      </c>
      <c r="C1088">
        <v>80</v>
      </c>
      <c r="D1088">
        <v>79.930740356000001</v>
      </c>
      <c r="E1088">
        <v>50</v>
      </c>
      <c r="F1088">
        <v>45.631027222</v>
      </c>
      <c r="G1088">
        <v>1367.3256836</v>
      </c>
      <c r="H1088">
        <v>1357.2954102000001</v>
      </c>
      <c r="I1088">
        <v>1301.5367432</v>
      </c>
      <c r="J1088">
        <v>1288.0593262</v>
      </c>
      <c r="K1088">
        <v>1650</v>
      </c>
      <c r="L1088">
        <v>0</v>
      </c>
      <c r="M1088">
        <v>0</v>
      </c>
      <c r="N1088">
        <v>1650</v>
      </c>
    </row>
    <row r="1089" spans="1:14" x14ac:dyDescent="0.25">
      <c r="A1089">
        <v>793.25035100000002</v>
      </c>
      <c r="B1089" s="1">
        <f>DATE(2012,7,2) + TIME(6,0,30)</f>
        <v>41092.250347222223</v>
      </c>
      <c r="C1089">
        <v>80</v>
      </c>
      <c r="D1089">
        <v>79.930755614999995</v>
      </c>
      <c r="E1089">
        <v>50</v>
      </c>
      <c r="F1089">
        <v>45.563106537000003</v>
      </c>
      <c r="G1089">
        <v>1367.302124</v>
      </c>
      <c r="H1089">
        <v>1357.2767334</v>
      </c>
      <c r="I1089">
        <v>1301.5180664</v>
      </c>
      <c r="J1089">
        <v>1288.0242920000001</v>
      </c>
      <c r="K1089">
        <v>1650</v>
      </c>
      <c r="L1089">
        <v>0</v>
      </c>
      <c r="M1089">
        <v>0</v>
      </c>
      <c r="N1089">
        <v>1650</v>
      </c>
    </row>
    <row r="1090" spans="1:14" x14ac:dyDescent="0.25">
      <c r="A1090">
        <v>794.52996499999995</v>
      </c>
      <c r="B1090" s="1">
        <f>DATE(2012,7,3) + TIME(12,43,9)</f>
        <v>41093.529965277776</v>
      </c>
      <c r="C1090">
        <v>80</v>
      </c>
      <c r="D1090">
        <v>79.930770874000004</v>
      </c>
      <c r="E1090">
        <v>50</v>
      </c>
      <c r="F1090">
        <v>45.491001128999997</v>
      </c>
      <c r="G1090">
        <v>1367.2583007999999</v>
      </c>
      <c r="H1090">
        <v>1357.2423096</v>
      </c>
      <c r="I1090">
        <v>1301.4838867000001</v>
      </c>
      <c r="J1090">
        <v>1287.9715576000001</v>
      </c>
      <c r="K1090">
        <v>1650</v>
      </c>
      <c r="L1090">
        <v>0</v>
      </c>
      <c r="M1090">
        <v>0</v>
      </c>
      <c r="N1090">
        <v>1650</v>
      </c>
    </row>
    <row r="1091" spans="1:14" x14ac:dyDescent="0.25">
      <c r="A1091">
        <v>795.81247800000006</v>
      </c>
      <c r="B1091" s="1">
        <f>DATE(2012,7,4) + TIME(19,29,58)</f>
        <v>41094.812476851854</v>
      </c>
      <c r="C1091">
        <v>80</v>
      </c>
      <c r="D1091">
        <v>79.930778502999999</v>
      </c>
      <c r="E1091">
        <v>50</v>
      </c>
      <c r="F1091">
        <v>45.416709900000001</v>
      </c>
      <c r="G1091">
        <v>1367.2141113</v>
      </c>
      <c r="H1091">
        <v>1357.2072754000001</v>
      </c>
      <c r="I1091">
        <v>1301.4482422000001</v>
      </c>
      <c r="J1091">
        <v>1287.9162598</v>
      </c>
      <c r="K1091">
        <v>1650</v>
      </c>
      <c r="L1091">
        <v>0</v>
      </c>
      <c r="M1091">
        <v>0</v>
      </c>
      <c r="N1091">
        <v>1650</v>
      </c>
    </row>
    <row r="1092" spans="1:14" x14ac:dyDescent="0.25">
      <c r="A1092">
        <v>797.10173499999996</v>
      </c>
      <c r="B1092" s="1">
        <f>DATE(2012,7,6) + TIME(2,26,29)</f>
        <v>41096.101724537039</v>
      </c>
      <c r="C1092">
        <v>80</v>
      </c>
      <c r="D1092">
        <v>79.930793761999993</v>
      </c>
      <c r="E1092">
        <v>50</v>
      </c>
      <c r="F1092">
        <v>45.341182709000002</v>
      </c>
      <c r="G1092">
        <v>1367.1704102000001</v>
      </c>
      <c r="H1092">
        <v>1357.1727295000001</v>
      </c>
      <c r="I1092">
        <v>1301.4118652</v>
      </c>
      <c r="J1092">
        <v>1287.859375</v>
      </c>
      <c r="K1092">
        <v>1650</v>
      </c>
      <c r="L1092">
        <v>0</v>
      </c>
      <c r="M1092">
        <v>0</v>
      </c>
      <c r="N1092">
        <v>1650</v>
      </c>
    </row>
    <row r="1093" spans="1:14" x14ac:dyDescent="0.25">
      <c r="A1093">
        <v>798.40055700000005</v>
      </c>
      <c r="B1093" s="1">
        <f>DATE(2012,7,7) + TIME(9,36,48)</f>
        <v>41097.400555555556</v>
      </c>
      <c r="C1093">
        <v>80</v>
      </c>
      <c r="D1093">
        <v>79.930809021000002</v>
      </c>
      <c r="E1093">
        <v>50</v>
      </c>
      <c r="F1093">
        <v>45.264808655000003</v>
      </c>
      <c r="G1093">
        <v>1367.1271973</v>
      </c>
      <c r="H1093">
        <v>1357.1384277</v>
      </c>
      <c r="I1093">
        <v>1301.3748779</v>
      </c>
      <c r="J1093">
        <v>1287.8010254000001</v>
      </c>
      <c r="K1093">
        <v>1650</v>
      </c>
      <c r="L1093">
        <v>0</v>
      </c>
      <c r="M1093">
        <v>0</v>
      </c>
      <c r="N1093">
        <v>1650</v>
      </c>
    </row>
    <row r="1094" spans="1:14" x14ac:dyDescent="0.25">
      <c r="A1094">
        <v>799.71229900000003</v>
      </c>
      <c r="B1094" s="1">
        <f>DATE(2012,7,8) + TIME(17,5,42)</f>
        <v>41098.712291666663</v>
      </c>
      <c r="C1094">
        <v>80</v>
      </c>
      <c r="D1094">
        <v>79.930816649999997</v>
      </c>
      <c r="E1094">
        <v>50</v>
      </c>
      <c r="F1094">
        <v>45.187683104999998</v>
      </c>
      <c r="G1094">
        <v>1367.0842285000001</v>
      </c>
      <c r="H1094">
        <v>1357.1043701000001</v>
      </c>
      <c r="I1094">
        <v>1301.3371582</v>
      </c>
      <c r="J1094">
        <v>1287.7412108999999</v>
      </c>
      <c r="K1094">
        <v>1650</v>
      </c>
      <c r="L1094">
        <v>0</v>
      </c>
      <c r="M1094">
        <v>0</v>
      </c>
      <c r="N1094">
        <v>1650</v>
      </c>
    </row>
    <row r="1095" spans="1:14" x14ac:dyDescent="0.25">
      <c r="A1095">
        <v>801.04040799999996</v>
      </c>
      <c r="B1095" s="1">
        <f>DATE(2012,7,10) + TIME(0,58,11)</f>
        <v>41100.040405092594</v>
      </c>
      <c r="C1095">
        <v>80</v>
      </c>
      <c r="D1095">
        <v>79.930831909000005</v>
      </c>
      <c r="E1095">
        <v>50</v>
      </c>
      <c r="F1095">
        <v>45.109756470000001</v>
      </c>
      <c r="G1095">
        <v>1367.0413818</v>
      </c>
      <c r="H1095">
        <v>1357.0703125</v>
      </c>
      <c r="I1095">
        <v>1301.2984618999999</v>
      </c>
      <c r="J1095">
        <v>1287.6798096</v>
      </c>
      <c r="K1095">
        <v>1650</v>
      </c>
      <c r="L1095">
        <v>0</v>
      </c>
      <c r="M1095">
        <v>0</v>
      </c>
      <c r="N1095">
        <v>1650</v>
      </c>
    </row>
    <row r="1096" spans="1:14" x14ac:dyDescent="0.25">
      <c r="A1096">
        <v>802.38849300000004</v>
      </c>
      <c r="B1096" s="1">
        <f>DATE(2012,7,11) + TIME(9,19,25)</f>
        <v>41101.388483796298</v>
      </c>
      <c r="C1096">
        <v>80</v>
      </c>
      <c r="D1096">
        <v>79.930847168</v>
      </c>
      <c r="E1096">
        <v>50</v>
      </c>
      <c r="F1096">
        <v>45.030906676999997</v>
      </c>
      <c r="G1096">
        <v>1366.9986572</v>
      </c>
      <c r="H1096">
        <v>1357.0362548999999</v>
      </c>
      <c r="I1096">
        <v>1301.2587891000001</v>
      </c>
      <c r="J1096">
        <v>1287.6166992000001</v>
      </c>
      <c r="K1096">
        <v>1650</v>
      </c>
      <c r="L1096">
        <v>0</v>
      </c>
      <c r="M1096">
        <v>0</v>
      </c>
      <c r="N1096">
        <v>1650</v>
      </c>
    </row>
    <row r="1097" spans="1:14" x14ac:dyDescent="0.25">
      <c r="A1097">
        <v>803.760401</v>
      </c>
      <c r="B1097" s="1">
        <f>DATE(2012,7,12) + TIME(18,14,58)</f>
        <v>41102.760393518518</v>
      </c>
      <c r="C1097">
        <v>80</v>
      </c>
      <c r="D1097">
        <v>79.930870056000003</v>
      </c>
      <c r="E1097">
        <v>50</v>
      </c>
      <c r="F1097">
        <v>44.950965881000002</v>
      </c>
      <c r="G1097">
        <v>1366.9558105000001</v>
      </c>
      <c r="H1097">
        <v>1357.0021973</v>
      </c>
      <c r="I1097">
        <v>1301.2181396000001</v>
      </c>
      <c r="J1097">
        <v>1287.5515137</v>
      </c>
      <c r="K1097">
        <v>1650</v>
      </c>
      <c r="L1097">
        <v>0</v>
      </c>
      <c r="M1097">
        <v>0</v>
      </c>
      <c r="N1097">
        <v>1650</v>
      </c>
    </row>
    <row r="1098" spans="1:14" x14ac:dyDescent="0.25">
      <c r="A1098">
        <v>805.16019800000004</v>
      </c>
      <c r="B1098" s="1">
        <f>DATE(2012,7,14) + TIME(3,50,41)</f>
        <v>41104.160196759258</v>
      </c>
      <c r="C1098">
        <v>80</v>
      </c>
      <c r="D1098">
        <v>79.930885314999998</v>
      </c>
      <c r="E1098">
        <v>50</v>
      </c>
      <c r="F1098">
        <v>44.869735718000001</v>
      </c>
      <c r="G1098">
        <v>1366.9128418</v>
      </c>
      <c r="H1098">
        <v>1356.9678954999999</v>
      </c>
      <c r="I1098">
        <v>1301.1763916</v>
      </c>
      <c r="J1098">
        <v>1287.4842529</v>
      </c>
      <c r="K1098">
        <v>1650</v>
      </c>
      <c r="L1098">
        <v>0</v>
      </c>
      <c r="M1098">
        <v>0</v>
      </c>
      <c r="N1098">
        <v>1650</v>
      </c>
    </row>
    <row r="1099" spans="1:14" x14ac:dyDescent="0.25">
      <c r="A1099">
        <v>806.59229800000003</v>
      </c>
      <c r="B1099" s="1">
        <f>DATE(2012,7,15) + TIME(14,12,54)</f>
        <v>41105.592291666668</v>
      </c>
      <c r="C1099">
        <v>80</v>
      </c>
      <c r="D1099">
        <v>79.930908203000001</v>
      </c>
      <c r="E1099">
        <v>50</v>
      </c>
      <c r="F1099">
        <v>44.786998748999999</v>
      </c>
      <c r="G1099">
        <v>1366.8696289</v>
      </c>
      <c r="H1099">
        <v>1356.9333495999999</v>
      </c>
      <c r="I1099">
        <v>1301.1331786999999</v>
      </c>
      <c r="J1099">
        <v>1287.4146728999999</v>
      </c>
      <c r="K1099">
        <v>1650</v>
      </c>
      <c r="L1099">
        <v>0</v>
      </c>
      <c r="M1099">
        <v>0</v>
      </c>
      <c r="N1099">
        <v>1650</v>
      </c>
    </row>
    <row r="1100" spans="1:14" x14ac:dyDescent="0.25">
      <c r="A1100">
        <v>808.06155200000001</v>
      </c>
      <c r="B1100" s="1">
        <f>DATE(2012,7,17) + TIME(1,28,38)</f>
        <v>41107.061550925922</v>
      </c>
      <c r="C1100">
        <v>80</v>
      </c>
      <c r="D1100">
        <v>79.930931091000005</v>
      </c>
      <c r="E1100">
        <v>50</v>
      </c>
      <c r="F1100">
        <v>44.702526093000003</v>
      </c>
      <c r="G1100">
        <v>1366.8259277</v>
      </c>
      <c r="H1100">
        <v>1356.8984375</v>
      </c>
      <c r="I1100">
        <v>1301.0886230000001</v>
      </c>
      <c r="J1100">
        <v>1287.3424072</v>
      </c>
      <c r="K1100">
        <v>1650</v>
      </c>
      <c r="L1100">
        <v>0</v>
      </c>
      <c r="M1100">
        <v>0</v>
      </c>
      <c r="N1100">
        <v>1650</v>
      </c>
    </row>
    <row r="1101" spans="1:14" x14ac:dyDescent="0.25">
      <c r="A1101">
        <v>809.562455</v>
      </c>
      <c r="B1101" s="1">
        <f>DATE(2012,7,18) + TIME(13,29,56)</f>
        <v>41108.5624537037</v>
      </c>
      <c r="C1101">
        <v>80</v>
      </c>
      <c r="D1101">
        <v>79.930953978999995</v>
      </c>
      <c r="E1101">
        <v>50</v>
      </c>
      <c r="F1101">
        <v>44.616348266999999</v>
      </c>
      <c r="G1101">
        <v>1366.7817382999999</v>
      </c>
      <c r="H1101">
        <v>1356.8630370999999</v>
      </c>
      <c r="I1101">
        <v>1301.0423584</v>
      </c>
      <c r="J1101">
        <v>1287.2674560999999</v>
      </c>
      <c r="K1101">
        <v>1650</v>
      </c>
      <c r="L1101">
        <v>0</v>
      </c>
      <c r="M1101">
        <v>0</v>
      </c>
      <c r="N1101">
        <v>1650</v>
      </c>
    </row>
    <row r="1102" spans="1:14" x14ac:dyDescent="0.25">
      <c r="A1102">
        <v>811.07402400000001</v>
      </c>
      <c r="B1102" s="1">
        <f>DATE(2012,7,20) + TIME(1,46,35)</f>
        <v>41110.074016203704</v>
      </c>
      <c r="C1102">
        <v>80</v>
      </c>
      <c r="D1102">
        <v>79.930976868000002</v>
      </c>
      <c r="E1102">
        <v>50</v>
      </c>
      <c r="F1102">
        <v>44.529071807999998</v>
      </c>
      <c r="G1102">
        <v>1366.7371826000001</v>
      </c>
      <c r="H1102">
        <v>1356.8272704999999</v>
      </c>
      <c r="I1102">
        <v>1300.994751</v>
      </c>
      <c r="J1102">
        <v>1287.1898193</v>
      </c>
      <c r="K1102">
        <v>1650</v>
      </c>
      <c r="L1102">
        <v>0</v>
      </c>
      <c r="M1102">
        <v>0</v>
      </c>
      <c r="N1102">
        <v>1650</v>
      </c>
    </row>
    <row r="1103" spans="1:14" x14ac:dyDescent="0.25">
      <c r="A1103">
        <v>812.59099500000002</v>
      </c>
      <c r="B1103" s="1">
        <f>DATE(2012,7,21) + TIME(14,11,2)</f>
        <v>41111.590995370374</v>
      </c>
      <c r="C1103">
        <v>80</v>
      </c>
      <c r="D1103">
        <v>79.930999756000006</v>
      </c>
      <c r="E1103">
        <v>50</v>
      </c>
      <c r="F1103">
        <v>44.441242217999999</v>
      </c>
      <c r="G1103">
        <v>1366.6928711</v>
      </c>
      <c r="H1103">
        <v>1356.791626</v>
      </c>
      <c r="I1103">
        <v>1300.9462891000001</v>
      </c>
      <c r="J1103">
        <v>1287.1105957</v>
      </c>
      <c r="K1103">
        <v>1650</v>
      </c>
      <c r="L1103">
        <v>0</v>
      </c>
      <c r="M1103">
        <v>0</v>
      </c>
      <c r="N1103">
        <v>1650</v>
      </c>
    </row>
    <row r="1104" spans="1:14" x14ac:dyDescent="0.25">
      <c r="A1104">
        <v>814.11798599999997</v>
      </c>
      <c r="B1104" s="1">
        <f>DATE(2012,7,23) + TIME(2,49,53)</f>
        <v>41113.117974537039</v>
      </c>
      <c r="C1104">
        <v>80</v>
      </c>
      <c r="D1104">
        <v>79.931022643999995</v>
      </c>
      <c r="E1104">
        <v>50</v>
      </c>
      <c r="F1104">
        <v>44.353034973</v>
      </c>
      <c r="G1104">
        <v>1366.6489257999999</v>
      </c>
      <c r="H1104">
        <v>1356.7563477000001</v>
      </c>
      <c r="I1104">
        <v>1300.8972168</v>
      </c>
      <c r="J1104">
        <v>1287.0297852000001</v>
      </c>
      <c r="K1104">
        <v>1650</v>
      </c>
      <c r="L1104">
        <v>0</v>
      </c>
      <c r="M1104">
        <v>0</v>
      </c>
      <c r="N1104">
        <v>1650</v>
      </c>
    </row>
    <row r="1105" spans="1:14" x14ac:dyDescent="0.25">
      <c r="A1105">
        <v>815.65874399999996</v>
      </c>
      <c r="B1105" s="1">
        <f>DATE(2012,7,24) + TIME(15,48,35)</f>
        <v>41114.658738425926</v>
      </c>
      <c r="C1105">
        <v>80</v>
      </c>
      <c r="D1105">
        <v>79.931053161999998</v>
      </c>
      <c r="E1105">
        <v>50</v>
      </c>
      <c r="F1105">
        <v>44.264434813999998</v>
      </c>
      <c r="G1105">
        <v>1366.6053466999999</v>
      </c>
      <c r="H1105">
        <v>1356.7211914</v>
      </c>
      <c r="I1105">
        <v>1300.8474120999999</v>
      </c>
      <c r="J1105">
        <v>1286.9475098</v>
      </c>
      <c r="K1105">
        <v>1650</v>
      </c>
      <c r="L1105">
        <v>0</v>
      </c>
      <c r="M1105">
        <v>0</v>
      </c>
      <c r="N1105">
        <v>1650</v>
      </c>
    </row>
    <row r="1106" spans="1:14" x14ac:dyDescent="0.25">
      <c r="A1106">
        <v>817.21741699999995</v>
      </c>
      <c r="B1106" s="1">
        <f>DATE(2012,7,26) + TIME(5,13,4)</f>
        <v>41116.217407407406</v>
      </c>
      <c r="C1106">
        <v>80</v>
      </c>
      <c r="D1106">
        <v>79.931083678999997</v>
      </c>
      <c r="E1106">
        <v>50</v>
      </c>
      <c r="F1106">
        <v>44.175338744999998</v>
      </c>
      <c r="G1106">
        <v>1366.5618896000001</v>
      </c>
      <c r="H1106">
        <v>1356.6861572</v>
      </c>
      <c r="I1106">
        <v>1300.7967529</v>
      </c>
      <c r="J1106">
        <v>1286.8636475000001</v>
      </c>
      <c r="K1106">
        <v>1650</v>
      </c>
      <c r="L1106">
        <v>0</v>
      </c>
      <c r="M1106">
        <v>0</v>
      </c>
      <c r="N1106">
        <v>1650</v>
      </c>
    </row>
    <row r="1107" spans="1:14" x14ac:dyDescent="0.25">
      <c r="A1107">
        <v>818.798314</v>
      </c>
      <c r="B1107" s="1">
        <f>DATE(2012,7,27) + TIME(19,9,34)</f>
        <v>41117.798310185186</v>
      </c>
      <c r="C1107">
        <v>80</v>
      </c>
      <c r="D1107">
        <v>79.931106567</v>
      </c>
      <c r="E1107">
        <v>50</v>
      </c>
      <c r="F1107">
        <v>44.085605620999999</v>
      </c>
      <c r="G1107">
        <v>1366.5184326000001</v>
      </c>
      <c r="H1107">
        <v>1356.651001</v>
      </c>
      <c r="I1107">
        <v>1300.7452393000001</v>
      </c>
      <c r="J1107">
        <v>1286.777832</v>
      </c>
      <c r="K1107">
        <v>1650</v>
      </c>
      <c r="L1107">
        <v>0</v>
      </c>
      <c r="M1107">
        <v>0</v>
      </c>
      <c r="N1107">
        <v>1650</v>
      </c>
    </row>
    <row r="1108" spans="1:14" x14ac:dyDescent="0.25">
      <c r="A1108">
        <v>820.40598599999998</v>
      </c>
      <c r="B1108" s="1">
        <f>DATE(2012,7,29) + TIME(9,44,37)</f>
        <v>41119.4059837963</v>
      </c>
      <c r="C1108">
        <v>80</v>
      </c>
      <c r="D1108">
        <v>79.931144713999998</v>
      </c>
      <c r="E1108">
        <v>50</v>
      </c>
      <c r="F1108">
        <v>43.995071410999998</v>
      </c>
      <c r="G1108">
        <v>1366.4749756000001</v>
      </c>
      <c r="H1108">
        <v>1356.6157227000001</v>
      </c>
      <c r="I1108">
        <v>1300.692749</v>
      </c>
      <c r="J1108">
        <v>1286.6899414</v>
      </c>
      <c r="K1108">
        <v>1650</v>
      </c>
      <c r="L1108">
        <v>0</v>
      </c>
      <c r="M1108">
        <v>0</v>
      </c>
      <c r="N1108">
        <v>1650</v>
      </c>
    </row>
    <row r="1109" spans="1:14" x14ac:dyDescent="0.25">
      <c r="A1109">
        <v>822.045391</v>
      </c>
      <c r="B1109" s="1">
        <f>DATE(2012,7,31) + TIME(1,5,21)</f>
        <v>41121.045381944445</v>
      </c>
      <c r="C1109">
        <v>80</v>
      </c>
      <c r="D1109">
        <v>79.931175232000001</v>
      </c>
      <c r="E1109">
        <v>50</v>
      </c>
      <c r="F1109">
        <v>43.903568268000001</v>
      </c>
      <c r="G1109">
        <v>1366.4312743999999</v>
      </c>
      <c r="H1109">
        <v>1356.5803223</v>
      </c>
      <c r="I1109">
        <v>1300.6391602000001</v>
      </c>
      <c r="J1109">
        <v>1286.5997314000001</v>
      </c>
      <c r="K1109">
        <v>1650</v>
      </c>
      <c r="L1109">
        <v>0</v>
      </c>
      <c r="M1109">
        <v>0</v>
      </c>
      <c r="N1109">
        <v>1650</v>
      </c>
    </row>
    <row r="1110" spans="1:14" x14ac:dyDescent="0.25">
      <c r="A1110">
        <v>823</v>
      </c>
      <c r="B1110" s="1">
        <f>DATE(2012,8,1) + TIME(0,0,0)</f>
        <v>41122</v>
      </c>
      <c r="C1110">
        <v>80</v>
      </c>
      <c r="D1110">
        <v>79.931182860999996</v>
      </c>
      <c r="E1110">
        <v>50</v>
      </c>
      <c r="F1110">
        <v>43.833728790000002</v>
      </c>
      <c r="G1110">
        <v>1366.3870850000001</v>
      </c>
      <c r="H1110">
        <v>1356.5444336</v>
      </c>
      <c r="I1110">
        <v>1300.5856934000001</v>
      </c>
      <c r="J1110">
        <v>1286.5150146000001</v>
      </c>
      <c r="K1110">
        <v>1650</v>
      </c>
      <c r="L1110">
        <v>0</v>
      </c>
      <c r="M1110">
        <v>0</v>
      </c>
      <c r="N1110">
        <v>1650</v>
      </c>
    </row>
    <row r="1111" spans="1:14" x14ac:dyDescent="0.25">
      <c r="A1111">
        <v>824.67639299999996</v>
      </c>
      <c r="B1111" s="1">
        <f>DATE(2012,8,2) + TIME(16,14,0)</f>
        <v>41123.676388888889</v>
      </c>
      <c r="C1111">
        <v>80</v>
      </c>
      <c r="D1111">
        <v>79.931221007999994</v>
      </c>
      <c r="E1111">
        <v>50</v>
      </c>
      <c r="F1111">
        <v>43.750579834</v>
      </c>
      <c r="G1111">
        <v>1366.3618164</v>
      </c>
      <c r="H1111">
        <v>1356.5238036999999</v>
      </c>
      <c r="I1111">
        <v>1300.5505370999999</v>
      </c>
      <c r="J1111">
        <v>1286.4482422000001</v>
      </c>
      <c r="K1111">
        <v>1650</v>
      </c>
      <c r="L1111">
        <v>0</v>
      </c>
      <c r="M1111">
        <v>0</v>
      </c>
      <c r="N1111">
        <v>1650</v>
      </c>
    </row>
    <row r="1112" spans="1:14" x14ac:dyDescent="0.25">
      <c r="A1112">
        <v>826.39586599999996</v>
      </c>
      <c r="B1112" s="1">
        <f>DATE(2012,8,4) + TIME(9,30,2)</f>
        <v>41125.395856481482</v>
      </c>
      <c r="C1112">
        <v>80</v>
      </c>
      <c r="D1112">
        <v>79.931259155000006</v>
      </c>
      <c r="E1112">
        <v>50</v>
      </c>
      <c r="F1112">
        <v>43.661052703999999</v>
      </c>
      <c r="G1112">
        <v>1366.3176269999999</v>
      </c>
      <c r="H1112">
        <v>1356.487793</v>
      </c>
      <c r="I1112">
        <v>1300.4951172000001</v>
      </c>
      <c r="J1112">
        <v>1286.3549805</v>
      </c>
      <c r="K1112">
        <v>1650</v>
      </c>
      <c r="L1112">
        <v>0</v>
      </c>
      <c r="M1112">
        <v>0</v>
      </c>
      <c r="N1112">
        <v>1650</v>
      </c>
    </row>
    <row r="1113" spans="1:14" x14ac:dyDescent="0.25">
      <c r="A1113">
        <v>828.13512800000001</v>
      </c>
      <c r="B1113" s="1">
        <f>DATE(2012,8,6) + TIME(3,14,35)</f>
        <v>41127.135127314818</v>
      </c>
      <c r="C1113">
        <v>80</v>
      </c>
      <c r="D1113">
        <v>79.931297302000004</v>
      </c>
      <c r="E1113">
        <v>50</v>
      </c>
      <c r="F1113">
        <v>43.568523407000001</v>
      </c>
      <c r="G1113">
        <v>1366.2728271000001</v>
      </c>
      <c r="H1113">
        <v>1356.4512939000001</v>
      </c>
      <c r="I1113">
        <v>1300.4377440999999</v>
      </c>
      <c r="J1113">
        <v>1286.2574463000001</v>
      </c>
      <c r="K1113">
        <v>1650</v>
      </c>
      <c r="L1113">
        <v>0</v>
      </c>
      <c r="M1113">
        <v>0</v>
      </c>
      <c r="N1113">
        <v>1650</v>
      </c>
    </row>
    <row r="1114" spans="1:14" x14ac:dyDescent="0.25">
      <c r="A1114">
        <v>829.89160300000003</v>
      </c>
      <c r="B1114" s="1">
        <f>DATE(2012,8,7) + TIME(21,23,54)</f>
        <v>41128.891597222224</v>
      </c>
      <c r="C1114">
        <v>80</v>
      </c>
      <c r="D1114">
        <v>79.931335449000002</v>
      </c>
      <c r="E1114">
        <v>50</v>
      </c>
      <c r="F1114">
        <v>43.474853516000003</v>
      </c>
      <c r="G1114">
        <v>1366.2280272999999</v>
      </c>
      <c r="H1114">
        <v>1356.4145507999999</v>
      </c>
      <c r="I1114">
        <v>1300.3793945</v>
      </c>
      <c r="J1114">
        <v>1286.1575928</v>
      </c>
      <c r="K1114">
        <v>1650</v>
      </c>
      <c r="L1114">
        <v>0</v>
      </c>
      <c r="M1114">
        <v>0</v>
      </c>
      <c r="N1114">
        <v>1650</v>
      </c>
    </row>
    <row r="1115" spans="1:14" x14ac:dyDescent="0.25">
      <c r="A1115">
        <v>831.67013499999996</v>
      </c>
      <c r="B1115" s="1">
        <f>DATE(2012,8,9) + TIME(16,4,59)</f>
        <v>41130.670127314814</v>
      </c>
      <c r="C1115">
        <v>80</v>
      </c>
      <c r="D1115">
        <v>79.931381225999999</v>
      </c>
      <c r="E1115">
        <v>50</v>
      </c>
      <c r="F1115">
        <v>43.380863189999999</v>
      </c>
      <c r="G1115">
        <v>1366.1832274999999</v>
      </c>
      <c r="H1115">
        <v>1356.3779297000001</v>
      </c>
      <c r="I1115">
        <v>1300.3204346</v>
      </c>
      <c r="J1115">
        <v>1286.0557861</v>
      </c>
      <c r="K1115">
        <v>1650</v>
      </c>
      <c r="L1115">
        <v>0</v>
      </c>
      <c r="M1115">
        <v>0</v>
      </c>
      <c r="N1115">
        <v>1650</v>
      </c>
    </row>
    <row r="1116" spans="1:14" x14ac:dyDescent="0.25">
      <c r="A1116">
        <v>833.47396800000001</v>
      </c>
      <c r="B1116" s="1">
        <f>DATE(2012,8,11) + TIME(11,22,30)</f>
        <v>41132.473958333336</v>
      </c>
      <c r="C1116">
        <v>80</v>
      </c>
      <c r="D1116">
        <v>79.931419372999997</v>
      </c>
      <c r="E1116">
        <v>50</v>
      </c>
      <c r="F1116">
        <v>43.286914824999997</v>
      </c>
      <c r="G1116">
        <v>1366.1384277</v>
      </c>
      <c r="H1116">
        <v>1356.3411865</v>
      </c>
      <c r="I1116">
        <v>1300.2608643000001</v>
      </c>
      <c r="J1116">
        <v>1285.9522704999999</v>
      </c>
      <c r="K1116">
        <v>1650</v>
      </c>
      <c r="L1116">
        <v>0</v>
      </c>
      <c r="M1116">
        <v>0</v>
      </c>
      <c r="N1116">
        <v>1650</v>
      </c>
    </row>
    <row r="1117" spans="1:14" x14ac:dyDescent="0.25">
      <c r="A1117">
        <v>835.29785400000003</v>
      </c>
      <c r="B1117" s="1">
        <f>DATE(2012,8,13) + TIME(7,8,54)</f>
        <v>41134.297847222224</v>
      </c>
      <c r="C1117">
        <v>80</v>
      </c>
      <c r="D1117">
        <v>79.931465149000005</v>
      </c>
      <c r="E1117">
        <v>50</v>
      </c>
      <c r="F1117">
        <v>43.193397521999998</v>
      </c>
      <c r="G1117">
        <v>1366.0935059000001</v>
      </c>
      <c r="H1117">
        <v>1356.3041992000001</v>
      </c>
      <c r="I1117">
        <v>1300.2005615</v>
      </c>
      <c r="J1117">
        <v>1285.847168</v>
      </c>
      <c r="K1117">
        <v>1650</v>
      </c>
      <c r="L1117">
        <v>0</v>
      </c>
      <c r="M1117">
        <v>0</v>
      </c>
      <c r="N1117">
        <v>1650</v>
      </c>
    </row>
    <row r="1118" spans="1:14" x14ac:dyDescent="0.25">
      <c r="A1118">
        <v>837.147018</v>
      </c>
      <c r="B1118" s="1">
        <f>DATE(2012,8,15) + TIME(3,31,42)</f>
        <v>41136.147013888891</v>
      </c>
      <c r="C1118">
        <v>80</v>
      </c>
      <c r="D1118">
        <v>79.931503296000002</v>
      </c>
      <c r="E1118">
        <v>50</v>
      </c>
      <c r="F1118">
        <v>43.100563049000002</v>
      </c>
      <c r="G1118">
        <v>1366.0485839999999</v>
      </c>
      <c r="H1118">
        <v>1356.2670897999999</v>
      </c>
      <c r="I1118">
        <v>1300.1398925999999</v>
      </c>
      <c r="J1118">
        <v>1285.7408447</v>
      </c>
      <c r="K1118">
        <v>1650</v>
      </c>
      <c r="L1118">
        <v>0</v>
      </c>
      <c r="M1118">
        <v>0</v>
      </c>
      <c r="N1118">
        <v>1650</v>
      </c>
    </row>
    <row r="1119" spans="1:14" x14ac:dyDescent="0.25">
      <c r="A1119">
        <v>839.02690600000005</v>
      </c>
      <c r="B1119" s="1">
        <f>DATE(2012,8,17) + TIME(0,38,44)</f>
        <v>41138.026898148149</v>
      </c>
      <c r="C1119">
        <v>80</v>
      </c>
      <c r="D1119">
        <v>79.931549071999996</v>
      </c>
      <c r="E1119">
        <v>50</v>
      </c>
      <c r="F1119">
        <v>43.008560181</v>
      </c>
      <c r="G1119">
        <v>1366.003418</v>
      </c>
      <c r="H1119">
        <v>1356.2298584</v>
      </c>
      <c r="I1119">
        <v>1300.0788574000001</v>
      </c>
      <c r="J1119">
        <v>1285.6330565999999</v>
      </c>
      <c r="K1119">
        <v>1650</v>
      </c>
      <c r="L1119">
        <v>0</v>
      </c>
      <c r="M1119">
        <v>0</v>
      </c>
      <c r="N1119">
        <v>1650</v>
      </c>
    </row>
    <row r="1120" spans="1:14" x14ac:dyDescent="0.25">
      <c r="A1120">
        <v>840.93183599999998</v>
      </c>
      <c r="B1120" s="1">
        <f>DATE(2012,8,18) + TIME(22,21,50)</f>
        <v>41139.931828703702</v>
      </c>
      <c r="C1120">
        <v>80</v>
      </c>
      <c r="D1120">
        <v>79.931594849000007</v>
      </c>
      <c r="E1120">
        <v>50</v>
      </c>
      <c r="F1120">
        <v>42.917716980000002</v>
      </c>
      <c r="G1120">
        <v>1365.9580077999999</v>
      </c>
      <c r="H1120">
        <v>1356.1922606999999</v>
      </c>
      <c r="I1120">
        <v>1300.0173339999999</v>
      </c>
      <c r="J1120">
        <v>1285.5240478999999</v>
      </c>
      <c r="K1120">
        <v>1650</v>
      </c>
      <c r="L1120">
        <v>0</v>
      </c>
      <c r="M1120">
        <v>0</v>
      </c>
      <c r="N1120">
        <v>1650</v>
      </c>
    </row>
    <row r="1121" spans="1:14" x14ac:dyDescent="0.25">
      <c r="A1121">
        <v>842.85895400000004</v>
      </c>
      <c r="B1121" s="1">
        <f>DATE(2012,8,20) + TIME(20,36,53)</f>
        <v>41141.858946759261</v>
      </c>
      <c r="C1121">
        <v>80</v>
      </c>
      <c r="D1121">
        <v>79.931640625</v>
      </c>
      <c r="E1121">
        <v>50</v>
      </c>
      <c r="F1121">
        <v>42.828536987</v>
      </c>
      <c r="G1121">
        <v>1365.9124756000001</v>
      </c>
      <c r="H1121">
        <v>1356.1545410000001</v>
      </c>
      <c r="I1121">
        <v>1299.9555664</v>
      </c>
      <c r="J1121">
        <v>1285.4139404</v>
      </c>
      <c r="K1121">
        <v>1650</v>
      </c>
      <c r="L1121">
        <v>0</v>
      </c>
      <c r="M1121">
        <v>0</v>
      </c>
      <c r="N1121">
        <v>1650</v>
      </c>
    </row>
    <row r="1122" spans="1:14" x14ac:dyDescent="0.25">
      <c r="A1122">
        <v>844.81198700000004</v>
      </c>
      <c r="B1122" s="1">
        <f>DATE(2012,8,22) + TIME(19,29,15)</f>
        <v>41143.811979166669</v>
      </c>
      <c r="C1122">
        <v>80</v>
      </c>
      <c r="D1122">
        <v>79.931694031000006</v>
      </c>
      <c r="E1122">
        <v>50</v>
      </c>
      <c r="F1122">
        <v>42.741432189999998</v>
      </c>
      <c r="G1122">
        <v>1365.8669434000001</v>
      </c>
      <c r="H1122">
        <v>1356.1166992000001</v>
      </c>
      <c r="I1122">
        <v>1299.8939209</v>
      </c>
      <c r="J1122">
        <v>1285.3032227000001</v>
      </c>
      <c r="K1122">
        <v>1650</v>
      </c>
      <c r="L1122">
        <v>0</v>
      </c>
      <c r="M1122">
        <v>0</v>
      </c>
      <c r="N1122">
        <v>1650</v>
      </c>
    </row>
    <row r="1123" spans="1:14" x14ac:dyDescent="0.25">
      <c r="A1123">
        <v>846.78018299999997</v>
      </c>
      <c r="B1123" s="1">
        <f>DATE(2012,8,24) + TIME(18,43,27)</f>
        <v>41145.780173611114</v>
      </c>
      <c r="C1123">
        <v>80</v>
      </c>
      <c r="D1123">
        <v>79.931739807</v>
      </c>
      <c r="E1123">
        <v>50</v>
      </c>
      <c r="F1123">
        <v>42.657028197999999</v>
      </c>
      <c r="G1123">
        <v>1365.8211670000001</v>
      </c>
      <c r="H1123">
        <v>1356.0786132999999</v>
      </c>
      <c r="I1123">
        <v>1299.8322754000001</v>
      </c>
      <c r="J1123">
        <v>1285.1920166</v>
      </c>
      <c r="K1123">
        <v>1650</v>
      </c>
      <c r="L1123">
        <v>0</v>
      </c>
      <c r="M1123">
        <v>0</v>
      </c>
      <c r="N1123">
        <v>1650</v>
      </c>
    </row>
    <row r="1124" spans="1:14" x14ac:dyDescent="0.25">
      <c r="A1124">
        <v>848.76891499999999</v>
      </c>
      <c r="B1124" s="1">
        <f>DATE(2012,8,26) + TIME(18,27,14)</f>
        <v>41147.768912037034</v>
      </c>
      <c r="C1124">
        <v>80</v>
      </c>
      <c r="D1124">
        <v>79.931793213000006</v>
      </c>
      <c r="E1124">
        <v>50</v>
      </c>
      <c r="F1124">
        <v>42.575878142999997</v>
      </c>
      <c r="G1124">
        <v>1365.7755127</v>
      </c>
      <c r="H1124">
        <v>1356.0405272999999</v>
      </c>
      <c r="I1124">
        <v>1299.7712402</v>
      </c>
      <c r="J1124">
        <v>1285.0811768000001</v>
      </c>
      <c r="K1124">
        <v>1650</v>
      </c>
      <c r="L1124">
        <v>0</v>
      </c>
      <c r="M1124">
        <v>0</v>
      </c>
      <c r="N1124">
        <v>1650</v>
      </c>
    </row>
    <row r="1125" spans="1:14" x14ac:dyDescent="0.25">
      <c r="A1125">
        <v>850.78370399999994</v>
      </c>
      <c r="B1125" s="1">
        <f>DATE(2012,8,28) + TIME(18,48,32)</f>
        <v>41149.783703703702</v>
      </c>
      <c r="C1125">
        <v>80</v>
      </c>
      <c r="D1125">
        <v>79.931846618999998</v>
      </c>
      <c r="E1125">
        <v>50</v>
      </c>
      <c r="F1125">
        <v>42.498382567999997</v>
      </c>
      <c r="G1125">
        <v>1365.7297363</v>
      </c>
      <c r="H1125">
        <v>1356.0023193</v>
      </c>
      <c r="I1125">
        <v>1299.7106934000001</v>
      </c>
      <c r="J1125">
        <v>1284.9704589999999</v>
      </c>
      <c r="K1125">
        <v>1650</v>
      </c>
      <c r="L1125">
        <v>0</v>
      </c>
      <c r="M1125">
        <v>0</v>
      </c>
      <c r="N1125">
        <v>1650</v>
      </c>
    </row>
    <row r="1126" spans="1:14" x14ac:dyDescent="0.25">
      <c r="A1126">
        <v>852.83034599999996</v>
      </c>
      <c r="B1126" s="1">
        <f>DATE(2012,8,30) + TIME(19,55,41)</f>
        <v>41151.830335648148</v>
      </c>
      <c r="C1126">
        <v>80</v>
      </c>
      <c r="D1126">
        <v>79.931900024000001</v>
      </c>
      <c r="E1126">
        <v>50</v>
      </c>
      <c r="F1126">
        <v>42.424968718999999</v>
      </c>
      <c r="G1126">
        <v>1365.6838379000001</v>
      </c>
      <c r="H1126">
        <v>1355.9638672000001</v>
      </c>
      <c r="I1126">
        <v>1299.6507568</v>
      </c>
      <c r="J1126">
        <v>1284.8601074000001</v>
      </c>
      <c r="K1126">
        <v>1650</v>
      </c>
      <c r="L1126">
        <v>0</v>
      </c>
      <c r="M1126">
        <v>0</v>
      </c>
      <c r="N1126">
        <v>1650</v>
      </c>
    </row>
    <row r="1127" spans="1:14" x14ac:dyDescent="0.25">
      <c r="A1127">
        <v>854</v>
      </c>
      <c r="B1127" s="1">
        <f>DATE(2012,9,1) + TIME(0,0,0)</f>
        <v>41153</v>
      </c>
      <c r="C1127">
        <v>80</v>
      </c>
      <c r="D1127">
        <v>79.931915282999995</v>
      </c>
      <c r="E1127">
        <v>50</v>
      </c>
      <c r="F1127">
        <v>42.371677398999999</v>
      </c>
      <c r="G1127">
        <v>1365.6375731999999</v>
      </c>
      <c r="H1127">
        <v>1355.9249268000001</v>
      </c>
      <c r="I1127">
        <v>1299.5947266000001</v>
      </c>
      <c r="J1127">
        <v>1284.7601318</v>
      </c>
      <c r="K1127">
        <v>1650</v>
      </c>
      <c r="L1127">
        <v>0</v>
      </c>
      <c r="M1127">
        <v>0</v>
      </c>
      <c r="N1127">
        <v>1650</v>
      </c>
    </row>
    <row r="1128" spans="1:14" x14ac:dyDescent="0.25">
      <c r="A1128">
        <v>856.06838400000004</v>
      </c>
      <c r="B1128" s="1">
        <f>DATE(2012,9,3) + TIME(1,38,28)</f>
        <v>41155.068379629629</v>
      </c>
      <c r="C1128">
        <v>80</v>
      </c>
      <c r="D1128">
        <v>79.931983947999996</v>
      </c>
      <c r="E1128">
        <v>50</v>
      </c>
      <c r="F1128">
        <v>42.315227509000003</v>
      </c>
      <c r="G1128">
        <v>1365.6113281</v>
      </c>
      <c r="H1128">
        <v>1355.902832</v>
      </c>
      <c r="I1128">
        <v>1299.5555420000001</v>
      </c>
      <c r="J1128">
        <v>1284.6828613</v>
      </c>
      <c r="K1128">
        <v>1650</v>
      </c>
      <c r="L1128">
        <v>0</v>
      </c>
      <c r="M1128">
        <v>0</v>
      </c>
      <c r="N1128">
        <v>1650</v>
      </c>
    </row>
    <row r="1129" spans="1:14" x14ac:dyDescent="0.25">
      <c r="A1129">
        <v>858.177683</v>
      </c>
      <c r="B1129" s="1">
        <f>DATE(2012,9,5) + TIME(4,15,51)</f>
        <v>41157.177673611113</v>
      </c>
      <c r="C1129">
        <v>80</v>
      </c>
      <c r="D1129">
        <v>79.932037354000002</v>
      </c>
      <c r="E1129">
        <v>50</v>
      </c>
      <c r="F1129">
        <v>42.258979797000002</v>
      </c>
      <c r="G1129">
        <v>1365.5654297000001</v>
      </c>
      <c r="H1129">
        <v>1355.8641356999999</v>
      </c>
      <c r="I1129">
        <v>1299.4998779</v>
      </c>
      <c r="J1129">
        <v>1284.5793457</v>
      </c>
      <c r="K1129">
        <v>1650</v>
      </c>
      <c r="L1129">
        <v>0</v>
      </c>
      <c r="M1129">
        <v>0</v>
      </c>
      <c r="N1129">
        <v>1650</v>
      </c>
    </row>
    <row r="1130" spans="1:14" x14ac:dyDescent="0.25">
      <c r="A1130">
        <v>860.321639</v>
      </c>
      <c r="B1130" s="1">
        <f>DATE(2012,9,7) + TIME(7,43,9)</f>
        <v>41159.321631944447</v>
      </c>
      <c r="C1130">
        <v>80</v>
      </c>
      <c r="D1130">
        <v>79.932098389000004</v>
      </c>
      <c r="E1130">
        <v>50</v>
      </c>
      <c r="F1130">
        <v>42.207050322999997</v>
      </c>
      <c r="G1130">
        <v>1365.5189209</v>
      </c>
      <c r="H1130">
        <v>1355.8248291</v>
      </c>
      <c r="I1130">
        <v>1299.4439697</v>
      </c>
      <c r="J1130">
        <v>1284.4746094</v>
      </c>
      <c r="K1130">
        <v>1650</v>
      </c>
      <c r="L1130">
        <v>0</v>
      </c>
      <c r="M1130">
        <v>0</v>
      </c>
      <c r="N1130">
        <v>1650</v>
      </c>
    </row>
    <row r="1131" spans="1:14" x14ac:dyDescent="0.25">
      <c r="A1131">
        <v>862.52077699999995</v>
      </c>
      <c r="B1131" s="1">
        <f>DATE(2012,9,9) + TIME(12,29,55)</f>
        <v>41161.520775462966</v>
      </c>
      <c r="C1131">
        <v>80</v>
      </c>
      <c r="D1131">
        <v>79.932159424000005</v>
      </c>
      <c r="E1131">
        <v>50</v>
      </c>
      <c r="F1131">
        <v>42.161514281999999</v>
      </c>
      <c r="G1131">
        <v>1365.4719238</v>
      </c>
      <c r="H1131">
        <v>1355.7851562000001</v>
      </c>
      <c r="I1131">
        <v>1299.3887939000001</v>
      </c>
      <c r="J1131">
        <v>1284.3703613</v>
      </c>
      <c r="K1131">
        <v>1650</v>
      </c>
      <c r="L1131">
        <v>0</v>
      </c>
      <c r="M1131">
        <v>0</v>
      </c>
      <c r="N1131">
        <v>1650</v>
      </c>
    </row>
    <row r="1132" spans="1:14" x14ac:dyDescent="0.25">
      <c r="A1132">
        <v>864.73083899999995</v>
      </c>
      <c r="B1132" s="1">
        <f>DATE(2012,9,11) + TIME(17,32,24)</f>
        <v>41163.730833333335</v>
      </c>
      <c r="C1132">
        <v>80</v>
      </c>
      <c r="D1132">
        <v>79.932220459000007</v>
      </c>
      <c r="E1132">
        <v>50</v>
      </c>
      <c r="F1132">
        <v>42.124084473000003</v>
      </c>
      <c r="G1132">
        <v>1365.4241943</v>
      </c>
      <c r="H1132">
        <v>1355.744751</v>
      </c>
      <c r="I1132">
        <v>1299.3347168</v>
      </c>
      <c r="J1132">
        <v>1284.2675781</v>
      </c>
      <c r="K1132">
        <v>1650</v>
      </c>
      <c r="L1132">
        <v>0</v>
      </c>
      <c r="M1132">
        <v>0</v>
      </c>
      <c r="N1132">
        <v>1650</v>
      </c>
    </row>
    <row r="1133" spans="1:14" x14ac:dyDescent="0.25">
      <c r="A1133">
        <v>866.95846900000004</v>
      </c>
      <c r="B1133" s="1">
        <f>DATE(2012,9,13) + TIME(23,0,11)</f>
        <v>41165.958460648151</v>
      </c>
      <c r="C1133">
        <v>80</v>
      </c>
      <c r="D1133">
        <v>79.932281493999994</v>
      </c>
      <c r="E1133">
        <v>50</v>
      </c>
      <c r="F1133">
        <v>42.096134186</v>
      </c>
      <c r="G1133">
        <v>1365.3767089999999</v>
      </c>
      <c r="H1133">
        <v>1355.7043457</v>
      </c>
      <c r="I1133">
        <v>1299.2825928</v>
      </c>
      <c r="J1133">
        <v>1284.1682129000001</v>
      </c>
      <c r="K1133">
        <v>1650</v>
      </c>
      <c r="L1133">
        <v>0</v>
      </c>
      <c r="M1133">
        <v>0</v>
      </c>
      <c r="N1133">
        <v>1650</v>
      </c>
    </row>
    <row r="1134" spans="1:14" x14ac:dyDescent="0.25">
      <c r="A1134">
        <v>869.20966399999998</v>
      </c>
      <c r="B1134" s="1">
        <f>DATE(2012,9,16) + TIME(5,1,54)</f>
        <v>41168.209652777776</v>
      </c>
      <c r="C1134">
        <v>80</v>
      </c>
      <c r="D1134">
        <v>79.932350158999995</v>
      </c>
      <c r="E1134">
        <v>50</v>
      </c>
      <c r="F1134">
        <v>42.078670502000001</v>
      </c>
      <c r="G1134">
        <v>1365.3292236</v>
      </c>
      <c r="H1134">
        <v>1355.6638184000001</v>
      </c>
      <c r="I1134">
        <v>1299.2326660000001</v>
      </c>
      <c r="J1134">
        <v>1284.0726318</v>
      </c>
      <c r="K1134">
        <v>1650</v>
      </c>
      <c r="L1134">
        <v>0</v>
      </c>
      <c r="M1134">
        <v>0</v>
      </c>
      <c r="N1134">
        <v>1650</v>
      </c>
    </row>
    <row r="1135" spans="1:14" x14ac:dyDescent="0.25">
      <c r="A1135">
        <v>871.49064399999997</v>
      </c>
      <c r="B1135" s="1">
        <f>DATE(2012,9,18) + TIME(11,46,31)</f>
        <v>41170.490636574075</v>
      </c>
      <c r="C1135">
        <v>80</v>
      </c>
      <c r="D1135">
        <v>79.932411193999997</v>
      </c>
      <c r="E1135">
        <v>50</v>
      </c>
      <c r="F1135">
        <v>42.072658539000003</v>
      </c>
      <c r="G1135">
        <v>1365.2816161999999</v>
      </c>
      <c r="H1135">
        <v>1355.6231689000001</v>
      </c>
      <c r="I1135">
        <v>1299.1851807</v>
      </c>
      <c r="J1135">
        <v>1283.9812012</v>
      </c>
      <c r="K1135">
        <v>1650</v>
      </c>
      <c r="L1135">
        <v>0</v>
      </c>
      <c r="M1135">
        <v>0</v>
      </c>
      <c r="N1135">
        <v>1650</v>
      </c>
    </row>
    <row r="1136" spans="1:14" x14ac:dyDescent="0.25">
      <c r="A1136">
        <v>873.80794000000003</v>
      </c>
      <c r="B1136" s="1">
        <f>DATE(2012,9,20) + TIME(19,23,25)</f>
        <v>41172.807928240742</v>
      </c>
      <c r="C1136">
        <v>80</v>
      </c>
      <c r="D1136">
        <v>79.932479857999994</v>
      </c>
      <c r="E1136">
        <v>50</v>
      </c>
      <c r="F1136">
        <v>42.079109191999997</v>
      </c>
      <c r="G1136">
        <v>1365.2337646000001</v>
      </c>
      <c r="H1136">
        <v>1355.5822754000001</v>
      </c>
      <c r="I1136">
        <v>1299.1400146000001</v>
      </c>
      <c r="J1136">
        <v>1283.8941649999999</v>
      </c>
      <c r="K1136">
        <v>1650</v>
      </c>
      <c r="L1136">
        <v>0</v>
      </c>
      <c r="M1136">
        <v>0</v>
      </c>
      <c r="N1136">
        <v>1650</v>
      </c>
    </row>
    <row r="1137" spans="1:14" x14ac:dyDescent="0.25">
      <c r="A1137">
        <v>876.16849500000001</v>
      </c>
      <c r="B1137" s="1">
        <f>DATE(2012,9,23) + TIME(4,2,37)</f>
        <v>41175.168483796297</v>
      </c>
      <c r="C1137">
        <v>80</v>
      </c>
      <c r="D1137">
        <v>79.932548522999994</v>
      </c>
      <c r="E1137">
        <v>50</v>
      </c>
      <c r="F1137">
        <v>42.099143982000001</v>
      </c>
      <c r="G1137">
        <v>1365.1855469</v>
      </c>
      <c r="H1137">
        <v>1355.5408935999999</v>
      </c>
      <c r="I1137">
        <v>1299.0972899999999</v>
      </c>
      <c r="J1137">
        <v>1283.8118896000001</v>
      </c>
      <c r="K1137">
        <v>1650</v>
      </c>
      <c r="L1137">
        <v>0</v>
      </c>
      <c r="M1137">
        <v>0</v>
      </c>
      <c r="N1137">
        <v>1650</v>
      </c>
    </row>
    <row r="1138" spans="1:14" x14ac:dyDescent="0.25">
      <c r="A1138">
        <v>878.56005400000004</v>
      </c>
      <c r="B1138" s="1">
        <f>DATE(2012,9,25) + TIME(13,26,28)</f>
        <v>41177.560046296298</v>
      </c>
      <c r="C1138">
        <v>80</v>
      </c>
      <c r="D1138">
        <v>79.932617187999995</v>
      </c>
      <c r="E1138">
        <v>50</v>
      </c>
      <c r="F1138">
        <v>42.133895873999997</v>
      </c>
      <c r="G1138">
        <v>1365.1368408000001</v>
      </c>
      <c r="H1138">
        <v>1355.4991454999999</v>
      </c>
      <c r="I1138">
        <v>1299.057251</v>
      </c>
      <c r="J1138">
        <v>1283.7347411999999</v>
      </c>
      <c r="K1138">
        <v>1650</v>
      </c>
      <c r="L1138">
        <v>0</v>
      </c>
      <c r="M1138">
        <v>0</v>
      </c>
      <c r="N1138">
        <v>1650</v>
      </c>
    </row>
    <row r="1139" spans="1:14" x14ac:dyDescent="0.25">
      <c r="A1139">
        <v>880.96335699999997</v>
      </c>
      <c r="B1139" s="1">
        <f>DATE(2012,9,27) + TIME(23,7,14)</f>
        <v>41179.963356481479</v>
      </c>
      <c r="C1139">
        <v>80</v>
      </c>
      <c r="D1139">
        <v>79.932685852000006</v>
      </c>
      <c r="E1139">
        <v>50</v>
      </c>
      <c r="F1139">
        <v>42.184196471999996</v>
      </c>
      <c r="G1139">
        <v>1365.0880127</v>
      </c>
      <c r="H1139">
        <v>1355.4570312000001</v>
      </c>
      <c r="I1139">
        <v>1299.0203856999999</v>
      </c>
      <c r="J1139">
        <v>1283.6636963000001</v>
      </c>
      <c r="K1139">
        <v>1650</v>
      </c>
      <c r="L1139">
        <v>0</v>
      </c>
      <c r="M1139">
        <v>0</v>
      </c>
      <c r="N1139">
        <v>1650</v>
      </c>
    </row>
    <row r="1140" spans="1:14" x14ac:dyDescent="0.25">
      <c r="A1140">
        <v>883.37311299999999</v>
      </c>
      <c r="B1140" s="1">
        <f>DATE(2012,9,30) + TIME(8,57,16)</f>
        <v>41182.373101851852</v>
      </c>
      <c r="C1140">
        <v>80</v>
      </c>
      <c r="D1140">
        <v>79.932754517000006</v>
      </c>
      <c r="E1140">
        <v>50</v>
      </c>
      <c r="F1140">
        <v>42.250450133999998</v>
      </c>
      <c r="G1140">
        <v>1365.0393065999999</v>
      </c>
      <c r="H1140">
        <v>1355.4151611</v>
      </c>
      <c r="I1140">
        <v>1298.9866943</v>
      </c>
      <c r="J1140">
        <v>1283.5994873</v>
      </c>
      <c r="K1140">
        <v>1650</v>
      </c>
      <c r="L1140">
        <v>0</v>
      </c>
      <c r="M1140">
        <v>0</v>
      </c>
      <c r="N1140">
        <v>1650</v>
      </c>
    </row>
    <row r="1141" spans="1:14" x14ac:dyDescent="0.25">
      <c r="A1141">
        <v>884</v>
      </c>
      <c r="B1141" s="1">
        <f>DATE(2012,10,1) + TIME(0,0,0)</f>
        <v>41183</v>
      </c>
      <c r="C1141">
        <v>80</v>
      </c>
      <c r="D1141">
        <v>79.932762146000002</v>
      </c>
      <c r="E1141">
        <v>50</v>
      </c>
      <c r="F1141">
        <v>42.292903899999999</v>
      </c>
      <c r="G1141">
        <v>1364.9913329999999</v>
      </c>
      <c r="H1141">
        <v>1355.3736572</v>
      </c>
      <c r="I1141">
        <v>1298.9715576000001</v>
      </c>
      <c r="J1141">
        <v>1283.5563964999999</v>
      </c>
      <c r="K1141">
        <v>1650</v>
      </c>
      <c r="L1141">
        <v>0</v>
      </c>
      <c r="M1141">
        <v>0</v>
      </c>
      <c r="N1141">
        <v>1650</v>
      </c>
    </row>
    <row r="1142" spans="1:14" x14ac:dyDescent="0.25">
      <c r="A1142">
        <v>886.42427899999996</v>
      </c>
      <c r="B1142" s="1">
        <f>DATE(2012,10,3) + TIME(10,10,57)</f>
        <v>41185.424270833333</v>
      </c>
      <c r="C1142">
        <v>80</v>
      </c>
      <c r="D1142">
        <v>79.932846068999993</v>
      </c>
      <c r="E1142">
        <v>50</v>
      </c>
      <c r="F1142">
        <v>42.365375518999997</v>
      </c>
      <c r="G1142">
        <v>1364.9783935999999</v>
      </c>
      <c r="H1142">
        <v>1355.3624268000001</v>
      </c>
      <c r="I1142">
        <v>1298.9466553</v>
      </c>
      <c r="J1142">
        <v>1283.5266113</v>
      </c>
      <c r="K1142">
        <v>1650</v>
      </c>
      <c r="L1142">
        <v>0</v>
      </c>
      <c r="M1142">
        <v>0</v>
      </c>
      <c r="N1142">
        <v>1650</v>
      </c>
    </row>
    <row r="1143" spans="1:14" x14ac:dyDescent="0.25">
      <c r="A1143">
        <v>888.88309400000003</v>
      </c>
      <c r="B1143" s="1">
        <f>DATE(2012,10,5) + TIME(21,11,39)</f>
        <v>41187.883090277777</v>
      </c>
      <c r="C1143">
        <v>80</v>
      </c>
      <c r="D1143">
        <v>79.932914733999993</v>
      </c>
      <c r="E1143">
        <v>50</v>
      </c>
      <c r="F1143">
        <v>42.464038848999998</v>
      </c>
      <c r="G1143">
        <v>1364.9305420000001</v>
      </c>
      <c r="H1143">
        <v>1355.3209228999999</v>
      </c>
      <c r="I1143">
        <v>1298.9228516000001</v>
      </c>
      <c r="J1143">
        <v>1283.480957</v>
      </c>
      <c r="K1143">
        <v>1650</v>
      </c>
      <c r="L1143">
        <v>0</v>
      </c>
      <c r="M1143">
        <v>0</v>
      </c>
      <c r="N1143">
        <v>1650</v>
      </c>
    </row>
    <row r="1144" spans="1:14" x14ac:dyDescent="0.25">
      <c r="A1144">
        <v>891.38095299999998</v>
      </c>
      <c r="B1144" s="1">
        <f>DATE(2012,10,8) + TIME(9,8,34)</f>
        <v>41190.380949074075</v>
      </c>
      <c r="C1144">
        <v>80</v>
      </c>
      <c r="D1144">
        <v>79.932991028000004</v>
      </c>
      <c r="E1144">
        <v>50</v>
      </c>
      <c r="F1144">
        <v>42.583248138000002</v>
      </c>
      <c r="G1144">
        <v>1364.8823242000001</v>
      </c>
      <c r="H1144">
        <v>1355.2791748</v>
      </c>
      <c r="I1144">
        <v>1298.9011230000001</v>
      </c>
      <c r="J1144">
        <v>1283.4412841999999</v>
      </c>
      <c r="K1144">
        <v>1650</v>
      </c>
      <c r="L1144">
        <v>0</v>
      </c>
      <c r="M1144">
        <v>0</v>
      </c>
      <c r="N1144">
        <v>1650</v>
      </c>
    </row>
    <row r="1145" spans="1:14" x14ac:dyDescent="0.25">
      <c r="A1145">
        <v>893.92543599999999</v>
      </c>
      <c r="B1145" s="1">
        <f>DATE(2012,10,10) + TIME(22,12,37)</f>
        <v>41192.925428240742</v>
      </c>
      <c r="C1145">
        <v>80</v>
      </c>
      <c r="D1145">
        <v>79.933067321999999</v>
      </c>
      <c r="E1145">
        <v>50</v>
      </c>
      <c r="F1145">
        <v>42.721408844000003</v>
      </c>
      <c r="G1145">
        <v>1364.8338623</v>
      </c>
      <c r="H1145">
        <v>1355.2370605000001</v>
      </c>
      <c r="I1145">
        <v>1298.8822021000001</v>
      </c>
      <c r="J1145">
        <v>1283.4084473</v>
      </c>
      <c r="K1145">
        <v>1650</v>
      </c>
      <c r="L1145">
        <v>0</v>
      </c>
      <c r="M1145">
        <v>0</v>
      </c>
      <c r="N1145">
        <v>1650</v>
      </c>
    </row>
    <row r="1146" spans="1:14" x14ac:dyDescent="0.25">
      <c r="A1146">
        <v>896.52469199999996</v>
      </c>
      <c r="B1146" s="1">
        <f>DATE(2012,10,13) + TIME(12,35,33)</f>
        <v>41195.524687500001</v>
      </c>
      <c r="C1146">
        <v>80</v>
      </c>
      <c r="D1146">
        <v>79.933151245000005</v>
      </c>
      <c r="E1146">
        <v>50</v>
      </c>
      <c r="F1146">
        <v>42.878307343000003</v>
      </c>
      <c r="G1146">
        <v>1364.7850341999999</v>
      </c>
      <c r="H1146">
        <v>1355.1945800999999</v>
      </c>
      <c r="I1146">
        <v>1298.8665771000001</v>
      </c>
      <c r="J1146">
        <v>1283.3829346</v>
      </c>
      <c r="K1146">
        <v>1650</v>
      </c>
      <c r="L1146">
        <v>0</v>
      </c>
      <c r="M1146">
        <v>0</v>
      </c>
      <c r="N1146">
        <v>1650</v>
      </c>
    </row>
    <row r="1147" spans="1:14" x14ac:dyDescent="0.25">
      <c r="A1147">
        <v>897.85064599999998</v>
      </c>
      <c r="B1147" s="1">
        <f>DATE(2012,10,14) + TIME(20,24,55)</f>
        <v>41196.850636574076</v>
      </c>
      <c r="C1147">
        <v>80</v>
      </c>
      <c r="D1147">
        <v>79.933174132999994</v>
      </c>
      <c r="E1147">
        <v>50</v>
      </c>
      <c r="F1147">
        <v>43.012790680000002</v>
      </c>
      <c r="G1147">
        <v>1364.7358397999999</v>
      </c>
      <c r="H1147">
        <v>1355.1517334</v>
      </c>
      <c r="I1147">
        <v>1298.862793</v>
      </c>
      <c r="J1147">
        <v>1283.3680420000001</v>
      </c>
      <c r="K1147">
        <v>1650</v>
      </c>
      <c r="L1147">
        <v>0</v>
      </c>
      <c r="M1147">
        <v>0</v>
      </c>
      <c r="N1147">
        <v>1650</v>
      </c>
    </row>
    <row r="1148" spans="1:14" x14ac:dyDescent="0.25">
      <c r="A1148">
        <v>899.17660000000001</v>
      </c>
      <c r="B1148" s="1">
        <f>DATE(2012,10,16) + TIME(4,14,18)</f>
        <v>41198.17659722222</v>
      </c>
      <c r="C1148">
        <v>80</v>
      </c>
      <c r="D1148">
        <v>79.933212280000006</v>
      </c>
      <c r="E1148">
        <v>50</v>
      </c>
      <c r="F1148">
        <v>43.129035950000002</v>
      </c>
      <c r="G1148">
        <v>1364.7106934000001</v>
      </c>
      <c r="H1148">
        <v>1355.1297606999999</v>
      </c>
      <c r="I1148">
        <v>1298.8543701000001</v>
      </c>
      <c r="J1148">
        <v>1283.3619385</v>
      </c>
      <c r="K1148">
        <v>1650</v>
      </c>
      <c r="L1148">
        <v>0</v>
      </c>
      <c r="M1148">
        <v>0</v>
      </c>
      <c r="N1148">
        <v>1650</v>
      </c>
    </row>
    <row r="1149" spans="1:14" x14ac:dyDescent="0.25">
      <c r="A1149">
        <v>900.50255400000003</v>
      </c>
      <c r="B1149" s="1">
        <f>DATE(2012,10,17) + TIME(12,3,40)</f>
        <v>41199.502546296295</v>
      </c>
      <c r="C1149">
        <v>80</v>
      </c>
      <c r="D1149">
        <v>79.933250427000004</v>
      </c>
      <c r="E1149">
        <v>50</v>
      </c>
      <c r="F1149">
        <v>43.238410950000002</v>
      </c>
      <c r="G1149">
        <v>1364.6860352000001</v>
      </c>
      <c r="H1149">
        <v>1355.1082764</v>
      </c>
      <c r="I1149">
        <v>1298.8488769999999</v>
      </c>
      <c r="J1149">
        <v>1283.3582764</v>
      </c>
      <c r="K1149">
        <v>1650</v>
      </c>
      <c r="L1149">
        <v>0</v>
      </c>
      <c r="M1149">
        <v>0</v>
      </c>
      <c r="N1149">
        <v>1650</v>
      </c>
    </row>
    <row r="1150" spans="1:14" x14ac:dyDescent="0.25">
      <c r="A1150">
        <v>901.82850900000005</v>
      </c>
      <c r="B1150" s="1">
        <f>DATE(2012,10,18) + TIME(19,53,3)</f>
        <v>41200.828506944446</v>
      </c>
      <c r="C1150">
        <v>80</v>
      </c>
      <c r="D1150">
        <v>79.933288574000002</v>
      </c>
      <c r="E1150">
        <v>50</v>
      </c>
      <c r="F1150">
        <v>43.346149445000002</v>
      </c>
      <c r="G1150">
        <v>1364.661499</v>
      </c>
      <c r="H1150">
        <v>1355.0867920000001</v>
      </c>
      <c r="I1150">
        <v>1298.8453368999999</v>
      </c>
      <c r="J1150">
        <v>1283.3568115</v>
      </c>
      <c r="K1150">
        <v>1650</v>
      </c>
      <c r="L1150">
        <v>0</v>
      </c>
      <c r="M1150">
        <v>0</v>
      </c>
      <c r="N1150">
        <v>1650</v>
      </c>
    </row>
    <row r="1151" spans="1:14" x14ac:dyDescent="0.25">
      <c r="A1151">
        <v>903.15446299999996</v>
      </c>
      <c r="B1151" s="1">
        <f>DATE(2012,10,20) + TIME(3,42,25)</f>
        <v>41202.154456018521</v>
      </c>
      <c r="C1151">
        <v>80</v>
      </c>
      <c r="D1151">
        <v>79.933326721</v>
      </c>
      <c r="E1151">
        <v>50</v>
      </c>
      <c r="F1151">
        <v>43.454608917000002</v>
      </c>
      <c r="G1151">
        <v>1364.637207</v>
      </c>
      <c r="H1151">
        <v>1355.0655518000001</v>
      </c>
      <c r="I1151">
        <v>1298.8430175999999</v>
      </c>
      <c r="J1151">
        <v>1283.3572998</v>
      </c>
      <c r="K1151">
        <v>1650</v>
      </c>
      <c r="L1151">
        <v>0</v>
      </c>
      <c r="M1151">
        <v>0</v>
      </c>
      <c r="N1151">
        <v>1650</v>
      </c>
    </row>
    <row r="1152" spans="1:14" x14ac:dyDescent="0.25">
      <c r="A1152">
        <v>904.48041699999999</v>
      </c>
      <c r="B1152" s="1">
        <f>DATE(2012,10,21) + TIME(11,31,48)</f>
        <v>41203.480416666665</v>
      </c>
      <c r="C1152">
        <v>80</v>
      </c>
      <c r="D1152">
        <v>79.933372497999997</v>
      </c>
      <c r="E1152">
        <v>50</v>
      </c>
      <c r="F1152">
        <v>43.564773559999999</v>
      </c>
      <c r="G1152">
        <v>1364.6130370999999</v>
      </c>
      <c r="H1152">
        <v>1355.0444336</v>
      </c>
      <c r="I1152">
        <v>1298.8417969</v>
      </c>
      <c r="J1152">
        <v>1283.3596190999999</v>
      </c>
      <c r="K1152">
        <v>1650</v>
      </c>
      <c r="L1152">
        <v>0</v>
      </c>
      <c r="M1152">
        <v>0</v>
      </c>
      <c r="N1152">
        <v>1650</v>
      </c>
    </row>
    <row r="1153" spans="1:14" x14ac:dyDescent="0.25">
      <c r="A1153">
        <v>907.13232500000004</v>
      </c>
      <c r="B1153" s="1">
        <f>DATE(2012,10,24) + TIME(3,10,32)</f>
        <v>41206.132314814815</v>
      </c>
      <c r="C1153">
        <v>80</v>
      </c>
      <c r="D1153">
        <v>79.933464049999998</v>
      </c>
      <c r="E1153">
        <v>50</v>
      </c>
      <c r="F1153">
        <v>43.711109161000003</v>
      </c>
      <c r="G1153">
        <v>1364.5891113</v>
      </c>
      <c r="H1153">
        <v>1355.0235596</v>
      </c>
      <c r="I1153">
        <v>1298.8358154</v>
      </c>
      <c r="J1153">
        <v>1283.3634033000001</v>
      </c>
      <c r="K1153">
        <v>1650</v>
      </c>
      <c r="L1153">
        <v>0</v>
      </c>
      <c r="M1153">
        <v>0</v>
      </c>
      <c r="N1153">
        <v>1650</v>
      </c>
    </row>
    <row r="1154" spans="1:14" x14ac:dyDescent="0.25">
      <c r="A1154">
        <v>909.79096100000004</v>
      </c>
      <c r="B1154" s="1">
        <f>DATE(2012,10,26) + TIME(18,58,59)</f>
        <v>41208.790960648148</v>
      </c>
      <c r="C1154">
        <v>80</v>
      </c>
      <c r="D1154">
        <v>79.933547974000007</v>
      </c>
      <c r="E1154">
        <v>50</v>
      </c>
      <c r="F1154">
        <v>43.917476653999998</v>
      </c>
      <c r="G1154">
        <v>1364.5417480000001</v>
      </c>
      <c r="H1154">
        <v>1354.9821777</v>
      </c>
      <c r="I1154">
        <v>1298.8395995999999</v>
      </c>
      <c r="J1154">
        <v>1283.3731689000001</v>
      </c>
      <c r="K1154">
        <v>1650</v>
      </c>
      <c r="L1154">
        <v>0</v>
      </c>
      <c r="M1154">
        <v>0</v>
      </c>
      <c r="N1154">
        <v>1650</v>
      </c>
    </row>
    <row r="1155" spans="1:14" x14ac:dyDescent="0.25">
      <c r="A1155">
        <v>912.50489700000003</v>
      </c>
      <c r="B1155" s="1">
        <f>DATE(2012,10,29) + TIME(12,7,3)</f>
        <v>41211.504895833335</v>
      </c>
      <c r="C1155">
        <v>80</v>
      </c>
      <c r="D1155">
        <v>79.933631896999998</v>
      </c>
      <c r="E1155">
        <v>50</v>
      </c>
      <c r="F1155">
        <v>44.149341583000002</v>
      </c>
      <c r="G1155">
        <v>1364.4948730000001</v>
      </c>
      <c r="H1155">
        <v>1354.9411620999999</v>
      </c>
      <c r="I1155">
        <v>1298.8441161999999</v>
      </c>
      <c r="J1155">
        <v>1283.3905029</v>
      </c>
      <c r="K1155">
        <v>1650</v>
      </c>
      <c r="L1155">
        <v>0</v>
      </c>
      <c r="M1155">
        <v>0</v>
      </c>
      <c r="N1155">
        <v>1650</v>
      </c>
    </row>
    <row r="1156" spans="1:14" x14ac:dyDescent="0.25">
      <c r="A1156">
        <v>915</v>
      </c>
      <c r="B1156" s="1">
        <f>DATE(2012,11,1) + TIME(0,0,0)</f>
        <v>41214</v>
      </c>
      <c r="C1156">
        <v>80</v>
      </c>
      <c r="D1156">
        <v>79.933708190999994</v>
      </c>
      <c r="E1156">
        <v>50</v>
      </c>
      <c r="F1156">
        <v>44.389091491999999</v>
      </c>
      <c r="G1156">
        <v>1364.4476318</v>
      </c>
      <c r="H1156">
        <v>1354.8999022999999</v>
      </c>
      <c r="I1156">
        <v>1298.8521728999999</v>
      </c>
      <c r="J1156">
        <v>1283.4139404</v>
      </c>
      <c r="K1156">
        <v>1650</v>
      </c>
      <c r="L1156">
        <v>0</v>
      </c>
      <c r="M1156">
        <v>0</v>
      </c>
      <c r="N1156">
        <v>1650</v>
      </c>
    </row>
    <row r="1157" spans="1:14" x14ac:dyDescent="0.25">
      <c r="A1157">
        <v>915.000001</v>
      </c>
      <c r="B1157" s="1">
        <f>DATE(2012,11,1) + TIME(0,0,0)</f>
        <v>41214</v>
      </c>
      <c r="C1157">
        <v>80</v>
      </c>
      <c r="D1157">
        <v>79.933624268000003</v>
      </c>
      <c r="E1157">
        <v>50</v>
      </c>
      <c r="F1157">
        <v>44.389175414999997</v>
      </c>
      <c r="G1157">
        <v>1354.3005370999999</v>
      </c>
      <c r="H1157">
        <v>1346.4438477000001</v>
      </c>
      <c r="I1157">
        <v>1315.0091553</v>
      </c>
      <c r="J1157">
        <v>1299.4970702999999</v>
      </c>
      <c r="K1157">
        <v>0</v>
      </c>
      <c r="L1157">
        <v>1650</v>
      </c>
      <c r="M1157">
        <v>1650</v>
      </c>
      <c r="N1157">
        <v>0</v>
      </c>
    </row>
    <row r="1158" spans="1:14" x14ac:dyDescent="0.25">
      <c r="A1158">
        <v>915.00000399999999</v>
      </c>
      <c r="B1158" s="1">
        <f>DATE(2012,11,1) + TIME(0,0,0)</f>
        <v>41214</v>
      </c>
      <c r="C1158">
        <v>80</v>
      </c>
      <c r="D1158">
        <v>79.933410644999995</v>
      </c>
      <c r="E1158">
        <v>50</v>
      </c>
      <c r="F1158">
        <v>44.389404296999999</v>
      </c>
      <c r="G1158">
        <v>1352.786499</v>
      </c>
      <c r="H1158">
        <v>1344.9291992000001</v>
      </c>
      <c r="I1158">
        <v>1316.6600341999999</v>
      </c>
      <c r="J1158">
        <v>1301.2337646000001</v>
      </c>
      <c r="K1158">
        <v>0</v>
      </c>
      <c r="L1158">
        <v>1650</v>
      </c>
      <c r="M1158">
        <v>1650</v>
      </c>
      <c r="N1158">
        <v>0</v>
      </c>
    </row>
    <row r="1159" spans="1:14" x14ac:dyDescent="0.25">
      <c r="A1159">
        <v>915.00001299999997</v>
      </c>
      <c r="B1159" s="1">
        <f>DATE(2012,11,1) + TIME(0,0,1)</f>
        <v>41214.000011574077</v>
      </c>
      <c r="C1159">
        <v>80</v>
      </c>
      <c r="D1159">
        <v>79.932975768999995</v>
      </c>
      <c r="E1159">
        <v>50</v>
      </c>
      <c r="F1159">
        <v>44.389938354000002</v>
      </c>
      <c r="G1159">
        <v>1349.7298584</v>
      </c>
      <c r="H1159">
        <v>1341.8719481999999</v>
      </c>
      <c r="I1159">
        <v>1320.4936522999999</v>
      </c>
      <c r="J1159">
        <v>1305.2114257999999</v>
      </c>
      <c r="K1159">
        <v>0</v>
      </c>
      <c r="L1159">
        <v>1650</v>
      </c>
      <c r="M1159">
        <v>1650</v>
      </c>
      <c r="N1159">
        <v>0</v>
      </c>
    </row>
    <row r="1160" spans="1:14" x14ac:dyDescent="0.25">
      <c r="A1160">
        <v>915.00004000000001</v>
      </c>
      <c r="B1160" s="1">
        <f>DATE(2012,11,1) + TIME(0,0,3)</f>
        <v>41214.000034722223</v>
      </c>
      <c r="C1160">
        <v>80</v>
      </c>
      <c r="D1160">
        <v>79.932334900000001</v>
      </c>
      <c r="E1160">
        <v>50</v>
      </c>
      <c r="F1160">
        <v>44.390903473000002</v>
      </c>
      <c r="G1160">
        <v>1345.2628173999999</v>
      </c>
      <c r="H1160">
        <v>1337.4067382999999</v>
      </c>
      <c r="I1160">
        <v>1327.2071533000001</v>
      </c>
      <c r="J1160">
        <v>1312.020874</v>
      </c>
      <c r="K1160">
        <v>0</v>
      </c>
      <c r="L1160">
        <v>1650</v>
      </c>
      <c r="M1160">
        <v>1650</v>
      </c>
      <c r="N1160">
        <v>0</v>
      </c>
    </row>
    <row r="1161" spans="1:14" x14ac:dyDescent="0.25">
      <c r="A1161">
        <v>915.00012100000004</v>
      </c>
      <c r="B1161" s="1">
        <f>DATE(2012,11,1) + TIME(0,0,10)</f>
        <v>41214.000115740739</v>
      </c>
      <c r="C1161">
        <v>80</v>
      </c>
      <c r="D1161">
        <v>79.931617736999996</v>
      </c>
      <c r="E1161">
        <v>50</v>
      </c>
      <c r="F1161">
        <v>44.392345427999999</v>
      </c>
      <c r="G1161">
        <v>1340.2891846</v>
      </c>
      <c r="H1161">
        <v>1332.4377440999999</v>
      </c>
      <c r="I1161">
        <v>1335.7807617000001</v>
      </c>
      <c r="J1161">
        <v>1320.5960693</v>
      </c>
      <c r="K1161">
        <v>0</v>
      </c>
      <c r="L1161">
        <v>1650</v>
      </c>
      <c r="M1161">
        <v>1650</v>
      </c>
      <c r="N1161">
        <v>0</v>
      </c>
    </row>
    <row r="1162" spans="1:14" x14ac:dyDescent="0.25">
      <c r="A1162">
        <v>915.00036399999999</v>
      </c>
      <c r="B1162" s="1">
        <f>DATE(2012,11,1) + TIME(0,0,31)</f>
        <v>41214.000358796293</v>
      </c>
      <c r="C1162">
        <v>80</v>
      </c>
      <c r="D1162">
        <v>79.930854796999995</v>
      </c>
      <c r="E1162">
        <v>50</v>
      </c>
      <c r="F1162">
        <v>44.394618987999998</v>
      </c>
      <c r="G1162">
        <v>1335.2779541</v>
      </c>
      <c r="H1162">
        <v>1327.4259033000001</v>
      </c>
      <c r="I1162">
        <v>1344.8553466999999</v>
      </c>
      <c r="J1162">
        <v>1329.6536865</v>
      </c>
      <c r="K1162">
        <v>0</v>
      </c>
      <c r="L1162">
        <v>1650</v>
      </c>
      <c r="M1162">
        <v>1650</v>
      </c>
      <c r="N1162">
        <v>0</v>
      </c>
    </row>
    <row r="1163" spans="1:14" x14ac:dyDescent="0.25">
      <c r="A1163">
        <v>915.00109299999997</v>
      </c>
      <c r="B1163" s="1">
        <f>DATE(2012,11,1) + TIME(0,1,34)</f>
        <v>41214.001087962963</v>
      </c>
      <c r="C1163">
        <v>80</v>
      </c>
      <c r="D1163">
        <v>79.929977417000003</v>
      </c>
      <c r="E1163">
        <v>50</v>
      </c>
      <c r="F1163">
        <v>44.399246216000002</v>
      </c>
      <c r="G1163">
        <v>1330.1746826000001</v>
      </c>
      <c r="H1163">
        <v>1322.2684326000001</v>
      </c>
      <c r="I1163">
        <v>1354.1204834</v>
      </c>
      <c r="J1163">
        <v>1338.8934326000001</v>
      </c>
      <c r="K1163">
        <v>0</v>
      </c>
      <c r="L1163">
        <v>1650</v>
      </c>
      <c r="M1163">
        <v>1650</v>
      </c>
      <c r="N1163">
        <v>0</v>
      </c>
    </row>
    <row r="1164" spans="1:14" x14ac:dyDescent="0.25">
      <c r="A1164">
        <v>915.00328000000002</v>
      </c>
      <c r="B1164" s="1">
        <f>DATE(2012,11,1) + TIME(0,4,43)</f>
        <v>41214.003275462965</v>
      </c>
      <c r="C1164">
        <v>80</v>
      </c>
      <c r="D1164">
        <v>79.928756714000002</v>
      </c>
      <c r="E1164">
        <v>50</v>
      </c>
      <c r="F1164">
        <v>44.410877227999997</v>
      </c>
      <c r="G1164">
        <v>1324.8417969</v>
      </c>
      <c r="H1164">
        <v>1316.7869873</v>
      </c>
      <c r="I1164">
        <v>1363.3553466999999</v>
      </c>
      <c r="J1164">
        <v>1348.0551757999999</v>
      </c>
      <c r="K1164">
        <v>0</v>
      </c>
      <c r="L1164">
        <v>1650</v>
      </c>
      <c r="M1164">
        <v>1650</v>
      </c>
      <c r="N1164">
        <v>0</v>
      </c>
    </row>
    <row r="1165" spans="1:14" x14ac:dyDescent="0.25">
      <c r="A1165">
        <v>915.00984100000005</v>
      </c>
      <c r="B1165" s="1">
        <f>DATE(2012,11,1) + TIME(0,14,10)</f>
        <v>41214.009837962964</v>
      </c>
      <c r="C1165">
        <v>80</v>
      </c>
      <c r="D1165">
        <v>79.926620482999994</v>
      </c>
      <c r="E1165">
        <v>50</v>
      </c>
      <c r="F1165">
        <v>44.443431854000004</v>
      </c>
      <c r="G1165">
        <v>1319.6933594</v>
      </c>
      <c r="H1165">
        <v>1311.496582</v>
      </c>
      <c r="I1165">
        <v>1371.3565673999999</v>
      </c>
      <c r="J1165">
        <v>1355.9456786999999</v>
      </c>
      <c r="K1165">
        <v>0</v>
      </c>
      <c r="L1165">
        <v>1650</v>
      </c>
      <c r="M1165">
        <v>1650</v>
      </c>
      <c r="N1165">
        <v>0</v>
      </c>
    </row>
    <row r="1166" spans="1:14" x14ac:dyDescent="0.25">
      <c r="A1166">
        <v>915.02952400000004</v>
      </c>
      <c r="B1166" s="1">
        <f>DATE(2012,11,1) + TIME(0,42,30)</f>
        <v>41214.029513888891</v>
      </c>
      <c r="C1166">
        <v>80</v>
      </c>
      <c r="D1166">
        <v>79.921867371000005</v>
      </c>
      <c r="E1166">
        <v>50</v>
      </c>
      <c r="F1166">
        <v>44.537757874</v>
      </c>
      <c r="G1166">
        <v>1315.7851562000001</v>
      </c>
      <c r="H1166">
        <v>1307.5311279</v>
      </c>
      <c r="I1166">
        <v>1376.4676514</v>
      </c>
      <c r="J1166">
        <v>1360.9869385</v>
      </c>
      <c r="K1166">
        <v>0</v>
      </c>
      <c r="L1166">
        <v>1650</v>
      </c>
      <c r="M1166">
        <v>1650</v>
      </c>
      <c r="N1166">
        <v>0</v>
      </c>
    </row>
    <row r="1167" spans="1:14" x14ac:dyDescent="0.25">
      <c r="A1167">
        <v>915.088573</v>
      </c>
      <c r="B1167" s="1">
        <f>DATE(2012,11,1) + TIME(2,7,32)</f>
        <v>41214.088564814818</v>
      </c>
      <c r="C1167">
        <v>80</v>
      </c>
      <c r="D1167">
        <v>79.909431458</v>
      </c>
      <c r="E1167">
        <v>50</v>
      </c>
      <c r="F1167">
        <v>44.805759430000002</v>
      </c>
      <c r="G1167">
        <v>1313.8013916</v>
      </c>
      <c r="H1167">
        <v>1305.5343018000001</v>
      </c>
      <c r="I1167">
        <v>1378.2667236</v>
      </c>
      <c r="J1167">
        <v>1362.8260498</v>
      </c>
      <c r="K1167">
        <v>0</v>
      </c>
      <c r="L1167">
        <v>1650</v>
      </c>
      <c r="M1167">
        <v>1650</v>
      </c>
      <c r="N1167">
        <v>0</v>
      </c>
    </row>
    <row r="1168" spans="1:14" x14ac:dyDescent="0.25">
      <c r="A1168">
        <v>915.16816500000004</v>
      </c>
      <c r="B1168" s="1">
        <f>DATE(2012,11,1) + TIME(4,2,9)</f>
        <v>41214.16815972222</v>
      </c>
      <c r="C1168">
        <v>80</v>
      </c>
      <c r="D1168">
        <v>79.893440247000001</v>
      </c>
      <c r="E1168">
        <v>50</v>
      </c>
      <c r="F1168">
        <v>45.143089293999999</v>
      </c>
      <c r="G1168">
        <v>1313.3126221</v>
      </c>
      <c r="H1168">
        <v>1305.0433350000001</v>
      </c>
      <c r="I1168">
        <v>1378.3474120999999</v>
      </c>
      <c r="J1168">
        <v>1362.9970702999999</v>
      </c>
      <c r="K1168">
        <v>0</v>
      </c>
      <c r="L1168">
        <v>1650</v>
      </c>
      <c r="M1168">
        <v>1650</v>
      </c>
      <c r="N1168">
        <v>0</v>
      </c>
    </row>
    <row r="1169" spans="1:14" x14ac:dyDescent="0.25">
      <c r="A1169">
        <v>915.25137199999995</v>
      </c>
      <c r="B1169" s="1">
        <f>DATE(2012,11,1) + TIME(6,1,58)</f>
        <v>41214.25136574074</v>
      </c>
      <c r="C1169">
        <v>80</v>
      </c>
      <c r="D1169">
        <v>79.877098083000007</v>
      </c>
      <c r="E1169">
        <v>50</v>
      </c>
      <c r="F1169">
        <v>45.471572876000003</v>
      </c>
      <c r="G1169">
        <v>1313.1995850000001</v>
      </c>
      <c r="H1169">
        <v>1304.9294434000001</v>
      </c>
      <c r="I1169">
        <v>1378.1811522999999</v>
      </c>
      <c r="J1169">
        <v>1362.9216309000001</v>
      </c>
      <c r="K1169">
        <v>0</v>
      </c>
      <c r="L1169">
        <v>1650</v>
      </c>
      <c r="M1169">
        <v>1650</v>
      </c>
      <c r="N1169">
        <v>0</v>
      </c>
    </row>
    <row r="1170" spans="1:14" x14ac:dyDescent="0.25">
      <c r="A1170">
        <v>915.33853199999999</v>
      </c>
      <c r="B1170" s="1">
        <f>DATE(2012,11,1) + TIME(8,7,29)</f>
        <v>41214.338530092595</v>
      </c>
      <c r="C1170">
        <v>80</v>
      </c>
      <c r="D1170">
        <v>79.860336304</v>
      </c>
      <c r="E1170">
        <v>50</v>
      </c>
      <c r="F1170">
        <v>45.791065216</v>
      </c>
      <c r="G1170">
        <v>1313.1685791</v>
      </c>
      <c r="H1170">
        <v>1304.8979492000001</v>
      </c>
      <c r="I1170">
        <v>1378.0021973</v>
      </c>
      <c r="J1170">
        <v>1362.8312988</v>
      </c>
      <c r="K1170">
        <v>0</v>
      </c>
      <c r="L1170">
        <v>1650</v>
      </c>
      <c r="M1170">
        <v>1650</v>
      </c>
      <c r="N1170">
        <v>0</v>
      </c>
    </row>
    <row r="1171" spans="1:14" x14ac:dyDescent="0.25">
      <c r="A1171">
        <v>915.43009400000005</v>
      </c>
      <c r="B1171" s="1">
        <f>DATE(2012,11,1) + TIME(10,19,20)</f>
        <v>41214.430092592593</v>
      </c>
      <c r="C1171">
        <v>80</v>
      </c>
      <c r="D1171">
        <v>79.843086243000002</v>
      </c>
      <c r="E1171">
        <v>50</v>
      </c>
      <c r="F1171">
        <v>46.101566314999999</v>
      </c>
      <c r="G1171">
        <v>1313.1579589999999</v>
      </c>
      <c r="H1171">
        <v>1304.8868408000001</v>
      </c>
      <c r="I1171">
        <v>1377.8327637</v>
      </c>
      <c r="J1171">
        <v>1362.7474365</v>
      </c>
      <c r="K1171">
        <v>0</v>
      </c>
      <c r="L1171">
        <v>1650</v>
      </c>
      <c r="M1171">
        <v>1650</v>
      </c>
      <c r="N1171">
        <v>0</v>
      </c>
    </row>
    <row r="1172" spans="1:14" x14ac:dyDescent="0.25">
      <c r="A1172">
        <v>915.52659200000005</v>
      </c>
      <c r="B1172" s="1">
        <f>DATE(2012,11,1) + TIME(12,38,17)</f>
        <v>41214.526585648149</v>
      </c>
      <c r="C1172">
        <v>80</v>
      </c>
      <c r="D1172">
        <v>79.825279236</v>
      </c>
      <c r="E1172">
        <v>50</v>
      </c>
      <c r="F1172">
        <v>46.403102875000002</v>
      </c>
      <c r="G1172">
        <v>1313.1525879000001</v>
      </c>
      <c r="H1172">
        <v>1304.8809814000001</v>
      </c>
      <c r="I1172">
        <v>1377.6712646000001</v>
      </c>
      <c r="J1172">
        <v>1362.668457</v>
      </c>
      <c r="K1172">
        <v>0</v>
      </c>
      <c r="L1172">
        <v>1650</v>
      </c>
      <c r="M1172">
        <v>1650</v>
      </c>
      <c r="N1172">
        <v>0</v>
      </c>
    </row>
    <row r="1173" spans="1:14" x14ac:dyDescent="0.25">
      <c r="A1173">
        <v>915.62866199999996</v>
      </c>
      <c r="B1173" s="1">
        <f>DATE(2012,11,1) + TIME(15,5,16)</f>
        <v>41214.628657407404</v>
      </c>
      <c r="C1173">
        <v>80</v>
      </c>
      <c r="D1173">
        <v>79.806831360000004</v>
      </c>
      <c r="E1173">
        <v>50</v>
      </c>
      <c r="F1173">
        <v>46.695671081999997</v>
      </c>
      <c r="G1173">
        <v>1313.1486815999999</v>
      </c>
      <c r="H1173">
        <v>1304.8765868999999</v>
      </c>
      <c r="I1173">
        <v>1377.5153809000001</v>
      </c>
      <c r="J1173">
        <v>1362.5922852000001</v>
      </c>
      <c r="K1173">
        <v>0</v>
      </c>
      <c r="L1173">
        <v>1650</v>
      </c>
      <c r="M1173">
        <v>1650</v>
      </c>
      <c r="N1173">
        <v>0</v>
      </c>
    </row>
    <row r="1174" spans="1:14" x14ac:dyDescent="0.25">
      <c r="A1174">
        <v>915.73706200000004</v>
      </c>
      <c r="B1174" s="1">
        <f>DATE(2012,11,1) + TIME(17,41,22)</f>
        <v>41214.737060185187</v>
      </c>
      <c r="C1174">
        <v>80</v>
      </c>
      <c r="D1174">
        <v>79.787658691000004</v>
      </c>
      <c r="E1174">
        <v>50</v>
      </c>
      <c r="F1174">
        <v>46.979228972999998</v>
      </c>
      <c r="G1174">
        <v>1313.1450195</v>
      </c>
      <c r="H1174">
        <v>1304.8724365</v>
      </c>
      <c r="I1174">
        <v>1377.3642577999999</v>
      </c>
      <c r="J1174">
        <v>1362.5179443</v>
      </c>
      <c r="K1174">
        <v>0</v>
      </c>
      <c r="L1174">
        <v>1650</v>
      </c>
      <c r="M1174">
        <v>1650</v>
      </c>
      <c r="N1174">
        <v>0</v>
      </c>
    </row>
    <row r="1175" spans="1:14" x14ac:dyDescent="0.25">
      <c r="A1175">
        <v>915.85270700000001</v>
      </c>
      <c r="B1175" s="1">
        <f>DATE(2012,11,1) + TIME(20,27,53)</f>
        <v>41214.852696759262</v>
      </c>
      <c r="C1175">
        <v>80</v>
      </c>
      <c r="D1175">
        <v>79.767646790000001</v>
      </c>
      <c r="E1175">
        <v>50</v>
      </c>
      <c r="F1175">
        <v>47.253704071000001</v>
      </c>
      <c r="G1175">
        <v>1313.1412353999999</v>
      </c>
      <c r="H1175">
        <v>1304.8680420000001</v>
      </c>
      <c r="I1175">
        <v>1377.2174072</v>
      </c>
      <c r="J1175">
        <v>1362.4450684000001</v>
      </c>
      <c r="K1175">
        <v>0</v>
      </c>
      <c r="L1175">
        <v>1650</v>
      </c>
      <c r="M1175">
        <v>1650</v>
      </c>
      <c r="N1175">
        <v>0</v>
      </c>
    </row>
    <row r="1176" spans="1:14" x14ac:dyDescent="0.25">
      <c r="A1176">
        <v>915.97671400000002</v>
      </c>
      <c r="B1176" s="1">
        <f>DATE(2012,11,1) + TIME(23,26,28)</f>
        <v>41214.976712962962</v>
      </c>
      <c r="C1176">
        <v>80</v>
      </c>
      <c r="D1176">
        <v>79.746658324999999</v>
      </c>
      <c r="E1176">
        <v>50</v>
      </c>
      <c r="F1176">
        <v>47.518970490000001</v>
      </c>
      <c r="G1176">
        <v>1313.137207</v>
      </c>
      <c r="H1176">
        <v>1304.8635254000001</v>
      </c>
      <c r="I1176">
        <v>1377.0744629000001</v>
      </c>
      <c r="J1176">
        <v>1362.3735352000001</v>
      </c>
      <c r="K1176">
        <v>0</v>
      </c>
      <c r="L1176">
        <v>1650</v>
      </c>
      <c r="M1176">
        <v>1650</v>
      </c>
      <c r="N1176">
        <v>0</v>
      </c>
    </row>
    <row r="1177" spans="1:14" x14ac:dyDescent="0.25">
      <c r="A1177">
        <v>916.11046899999997</v>
      </c>
      <c r="B1177" s="1">
        <f>DATE(2012,11,2) + TIME(2,39,4)</f>
        <v>41215.110462962963</v>
      </c>
      <c r="C1177">
        <v>80</v>
      </c>
      <c r="D1177">
        <v>79.724540709999999</v>
      </c>
      <c r="E1177">
        <v>50</v>
      </c>
      <c r="F1177">
        <v>47.774860382</v>
      </c>
      <c r="G1177">
        <v>1313.1329346</v>
      </c>
      <c r="H1177">
        <v>1304.8586425999999</v>
      </c>
      <c r="I1177">
        <v>1376.9351807</v>
      </c>
      <c r="J1177">
        <v>1362.3029785000001</v>
      </c>
      <c r="K1177">
        <v>0</v>
      </c>
      <c r="L1177">
        <v>1650</v>
      </c>
      <c r="M1177">
        <v>1650</v>
      </c>
      <c r="N1177">
        <v>0</v>
      </c>
    </row>
    <row r="1178" spans="1:14" x14ac:dyDescent="0.25">
      <c r="A1178">
        <v>916.25571200000002</v>
      </c>
      <c r="B1178" s="1">
        <f>DATE(2012,11,2) + TIME(6,8,13)</f>
        <v>41215.255706018521</v>
      </c>
      <c r="C1178">
        <v>80</v>
      </c>
      <c r="D1178">
        <v>79.701087951999995</v>
      </c>
      <c r="E1178">
        <v>50</v>
      </c>
      <c r="F1178">
        <v>48.021144866999997</v>
      </c>
      <c r="G1178">
        <v>1313.128418</v>
      </c>
      <c r="H1178">
        <v>1304.8532714999999</v>
      </c>
      <c r="I1178">
        <v>1376.7994385</v>
      </c>
      <c r="J1178">
        <v>1362.2332764</v>
      </c>
      <c r="K1178">
        <v>0</v>
      </c>
      <c r="L1178">
        <v>1650</v>
      </c>
      <c r="M1178">
        <v>1650</v>
      </c>
      <c r="N1178">
        <v>0</v>
      </c>
    </row>
    <row r="1179" spans="1:14" x14ac:dyDescent="0.25">
      <c r="A1179">
        <v>916.41463599999997</v>
      </c>
      <c r="B1179" s="1">
        <f>DATE(2012,11,2) + TIME(9,57,4)</f>
        <v>41215.414629629631</v>
      </c>
      <c r="C1179">
        <v>80</v>
      </c>
      <c r="D1179">
        <v>79.676055907999995</v>
      </c>
      <c r="E1179">
        <v>50</v>
      </c>
      <c r="F1179">
        <v>48.257476807000003</v>
      </c>
      <c r="G1179">
        <v>1313.1234131000001</v>
      </c>
      <c r="H1179">
        <v>1304.8476562000001</v>
      </c>
      <c r="I1179">
        <v>1376.6668701000001</v>
      </c>
      <c r="J1179">
        <v>1362.1643065999999</v>
      </c>
      <c r="K1179">
        <v>0</v>
      </c>
      <c r="L1179">
        <v>1650</v>
      </c>
      <c r="M1179">
        <v>1650</v>
      </c>
      <c r="N1179">
        <v>0</v>
      </c>
    </row>
    <row r="1180" spans="1:14" x14ac:dyDescent="0.25">
      <c r="A1180">
        <v>916.59017500000004</v>
      </c>
      <c r="B1180" s="1">
        <f>DATE(2012,11,2) + TIME(14,9,51)</f>
        <v>41215.590173611112</v>
      </c>
      <c r="C1180">
        <v>80</v>
      </c>
      <c r="D1180">
        <v>79.649124146000005</v>
      </c>
      <c r="E1180">
        <v>50</v>
      </c>
      <c r="F1180">
        <v>48.483501433999997</v>
      </c>
      <c r="G1180">
        <v>1313.1180420000001</v>
      </c>
      <c r="H1180">
        <v>1304.8414307</v>
      </c>
      <c r="I1180">
        <v>1376.5372314000001</v>
      </c>
      <c r="J1180">
        <v>1362.0957031</v>
      </c>
      <c r="K1180">
        <v>0</v>
      </c>
      <c r="L1180">
        <v>1650</v>
      </c>
      <c r="M1180">
        <v>1650</v>
      </c>
      <c r="N1180">
        <v>0</v>
      </c>
    </row>
    <row r="1181" spans="1:14" x14ac:dyDescent="0.25">
      <c r="A1181">
        <v>916.78622600000006</v>
      </c>
      <c r="B1181" s="1">
        <f>DATE(2012,11,2) + TIME(18,52,9)</f>
        <v>41215.786215277774</v>
      </c>
      <c r="C1181">
        <v>80</v>
      </c>
      <c r="D1181">
        <v>79.619857788000004</v>
      </c>
      <c r="E1181">
        <v>50</v>
      </c>
      <c r="F1181">
        <v>48.698726653999998</v>
      </c>
      <c r="G1181">
        <v>1313.1120605000001</v>
      </c>
      <c r="H1181">
        <v>1304.8345947</v>
      </c>
      <c r="I1181">
        <v>1376.4104004000001</v>
      </c>
      <c r="J1181">
        <v>1362.0274658000001</v>
      </c>
      <c r="K1181">
        <v>0</v>
      </c>
      <c r="L1181">
        <v>1650</v>
      </c>
      <c r="M1181">
        <v>1650</v>
      </c>
      <c r="N1181">
        <v>0</v>
      </c>
    </row>
    <row r="1182" spans="1:14" x14ac:dyDescent="0.25">
      <c r="A1182">
        <v>917.008151</v>
      </c>
      <c r="B1182" s="1">
        <f>DATE(2012,11,3) + TIME(0,11,44)</f>
        <v>41216.008148148147</v>
      </c>
      <c r="C1182">
        <v>80</v>
      </c>
      <c r="D1182">
        <v>79.587707519999995</v>
      </c>
      <c r="E1182">
        <v>50</v>
      </c>
      <c r="F1182">
        <v>48.902496337999999</v>
      </c>
      <c r="G1182">
        <v>1313.1054687999999</v>
      </c>
      <c r="H1182">
        <v>1304.8270264</v>
      </c>
      <c r="I1182">
        <v>1376.2860106999999</v>
      </c>
      <c r="J1182">
        <v>1361.9589844</v>
      </c>
      <c r="K1182">
        <v>0</v>
      </c>
      <c r="L1182">
        <v>1650</v>
      </c>
      <c r="M1182">
        <v>1650</v>
      </c>
      <c r="N1182">
        <v>0</v>
      </c>
    </row>
    <row r="1183" spans="1:14" x14ac:dyDescent="0.25">
      <c r="A1183">
        <v>917.26359100000002</v>
      </c>
      <c r="B1183" s="1">
        <f>DATE(2012,11,3) + TIME(6,19,34)</f>
        <v>41216.26358796296</v>
      </c>
      <c r="C1183">
        <v>80</v>
      </c>
      <c r="D1183">
        <v>79.551887511999993</v>
      </c>
      <c r="E1183">
        <v>50</v>
      </c>
      <c r="F1183">
        <v>49.093978882000002</v>
      </c>
      <c r="G1183">
        <v>1313.0981445</v>
      </c>
      <c r="H1183">
        <v>1304.8186035000001</v>
      </c>
      <c r="I1183">
        <v>1376.1636963000001</v>
      </c>
      <c r="J1183">
        <v>1361.8902588000001</v>
      </c>
      <c r="K1183">
        <v>0</v>
      </c>
      <c r="L1183">
        <v>1650</v>
      </c>
      <c r="M1183">
        <v>1650</v>
      </c>
      <c r="N1183">
        <v>0</v>
      </c>
    </row>
    <row r="1184" spans="1:14" x14ac:dyDescent="0.25">
      <c r="A1184">
        <v>917.56389799999999</v>
      </c>
      <c r="B1184" s="1">
        <f>DATE(2012,11,3) + TIME(13,32,0)</f>
        <v>41216.563888888886</v>
      </c>
      <c r="C1184">
        <v>80</v>
      </c>
      <c r="D1184">
        <v>79.511283875000004</v>
      </c>
      <c r="E1184">
        <v>50</v>
      </c>
      <c r="F1184">
        <v>49.272068023999999</v>
      </c>
      <c r="G1184">
        <v>1313.0897216999999</v>
      </c>
      <c r="H1184">
        <v>1304.8088379000001</v>
      </c>
      <c r="I1184">
        <v>1376.0430908000001</v>
      </c>
      <c r="J1184">
        <v>1361.8205565999999</v>
      </c>
      <c r="K1184">
        <v>0</v>
      </c>
      <c r="L1184">
        <v>1650</v>
      </c>
      <c r="M1184">
        <v>1650</v>
      </c>
      <c r="N1184">
        <v>0</v>
      </c>
    </row>
    <row r="1185" spans="1:14" x14ac:dyDescent="0.25">
      <c r="A1185">
        <v>917.87016800000004</v>
      </c>
      <c r="B1185" s="1">
        <f>DATE(2012,11,3) + TIME(20,53,2)</f>
        <v>41216.870162037034</v>
      </c>
      <c r="C1185">
        <v>80</v>
      </c>
      <c r="D1185">
        <v>79.470138550000001</v>
      </c>
      <c r="E1185">
        <v>50</v>
      </c>
      <c r="F1185">
        <v>49.415206908999998</v>
      </c>
      <c r="G1185">
        <v>1313.0797118999999</v>
      </c>
      <c r="H1185">
        <v>1304.7976074000001</v>
      </c>
      <c r="I1185">
        <v>1375.9368896000001</v>
      </c>
      <c r="J1185">
        <v>1361.7561035000001</v>
      </c>
      <c r="K1185">
        <v>0</v>
      </c>
      <c r="L1185">
        <v>1650</v>
      </c>
      <c r="M1185">
        <v>1650</v>
      </c>
      <c r="N1185">
        <v>0</v>
      </c>
    </row>
    <row r="1186" spans="1:14" x14ac:dyDescent="0.25">
      <c r="A1186">
        <v>918.18196999999998</v>
      </c>
      <c r="B1186" s="1">
        <f>DATE(2012,11,4) + TIME(4,22,2)</f>
        <v>41217.181967592594</v>
      </c>
      <c r="C1186">
        <v>80</v>
      </c>
      <c r="D1186">
        <v>79.428535460999996</v>
      </c>
      <c r="E1186">
        <v>50</v>
      </c>
      <c r="F1186">
        <v>49.529659271</v>
      </c>
      <c r="G1186">
        <v>1313.0695800999999</v>
      </c>
      <c r="H1186">
        <v>1304.7862548999999</v>
      </c>
      <c r="I1186">
        <v>1375.8438721</v>
      </c>
      <c r="J1186">
        <v>1361.697876</v>
      </c>
      <c r="K1186">
        <v>0</v>
      </c>
      <c r="L1186">
        <v>1650</v>
      </c>
      <c r="M1186">
        <v>1650</v>
      </c>
      <c r="N1186">
        <v>0</v>
      </c>
    </row>
    <row r="1187" spans="1:14" x14ac:dyDescent="0.25">
      <c r="A1187">
        <v>918.50282800000002</v>
      </c>
      <c r="B1187" s="1">
        <f>DATE(2012,11,4) + TIME(12,4,4)</f>
        <v>41217.502824074072</v>
      </c>
      <c r="C1187">
        <v>80</v>
      </c>
      <c r="D1187">
        <v>79.386131286999998</v>
      </c>
      <c r="E1187">
        <v>50</v>
      </c>
      <c r="F1187">
        <v>49.621623993</v>
      </c>
      <c r="G1187">
        <v>1313.0592041</v>
      </c>
      <c r="H1187">
        <v>1304.7746582</v>
      </c>
      <c r="I1187">
        <v>1375.7613524999999</v>
      </c>
      <c r="J1187">
        <v>1361.6446533000001</v>
      </c>
      <c r="K1187">
        <v>0</v>
      </c>
      <c r="L1187">
        <v>1650</v>
      </c>
      <c r="M1187">
        <v>1650</v>
      </c>
      <c r="N1187">
        <v>0</v>
      </c>
    </row>
    <row r="1188" spans="1:14" x14ac:dyDescent="0.25">
      <c r="A1188">
        <v>918.83592599999997</v>
      </c>
      <c r="B1188" s="1">
        <f>DATE(2012,11,4) + TIME(20,3,43)</f>
        <v>41217.835914351854</v>
      </c>
      <c r="C1188">
        <v>80</v>
      </c>
      <c r="D1188">
        <v>79.342613220000004</v>
      </c>
      <c r="E1188">
        <v>50</v>
      </c>
      <c r="F1188">
        <v>49.695594788000001</v>
      </c>
      <c r="G1188">
        <v>1313.0487060999999</v>
      </c>
      <c r="H1188">
        <v>1304.7626952999999</v>
      </c>
      <c r="I1188">
        <v>1375.6872559000001</v>
      </c>
      <c r="J1188">
        <v>1361.5954589999999</v>
      </c>
      <c r="K1188">
        <v>0</v>
      </c>
      <c r="L1188">
        <v>1650</v>
      </c>
      <c r="M1188">
        <v>1650</v>
      </c>
      <c r="N1188">
        <v>0</v>
      </c>
    </row>
    <row r="1189" spans="1:14" x14ac:dyDescent="0.25">
      <c r="A1189">
        <v>919.18469500000003</v>
      </c>
      <c r="B1189" s="1">
        <f>DATE(2012,11,5) + TIME(4,25,57)</f>
        <v>41218.184687499997</v>
      </c>
      <c r="C1189">
        <v>80</v>
      </c>
      <c r="D1189">
        <v>79.297637938999998</v>
      </c>
      <c r="E1189">
        <v>50</v>
      </c>
      <c r="F1189">
        <v>49.755012512</v>
      </c>
      <c r="G1189">
        <v>1313.0378418</v>
      </c>
      <c r="H1189">
        <v>1304.7503661999999</v>
      </c>
      <c r="I1189">
        <v>1375.6196289</v>
      </c>
      <c r="J1189">
        <v>1361.5493164</v>
      </c>
      <c r="K1189">
        <v>0</v>
      </c>
      <c r="L1189">
        <v>1650</v>
      </c>
      <c r="M1189">
        <v>1650</v>
      </c>
      <c r="N1189">
        <v>0</v>
      </c>
    </row>
    <row r="1190" spans="1:14" x14ac:dyDescent="0.25">
      <c r="A1190">
        <v>919.55300099999999</v>
      </c>
      <c r="B1190" s="1">
        <f>DATE(2012,11,5) + TIME(13,16,19)</f>
        <v>41218.552997685183</v>
      </c>
      <c r="C1190">
        <v>80</v>
      </c>
      <c r="D1190">
        <v>79.250831603999998</v>
      </c>
      <c r="E1190">
        <v>50</v>
      </c>
      <c r="F1190">
        <v>49.802570342999999</v>
      </c>
      <c r="G1190">
        <v>1313.0264893000001</v>
      </c>
      <c r="H1190">
        <v>1304.7374268000001</v>
      </c>
      <c r="I1190">
        <v>1375.557251</v>
      </c>
      <c r="J1190">
        <v>1361.5057373</v>
      </c>
      <c r="K1190">
        <v>0</v>
      </c>
      <c r="L1190">
        <v>1650</v>
      </c>
      <c r="M1190">
        <v>1650</v>
      </c>
      <c r="N1190">
        <v>0</v>
      </c>
    </row>
    <row r="1191" spans="1:14" x14ac:dyDescent="0.25">
      <c r="A1191">
        <v>919.94539199999997</v>
      </c>
      <c r="B1191" s="1">
        <f>DATE(2012,11,5) + TIME(22,41,21)</f>
        <v>41218.945381944446</v>
      </c>
      <c r="C1191">
        <v>80</v>
      </c>
      <c r="D1191">
        <v>79.201759338000002</v>
      </c>
      <c r="E1191">
        <v>50</v>
      </c>
      <c r="F1191">
        <v>49.840412139999998</v>
      </c>
      <c r="G1191">
        <v>1313.0146483999999</v>
      </c>
      <c r="H1191">
        <v>1304.7237548999999</v>
      </c>
      <c r="I1191">
        <v>1375.4991454999999</v>
      </c>
      <c r="J1191">
        <v>1361.4639893000001</v>
      </c>
      <c r="K1191">
        <v>0</v>
      </c>
      <c r="L1191">
        <v>1650</v>
      </c>
      <c r="M1191">
        <v>1650</v>
      </c>
      <c r="N1191">
        <v>0</v>
      </c>
    </row>
    <row r="1192" spans="1:14" x14ac:dyDescent="0.25">
      <c r="A1192">
        <v>920.36731899999995</v>
      </c>
      <c r="B1192" s="1">
        <f>DATE(2012,11,6) + TIME(8,48,56)</f>
        <v>41219.367314814815</v>
      </c>
      <c r="C1192">
        <v>80</v>
      </c>
      <c r="D1192">
        <v>79.149917603000006</v>
      </c>
      <c r="E1192">
        <v>50</v>
      </c>
      <c r="F1192">
        <v>49.870281218999999</v>
      </c>
      <c r="G1192">
        <v>1313.0019531</v>
      </c>
      <c r="H1192">
        <v>1304.7093506000001</v>
      </c>
      <c r="I1192">
        <v>1375.4440918</v>
      </c>
      <c r="J1192">
        <v>1361.4234618999999</v>
      </c>
      <c r="K1192">
        <v>0</v>
      </c>
      <c r="L1192">
        <v>1650</v>
      </c>
      <c r="M1192">
        <v>1650</v>
      </c>
      <c r="N1192">
        <v>0</v>
      </c>
    </row>
    <row r="1193" spans="1:14" x14ac:dyDescent="0.25">
      <c r="A1193">
        <v>920.82210099999998</v>
      </c>
      <c r="B1193" s="1">
        <f>DATE(2012,11,6) + TIME(19,43,49)</f>
        <v>41219.822094907409</v>
      </c>
      <c r="C1193">
        <v>80</v>
      </c>
      <c r="D1193">
        <v>79.094985961999996</v>
      </c>
      <c r="E1193">
        <v>50</v>
      </c>
      <c r="F1193">
        <v>49.893478393999999</v>
      </c>
      <c r="G1193">
        <v>1312.9884033000001</v>
      </c>
      <c r="H1193">
        <v>1304.6937256000001</v>
      </c>
      <c r="I1193">
        <v>1375.3914795000001</v>
      </c>
      <c r="J1193">
        <v>1361.3839111</v>
      </c>
      <c r="K1193">
        <v>0</v>
      </c>
      <c r="L1193">
        <v>1650</v>
      </c>
      <c r="M1193">
        <v>1650</v>
      </c>
      <c r="N1193">
        <v>0</v>
      </c>
    </row>
    <row r="1194" spans="1:14" x14ac:dyDescent="0.25">
      <c r="A1194">
        <v>921.30983800000001</v>
      </c>
      <c r="B1194" s="1">
        <f>DATE(2012,11,7) + TIME(7,26,10)</f>
        <v>41220.309837962966</v>
      </c>
      <c r="C1194">
        <v>80</v>
      </c>
      <c r="D1194">
        <v>79.036941528</v>
      </c>
      <c r="E1194">
        <v>50</v>
      </c>
      <c r="F1194">
        <v>49.911087035999998</v>
      </c>
      <c r="G1194">
        <v>1312.9736327999999</v>
      </c>
      <c r="H1194">
        <v>1304.6768798999999</v>
      </c>
      <c r="I1194">
        <v>1375.3408202999999</v>
      </c>
      <c r="J1194">
        <v>1361.3449707</v>
      </c>
      <c r="K1194">
        <v>0</v>
      </c>
      <c r="L1194">
        <v>1650</v>
      </c>
      <c r="M1194">
        <v>1650</v>
      </c>
      <c r="N1194">
        <v>0</v>
      </c>
    </row>
    <row r="1195" spans="1:14" x14ac:dyDescent="0.25">
      <c r="A1195">
        <v>921.83806500000003</v>
      </c>
      <c r="B1195" s="1">
        <f>DATE(2012,11,7) + TIME(20,6,48)</f>
        <v>41220.838055555556</v>
      </c>
      <c r="C1195">
        <v>80</v>
      </c>
      <c r="D1195">
        <v>78.975151061999995</v>
      </c>
      <c r="E1195">
        <v>50</v>
      </c>
      <c r="F1195">
        <v>49.924312592</v>
      </c>
      <c r="G1195">
        <v>1312.9580077999999</v>
      </c>
      <c r="H1195">
        <v>1304.6589355000001</v>
      </c>
      <c r="I1195">
        <v>1375.2917480000001</v>
      </c>
      <c r="J1195">
        <v>1361.3067627</v>
      </c>
      <c r="K1195">
        <v>0</v>
      </c>
      <c r="L1195">
        <v>1650</v>
      </c>
      <c r="M1195">
        <v>1650</v>
      </c>
      <c r="N1195">
        <v>0</v>
      </c>
    </row>
    <row r="1196" spans="1:14" x14ac:dyDescent="0.25">
      <c r="A1196">
        <v>922.41591800000003</v>
      </c>
      <c r="B1196" s="1">
        <f>DATE(2012,11,8) + TIME(9,58,55)</f>
        <v>41221.415914351855</v>
      </c>
      <c r="C1196">
        <v>80</v>
      </c>
      <c r="D1196">
        <v>78.908851623999993</v>
      </c>
      <c r="E1196">
        <v>50</v>
      </c>
      <c r="F1196">
        <v>49.934116363999998</v>
      </c>
      <c r="G1196">
        <v>1312.940918</v>
      </c>
      <c r="H1196">
        <v>1304.6394043</v>
      </c>
      <c r="I1196">
        <v>1375.2435303</v>
      </c>
      <c r="J1196">
        <v>1361.2687988</v>
      </c>
      <c r="K1196">
        <v>0</v>
      </c>
      <c r="L1196">
        <v>1650</v>
      </c>
      <c r="M1196">
        <v>1650</v>
      </c>
      <c r="N1196">
        <v>0</v>
      </c>
    </row>
    <row r="1197" spans="1:14" x14ac:dyDescent="0.25">
      <c r="A1197">
        <v>923.05090099999995</v>
      </c>
      <c r="B1197" s="1">
        <f>DATE(2012,11,9) + TIME(1,13,17)</f>
        <v>41222.050891203704</v>
      </c>
      <c r="C1197">
        <v>80</v>
      </c>
      <c r="D1197">
        <v>78.837417603000006</v>
      </c>
      <c r="E1197">
        <v>50</v>
      </c>
      <c r="F1197">
        <v>49.941230773999997</v>
      </c>
      <c r="G1197">
        <v>1312.9223632999999</v>
      </c>
      <c r="H1197">
        <v>1304.6179199000001</v>
      </c>
      <c r="I1197">
        <v>1375.1956786999999</v>
      </c>
      <c r="J1197">
        <v>1361.2305908000001</v>
      </c>
      <c r="K1197">
        <v>0</v>
      </c>
      <c r="L1197">
        <v>1650</v>
      </c>
      <c r="M1197">
        <v>1650</v>
      </c>
      <c r="N1197">
        <v>0</v>
      </c>
    </row>
    <row r="1198" spans="1:14" x14ac:dyDescent="0.25">
      <c r="A1198">
        <v>923.69785300000001</v>
      </c>
      <c r="B1198" s="1">
        <f>DATE(2012,11,9) + TIME(16,44,54)</f>
        <v>41222.697847222225</v>
      </c>
      <c r="C1198">
        <v>80</v>
      </c>
      <c r="D1198">
        <v>78.764038085999999</v>
      </c>
      <c r="E1198">
        <v>50</v>
      </c>
      <c r="F1198">
        <v>49.946033477999997</v>
      </c>
      <c r="G1198">
        <v>1312.9017334</v>
      </c>
      <c r="H1198">
        <v>1304.5944824000001</v>
      </c>
      <c r="I1198">
        <v>1375.1477050999999</v>
      </c>
      <c r="J1198">
        <v>1361.1920166</v>
      </c>
      <c r="K1198">
        <v>0</v>
      </c>
      <c r="L1198">
        <v>1650</v>
      </c>
      <c r="M1198">
        <v>1650</v>
      </c>
      <c r="N1198">
        <v>0</v>
      </c>
    </row>
    <row r="1199" spans="1:14" x14ac:dyDescent="0.25">
      <c r="A1199">
        <v>924.36623099999997</v>
      </c>
      <c r="B1199" s="1">
        <f>DATE(2012,11,10) + TIME(8,47,22)</f>
        <v>41223.366226851853</v>
      </c>
      <c r="C1199">
        <v>80</v>
      </c>
      <c r="D1199">
        <v>78.688507079999994</v>
      </c>
      <c r="E1199">
        <v>50</v>
      </c>
      <c r="F1199">
        <v>49.949310302999997</v>
      </c>
      <c r="G1199">
        <v>1312.8806152</v>
      </c>
      <c r="H1199">
        <v>1304.5703125</v>
      </c>
      <c r="I1199">
        <v>1375.1026611</v>
      </c>
      <c r="J1199">
        <v>1361.1556396000001</v>
      </c>
      <c r="K1199">
        <v>0</v>
      </c>
      <c r="L1199">
        <v>1650</v>
      </c>
      <c r="M1199">
        <v>1650</v>
      </c>
      <c r="N1199">
        <v>0</v>
      </c>
    </row>
    <row r="1200" spans="1:14" x14ac:dyDescent="0.25">
      <c r="A1200">
        <v>925.065291</v>
      </c>
      <c r="B1200" s="1">
        <f>DATE(2012,11,11) + TIME(1,34,1)</f>
        <v>41224.065289351849</v>
      </c>
      <c r="C1200">
        <v>80</v>
      </c>
      <c r="D1200">
        <v>78.610397339000002</v>
      </c>
      <c r="E1200">
        <v>50</v>
      </c>
      <c r="F1200">
        <v>49.951576232999997</v>
      </c>
      <c r="G1200">
        <v>1312.8588867000001</v>
      </c>
      <c r="H1200">
        <v>1304.5452881000001</v>
      </c>
      <c r="I1200">
        <v>1375.0596923999999</v>
      </c>
      <c r="J1200">
        <v>1361.1208495999999</v>
      </c>
      <c r="K1200">
        <v>0</v>
      </c>
      <c r="L1200">
        <v>1650</v>
      </c>
      <c r="M1200">
        <v>1650</v>
      </c>
      <c r="N1200">
        <v>0</v>
      </c>
    </row>
    <row r="1201" spans="1:14" x14ac:dyDescent="0.25">
      <c r="A1201">
        <v>925.78747299999998</v>
      </c>
      <c r="B1201" s="1">
        <f>DATE(2012,11,11) + TIME(18,53,57)</f>
        <v>41224.787465277775</v>
      </c>
      <c r="C1201">
        <v>80</v>
      </c>
      <c r="D1201">
        <v>78.530303954999994</v>
      </c>
      <c r="E1201">
        <v>50</v>
      </c>
      <c r="F1201">
        <v>49.953125</v>
      </c>
      <c r="G1201">
        <v>1312.8360596</v>
      </c>
      <c r="H1201">
        <v>1304.5187988</v>
      </c>
      <c r="I1201">
        <v>1375.0178223</v>
      </c>
      <c r="J1201">
        <v>1361.0870361</v>
      </c>
      <c r="K1201">
        <v>0</v>
      </c>
      <c r="L1201">
        <v>1650</v>
      </c>
      <c r="M1201">
        <v>1650</v>
      </c>
      <c r="N1201">
        <v>0</v>
      </c>
    </row>
    <row r="1202" spans="1:14" x14ac:dyDescent="0.25">
      <c r="A1202">
        <v>926.53549299999997</v>
      </c>
      <c r="B1202" s="1">
        <f>DATE(2012,11,12) + TIME(12,51,6)</f>
        <v>41225.535486111112</v>
      </c>
      <c r="C1202">
        <v>80</v>
      </c>
      <c r="D1202">
        <v>78.448204040999997</v>
      </c>
      <c r="E1202">
        <v>50</v>
      </c>
      <c r="F1202">
        <v>49.954196930000002</v>
      </c>
      <c r="G1202">
        <v>1312.8122559000001</v>
      </c>
      <c r="H1202">
        <v>1304.4913329999999</v>
      </c>
      <c r="I1202">
        <v>1374.9775391000001</v>
      </c>
      <c r="J1202">
        <v>1361.0544434000001</v>
      </c>
      <c r="K1202">
        <v>0</v>
      </c>
      <c r="L1202">
        <v>1650</v>
      </c>
      <c r="M1202">
        <v>1650</v>
      </c>
      <c r="N1202">
        <v>0</v>
      </c>
    </row>
    <row r="1203" spans="1:14" x14ac:dyDescent="0.25">
      <c r="A1203">
        <v>927.31713300000001</v>
      </c>
      <c r="B1203" s="1">
        <f>DATE(2012,11,13) + TIME(7,36,40)</f>
        <v>41226.317129629628</v>
      </c>
      <c r="C1203">
        <v>80</v>
      </c>
      <c r="D1203">
        <v>78.363670349000003</v>
      </c>
      <c r="E1203">
        <v>50</v>
      </c>
      <c r="F1203">
        <v>49.954952239999997</v>
      </c>
      <c r="G1203">
        <v>1312.7875977000001</v>
      </c>
      <c r="H1203">
        <v>1304.4626464999999</v>
      </c>
      <c r="I1203">
        <v>1374.9385986</v>
      </c>
      <c r="J1203">
        <v>1361.0229492000001</v>
      </c>
      <c r="K1203">
        <v>0</v>
      </c>
      <c r="L1203">
        <v>1650</v>
      </c>
      <c r="M1203">
        <v>1650</v>
      </c>
      <c r="N1203">
        <v>0</v>
      </c>
    </row>
    <row r="1204" spans="1:14" x14ac:dyDescent="0.25">
      <c r="A1204">
        <v>928.14103699999998</v>
      </c>
      <c r="B1204" s="1">
        <f>DATE(2012,11,14) + TIME(3,23,5)</f>
        <v>41227.141030092593</v>
      </c>
      <c r="C1204">
        <v>80</v>
      </c>
      <c r="D1204">
        <v>78.276130675999994</v>
      </c>
      <c r="E1204">
        <v>50</v>
      </c>
      <c r="F1204">
        <v>49.955490112</v>
      </c>
      <c r="G1204">
        <v>1312.7615966999999</v>
      </c>
      <c r="H1204">
        <v>1304.4323730000001</v>
      </c>
      <c r="I1204">
        <v>1374.9002685999999</v>
      </c>
      <c r="J1204">
        <v>1360.9920654</v>
      </c>
      <c r="K1204">
        <v>0</v>
      </c>
      <c r="L1204">
        <v>1650</v>
      </c>
      <c r="M1204">
        <v>1650</v>
      </c>
      <c r="N1204">
        <v>0</v>
      </c>
    </row>
    <row r="1205" spans="1:14" x14ac:dyDescent="0.25">
      <c r="A1205">
        <v>929.01740099999995</v>
      </c>
      <c r="B1205" s="1">
        <f>DATE(2012,11,15) + TIME(0,25,3)</f>
        <v>41228.017395833333</v>
      </c>
      <c r="C1205">
        <v>80</v>
      </c>
      <c r="D1205">
        <v>78.184867858999993</v>
      </c>
      <c r="E1205">
        <v>50</v>
      </c>
      <c r="F1205">
        <v>49.955886841000002</v>
      </c>
      <c r="G1205">
        <v>1312.7341309000001</v>
      </c>
      <c r="H1205">
        <v>1304.4001464999999</v>
      </c>
      <c r="I1205">
        <v>1374.8624268000001</v>
      </c>
      <c r="J1205">
        <v>1360.9615478999999</v>
      </c>
      <c r="K1205">
        <v>0</v>
      </c>
      <c r="L1205">
        <v>1650</v>
      </c>
      <c r="M1205">
        <v>1650</v>
      </c>
      <c r="N1205">
        <v>0</v>
      </c>
    </row>
    <row r="1206" spans="1:14" x14ac:dyDescent="0.25">
      <c r="A1206">
        <v>929.95876399999997</v>
      </c>
      <c r="B1206" s="1">
        <f>DATE(2012,11,15) + TIME(23,0,37)</f>
        <v>41228.958761574075</v>
      </c>
      <c r="C1206">
        <v>80</v>
      </c>
      <c r="D1206">
        <v>78.088966369999994</v>
      </c>
      <c r="E1206">
        <v>50</v>
      </c>
      <c r="F1206">
        <v>49.956180572999997</v>
      </c>
      <c r="G1206">
        <v>1312.7045897999999</v>
      </c>
      <c r="H1206">
        <v>1304.3656006000001</v>
      </c>
      <c r="I1206">
        <v>1374.8245850000001</v>
      </c>
      <c r="J1206">
        <v>1360.9311522999999</v>
      </c>
      <c r="K1206">
        <v>0</v>
      </c>
      <c r="L1206">
        <v>1650</v>
      </c>
      <c r="M1206">
        <v>1650</v>
      </c>
      <c r="N1206">
        <v>0</v>
      </c>
    </row>
    <row r="1207" spans="1:14" x14ac:dyDescent="0.25">
      <c r="A1207">
        <v>930.95192099999997</v>
      </c>
      <c r="B1207" s="1">
        <f>DATE(2012,11,16) + TIME(22,50,46)</f>
        <v>41229.951921296299</v>
      </c>
      <c r="C1207">
        <v>80</v>
      </c>
      <c r="D1207">
        <v>77.988937378000003</v>
      </c>
      <c r="E1207">
        <v>50</v>
      </c>
      <c r="F1207">
        <v>49.956401825</v>
      </c>
      <c r="G1207">
        <v>1312.6727295000001</v>
      </c>
      <c r="H1207">
        <v>1304.3280029</v>
      </c>
      <c r="I1207">
        <v>1374.786499</v>
      </c>
      <c r="J1207">
        <v>1360.9005127</v>
      </c>
      <c r="K1207">
        <v>0</v>
      </c>
      <c r="L1207">
        <v>1650</v>
      </c>
      <c r="M1207">
        <v>1650</v>
      </c>
      <c r="N1207">
        <v>0</v>
      </c>
    </row>
    <row r="1208" spans="1:14" x14ac:dyDescent="0.25">
      <c r="A1208">
        <v>931.96927300000004</v>
      </c>
      <c r="B1208" s="1">
        <f>DATE(2012,11,17) + TIME(23,15,45)</f>
        <v>41230.969270833331</v>
      </c>
      <c r="C1208">
        <v>80</v>
      </c>
      <c r="D1208">
        <v>77.886436462000006</v>
      </c>
      <c r="E1208">
        <v>50</v>
      </c>
      <c r="F1208">
        <v>49.956562042000002</v>
      </c>
      <c r="G1208">
        <v>1312.6385498</v>
      </c>
      <c r="H1208">
        <v>1304.2879639</v>
      </c>
      <c r="I1208">
        <v>1374.7486572</v>
      </c>
      <c r="J1208">
        <v>1360.8702393000001</v>
      </c>
      <c r="K1208">
        <v>0</v>
      </c>
      <c r="L1208">
        <v>1650</v>
      </c>
      <c r="M1208">
        <v>1650</v>
      </c>
      <c r="N1208">
        <v>0</v>
      </c>
    </row>
    <row r="1209" spans="1:14" x14ac:dyDescent="0.25">
      <c r="A1209">
        <v>933.02401299999997</v>
      </c>
      <c r="B1209" s="1">
        <f>DATE(2012,11,19) + TIME(0,34,34)</f>
        <v>41232.024004629631</v>
      </c>
      <c r="C1209">
        <v>80</v>
      </c>
      <c r="D1209">
        <v>77.781402588000006</v>
      </c>
      <c r="E1209">
        <v>50</v>
      </c>
      <c r="F1209">
        <v>49.956687926999997</v>
      </c>
      <c r="G1209">
        <v>1312.6032714999999</v>
      </c>
      <c r="H1209">
        <v>1304.2462158000001</v>
      </c>
      <c r="I1209">
        <v>1374.7121582</v>
      </c>
      <c r="J1209">
        <v>1360.8410644999999</v>
      </c>
      <c r="K1209">
        <v>0</v>
      </c>
      <c r="L1209">
        <v>1650</v>
      </c>
      <c r="M1209">
        <v>1650</v>
      </c>
      <c r="N1209">
        <v>0</v>
      </c>
    </row>
    <row r="1210" spans="1:14" x14ac:dyDescent="0.25">
      <c r="A1210">
        <v>934.12980200000004</v>
      </c>
      <c r="B1210" s="1">
        <f>DATE(2012,11,20) + TIME(3,6,54)</f>
        <v>41233.129791666666</v>
      </c>
      <c r="C1210">
        <v>80</v>
      </c>
      <c r="D1210">
        <v>77.673294067</v>
      </c>
      <c r="E1210">
        <v>50</v>
      </c>
      <c r="F1210">
        <v>49.956787108999997</v>
      </c>
      <c r="G1210">
        <v>1312.5662841999999</v>
      </c>
      <c r="H1210">
        <v>1304.2021483999999</v>
      </c>
      <c r="I1210">
        <v>1374.6765137</v>
      </c>
      <c r="J1210">
        <v>1360.8126221</v>
      </c>
      <c r="K1210">
        <v>0</v>
      </c>
      <c r="L1210">
        <v>1650</v>
      </c>
      <c r="M1210">
        <v>1650</v>
      </c>
      <c r="N1210">
        <v>0</v>
      </c>
    </row>
    <row r="1211" spans="1:14" x14ac:dyDescent="0.25">
      <c r="A1211">
        <v>935.29300999999998</v>
      </c>
      <c r="B1211" s="1">
        <f>DATE(2012,11,21) + TIME(7,1,56)</f>
        <v>41234.293009259258</v>
      </c>
      <c r="C1211">
        <v>80</v>
      </c>
      <c r="D1211">
        <v>77.561660767000006</v>
      </c>
      <c r="E1211">
        <v>50</v>
      </c>
      <c r="F1211">
        <v>49.956867217999999</v>
      </c>
      <c r="G1211">
        <v>1312.5269774999999</v>
      </c>
      <c r="H1211">
        <v>1304.1552733999999</v>
      </c>
      <c r="I1211">
        <v>1374.6413574000001</v>
      </c>
      <c r="J1211">
        <v>1360.784668</v>
      </c>
      <c r="K1211">
        <v>0</v>
      </c>
      <c r="L1211">
        <v>1650</v>
      </c>
      <c r="M1211">
        <v>1650</v>
      </c>
      <c r="N1211">
        <v>0</v>
      </c>
    </row>
    <row r="1212" spans="1:14" x14ac:dyDescent="0.25">
      <c r="A1212">
        <v>936.48469599999999</v>
      </c>
      <c r="B1212" s="1">
        <f>DATE(2012,11,22) + TIME(11,37,57)</f>
        <v>41235.4846875</v>
      </c>
      <c r="C1212">
        <v>80</v>
      </c>
      <c r="D1212">
        <v>77.447799683</v>
      </c>
      <c r="E1212">
        <v>50</v>
      </c>
      <c r="F1212">
        <v>49.956932068</v>
      </c>
      <c r="G1212">
        <v>1312.4851074000001</v>
      </c>
      <c r="H1212">
        <v>1304.1053466999999</v>
      </c>
      <c r="I1212">
        <v>1374.6063231999999</v>
      </c>
      <c r="J1212">
        <v>1360.7568358999999</v>
      </c>
      <c r="K1212">
        <v>0</v>
      </c>
      <c r="L1212">
        <v>1650</v>
      </c>
      <c r="M1212">
        <v>1650</v>
      </c>
      <c r="N1212">
        <v>0</v>
      </c>
    </row>
    <row r="1213" spans="1:14" x14ac:dyDescent="0.25">
      <c r="A1213">
        <v>937.71730100000002</v>
      </c>
      <c r="B1213" s="1">
        <f>DATE(2012,11,23) + TIME(17,12,54)</f>
        <v>41236.717291666668</v>
      </c>
      <c r="C1213">
        <v>80</v>
      </c>
      <c r="D1213">
        <v>77.331710814999994</v>
      </c>
      <c r="E1213">
        <v>50</v>
      </c>
      <c r="F1213">
        <v>49.956989288000003</v>
      </c>
      <c r="G1213">
        <v>1312.4416504000001</v>
      </c>
      <c r="H1213">
        <v>1304.0529785000001</v>
      </c>
      <c r="I1213">
        <v>1374.5725098</v>
      </c>
      <c r="J1213">
        <v>1360.7299805</v>
      </c>
      <c r="K1213">
        <v>0</v>
      </c>
      <c r="L1213">
        <v>1650</v>
      </c>
      <c r="M1213">
        <v>1650</v>
      </c>
      <c r="N1213">
        <v>0</v>
      </c>
    </row>
    <row r="1214" spans="1:14" x14ac:dyDescent="0.25">
      <c r="A1214">
        <v>939.00369599999999</v>
      </c>
      <c r="B1214" s="1">
        <f>DATE(2012,11,25) + TIME(0,5,19)</f>
        <v>41238.003692129627</v>
      </c>
      <c r="C1214">
        <v>80</v>
      </c>
      <c r="D1214">
        <v>77.212890625</v>
      </c>
      <c r="E1214">
        <v>50</v>
      </c>
      <c r="F1214">
        <v>49.957038879000002</v>
      </c>
      <c r="G1214">
        <v>1312.3959961</v>
      </c>
      <c r="H1214">
        <v>1303.9978027</v>
      </c>
      <c r="I1214">
        <v>1374.5394286999999</v>
      </c>
      <c r="J1214">
        <v>1360.7037353999999</v>
      </c>
      <c r="K1214">
        <v>0</v>
      </c>
      <c r="L1214">
        <v>1650</v>
      </c>
      <c r="M1214">
        <v>1650</v>
      </c>
      <c r="N1214">
        <v>0</v>
      </c>
    </row>
    <row r="1215" spans="1:14" x14ac:dyDescent="0.25">
      <c r="A1215">
        <v>940.35861899999998</v>
      </c>
      <c r="B1215" s="1">
        <f>DATE(2012,11,26) + TIME(8,36,24)</f>
        <v>41239.358611111114</v>
      </c>
      <c r="C1215">
        <v>80</v>
      </c>
      <c r="D1215">
        <v>77.090515136999997</v>
      </c>
      <c r="E1215">
        <v>50</v>
      </c>
      <c r="F1215">
        <v>49.957088470000002</v>
      </c>
      <c r="G1215">
        <v>1312.3476562000001</v>
      </c>
      <c r="H1215">
        <v>1303.9390868999999</v>
      </c>
      <c r="I1215">
        <v>1374.5065918</v>
      </c>
      <c r="J1215">
        <v>1360.6778564000001</v>
      </c>
      <c r="K1215">
        <v>0</v>
      </c>
      <c r="L1215">
        <v>1650</v>
      </c>
      <c r="M1215">
        <v>1650</v>
      </c>
      <c r="N1215">
        <v>0</v>
      </c>
    </row>
    <row r="1216" spans="1:14" x14ac:dyDescent="0.25">
      <c r="A1216">
        <v>941.77997900000003</v>
      </c>
      <c r="B1216" s="1">
        <f>DATE(2012,11,27) + TIME(18,43,10)</f>
        <v>41240.779976851853</v>
      </c>
      <c r="C1216">
        <v>80</v>
      </c>
      <c r="D1216">
        <v>76.964347838999998</v>
      </c>
      <c r="E1216">
        <v>50</v>
      </c>
      <c r="F1216">
        <v>49.957130432</v>
      </c>
      <c r="G1216">
        <v>1312.2960204999999</v>
      </c>
      <c r="H1216">
        <v>1303.8759766000001</v>
      </c>
      <c r="I1216">
        <v>1374.4738769999999</v>
      </c>
      <c r="J1216">
        <v>1360.6520995999999</v>
      </c>
      <c r="K1216">
        <v>0</v>
      </c>
      <c r="L1216">
        <v>1650</v>
      </c>
      <c r="M1216">
        <v>1650</v>
      </c>
      <c r="N1216">
        <v>0</v>
      </c>
    </row>
    <row r="1217" spans="1:14" x14ac:dyDescent="0.25">
      <c r="A1217">
        <v>943.26884299999995</v>
      </c>
      <c r="B1217" s="1">
        <f>DATE(2012,11,29) + TIME(6,27,8)</f>
        <v>41242.268842592595</v>
      </c>
      <c r="C1217">
        <v>80</v>
      </c>
      <c r="D1217">
        <v>76.834297179999993</v>
      </c>
      <c r="E1217">
        <v>50</v>
      </c>
      <c r="F1217">
        <v>49.957176208</v>
      </c>
      <c r="G1217">
        <v>1312.2408447</v>
      </c>
      <c r="H1217">
        <v>1303.8084716999999</v>
      </c>
      <c r="I1217">
        <v>1374.4414062000001</v>
      </c>
      <c r="J1217">
        <v>1360.6264647999999</v>
      </c>
      <c r="K1217">
        <v>0</v>
      </c>
      <c r="L1217">
        <v>1650</v>
      </c>
      <c r="M1217">
        <v>1650</v>
      </c>
      <c r="N1217">
        <v>0</v>
      </c>
    </row>
    <row r="1218" spans="1:14" x14ac:dyDescent="0.25">
      <c r="A1218">
        <v>944.80786899999998</v>
      </c>
      <c r="B1218" s="1">
        <f>DATE(2012,11,30) + TIME(19,23,19)</f>
        <v>41243.807858796295</v>
      </c>
      <c r="C1218">
        <v>80</v>
      </c>
      <c r="D1218">
        <v>76.701103209999999</v>
      </c>
      <c r="E1218">
        <v>50</v>
      </c>
      <c r="F1218">
        <v>49.957218169999997</v>
      </c>
      <c r="G1218">
        <v>1312.1820068</v>
      </c>
      <c r="H1218">
        <v>1303.7362060999999</v>
      </c>
      <c r="I1218">
        <v>1374.4090576000001</v>
      </c>
      <c r="J1218">
        <v>1360.6009521000001</v>
      </c>
      <c r="K1218">
        <v>0</v>
      </c>
      <c r="L1218">
        <v>1650</v>
      </c>
      <c r="M1218">
        <v>1650</v>
      </c>
      <c r="N1218">
        <v>0</v>
      </c>
    </row>
    <row r="1219" spans="1:14" x14ac:dyDescent="0.25">
      <c r="A1219">
        <v>945</v>
      </c>
      <c r="B1219" s="1">
        <f>DATE(2012,12,1) + TIME(0,0,0)</f>
        <v>41244</v>
      </c>
      <c r="C1219">
        <v>80</v>
      </c>
      <c r="D1219">
        <v>76.668968200999998</v>
      </c>
      <c r="E1219">
        <v>50</v>
      </c>
      <c r="F1219">
        <v>49.957218169999997</v>
      </c>
      <c r="G1219">
        <v>1312.1210937999999</v>
      </c>
      <c r="H1219">
        <v>1303.6697998</v>
      </c>
      <c r="I1219">
        <v>1374.3767089999999</v>
      </c>
      <c r="J1219">
        <v>1360.5754394999999</v>
      </c>
      <c r="K1219">
        <v>0</v>
      </c>
      <c r="L1219">
        <v>1650</v>
      </c>
      <c r="M1219">
        <v>1650</v>
      </c>
      <c r="N1219">
        <v>0</v>
      </c>
    </row>
    <row r="1220" spans="1:14" x14ac:dyDescent="0.25">
      <c r="A1220">
        <v>946.56833200000005</v>
      </c>
      <c r="B1220" s="1">
        <f>DATE(2012,12,2) + TIME(13,38,23)</f>
        <v>41245.56832175926</v>
      </c>
      <c r="C1220">
        <v>80</v>
      </c>
      <c r="D1220">
        <v>76.542579650999997</v>
      </c>
      <c r="E1220">
        <v>50</v>
      </c>
      <c r="F1220">
        <v>49.957263947000001</v>
      </c>
      <c r="G1220">
        <v>1312.1113281</v>
      </c>
      <c r="H1220">
        <v>1303.6480713000001</v>
      </c>
      <c r="I1220">
        <v>1374.3735352000001</v>
      </c>
      <c r="J1220">
        <v>1360.5729980000001</v>
      </c>
      <c r="K1220">
        <v>0</v>
      </c>
      <c r="L1220">
        <v>1650</v>
      </c>
      <c r="M1220">
        <v>1650</v>
      </c>
      <c r="N1220">
        <v>0</v>
      </c>
    </row>
    <row r="1221" spans="1:14" x14ac:dyDescent="0.25">
      <c r="A1221">
        <v>948.17026299999998</v>
      </c>
      <c r="B1221" s="1">
        <f>DATE(2012,12,4) + TIME(4,5,10)</f>
        <v>41247.170254629629</v>
      </c>
      <c r="C1221">
        <v>80</v>
      </c>
      <c r="D1221">
        <v>76.410461425999998</v>
      </c>
      <c r="E1221">
        <v>50</v>
      </c>
      <c r="F1221">
        <v>49.957309723000002</v>
      </c>
      <c r="G1221">
        <v>1312.0472411999999</v>
      </c>
      <c r="H1221">
        <v>1303.5688477000001</v>
      </c>
      <c r="I1221">
        <v>1374.3430175999999</v>
      </c>
      <c r="J1221">
        <v>1360.5490723</v>
      </c>
      <c r="K1221">
        <v>0</v>
      </c>
      <c r="L1221">
        <v>1650</v>
      </c>
      <c r="M1221">
        <v>1650</v>
      </c>
      <c r="N1221">
        <v>0</v>
      </c>
    </row>
    <row r="1222" spans="1:14" x14ac:dyDescent="0.25">
      <c r="A1222">
        <v>949.80555900000002</v>
      </c>
      <c r="B1222" s="1">
        <f>DATE(2012,12,5) + TIME(19,20,0)</f>
        <v>41248.805555555555</v>
      </c>
      <c r="C1222">
        <v>80</v>
      </c>
      <c r="D1222">
        <v>76.275413513000004</v>
      </c>
      <c r="E1222">
        <v>50</v>
      </c>
      <c r="F1222">
        <v>49.957351684999999</v>
      </c>
      <c r="G1222">
        <v>1311.9802245999999</v>
      </c>
      <c r="H1222">
        <v>1303.4852295000001</v>
      </c>
      <c r="I1222">
        <v>1374.3133545000001</v>
      </c>
      <c r="J1222">
        <v>1360.5257568</v>
      </c>
      <c r="K1222">
        <v>0</v>
      </c>
      <c r="L1222">
        <v>1650</v>
      </c>
      <c r="M1222">
        <v>1650</v>
      </c>
      <c r="N1222">
        <v>0</v>
      </c>
    </row>
    <row r="1223" spans="1:14" x14ac:dyDescent="0.25">
      <c r="A1223">
        <v>951.47810600000003</v>
      </c>
      <c r="B1223" s="1">
        <f>DATE(2012,12,7) + TIME(11,28,28)</f>
        <v>41250.478101851855</v>
      </c>
      <c r="C1223">
        <v>80</v>
      </c>
      <c r="D1223">
        <v>76.138603209999999</v>
      </c>
      <c r="E1223">
        <v>50</v>
      </c>
      <c r="F1223">
        <v>49.957397460999999</v>
      </c>
      <c r="G1223">
        <v>1311.9102783000001</v>
      </c>
      <c r="H1223">
        <v>1303.3975829999999</v>
      </c>
      <c r="I1223">
        <v>1374.2845459</v>
      </c>
      <c r="J1223">
        <v>1360.5031738</v>
      </c>
      <c r="K1223">
        <v>0</v>
      </c>
      <c r="L1223">
        <v>1650</v>
      </c>
      <c r="M1223">
        <v>1650</v>
      </c>
      <c r="N1223">
        <v>0</v>
      </c>
    </row>
    <row r="1224" spans="1:14" x14ac:dyDescent="0.25">
      <c r="A1224">
        <v>953.17673600000001</v>
      </c>
      <c r="B1224" s="1">
        <f>DATE(2012,12,9) + TIME(4,14,29)</f>
        <v>41252.176724537036</v>
      </c>
      <c r="C1224">
        <v>80</v>
      </c>
      <c r="D1224">
        <v>76.000915527000004</v>
      </c>
      <c r="E1224">
        <v>50</v>
      </c>
      <c r="F1224">
        <v>49.957443237</v>
      </c>
      <c r="G1224">
        <v>1311.8372803</v>
      </c>
      <c r="H1224">
        <v>1303.3055420000001</v>
      </c>
      <c r="I1224">
        <v>1374.2563477000001</v>
      </c>
      <c r="J1224">
        <v>1360.4810791</v>
      </c>
      <c r="K1224">
        <v>0</v>
      </c>
      <c r="L1224">
        <v>1650</v>
      </c>
      <c r="M1224">
        <v>1650</v>
      </c>
      <c r="N1224">
        <v>0</v>
      </c>
    </row>
    <row r="1225" spans="1:14" x14ac:dyDescent="0.25">
      <c r="A1225">
        <v>954.90366200000005</v>
      </c>
      <c r="B1225" s="1">
        <f>DATE(2012,12,10) + TIME(21,41,16)</f>
        <v>41253.903657407405</v>
      </c>
      <c r="C1225">
        <v>80</v>
      </c>
      <c r="D1225">
        <v>75.862792968999997</v>
      </c>
      <c r="E1225">
        <v>50</v>
      </c>
      <c r="F1225">
        <v>49.957489013999997</v>
      </c>
      <c r="G1225">
        <v>1311.7615966999999</v>
      </c>
      <c r="H1225">
        <v>1303.2097168</v>
      </c>
      <c r="I1225">
        <v>1374.2290039</v>
      </c>
      <c r="J1225">
        <v>1360.4597168</v>
      </c>
      <c r="K1225">
        <v>0</v>
      </c>
      <c r="L1225">
        <v>1650</v>
      </c>
      <c r="M1225">
        <v>1650</v>
      </c>
      <c r="N1225">
        <v>0</v>
      </c>
    </row>
    <row r="1226" spans="1:14" x14ac:dyDescent="0.25">
      <c r="A1226">
        <v>956.66301399999998</v>
      </c>
      <c r="B1226" s="1">
        <f>DATE(2012,12,12) + TIME(15,54,44)</f>
        <v>41255.66300925926</v>
      </c>
      <c r="C1226">
        <v>80</v>
      </c>
      <c r="D1226">
        <v>75.724258422999995</v>
      </c>
      <c r="E1226">
        <v>50</v>
      </c>
      <c r="F1226">
        <v>49.957534789999997</v>
      </c>
      <c r="G1226">
        <v>1311.6831055</v>
      </c>
      <c r="H1226">
        <v>1303.1098632999999</v>
      </c>
      <c r="I1226">
        <v>1374.2023925999999</v>
      </c>
      <c r="J1226">
        <v>1360.4388428</v>
      </c>
      <c r="K1226">
        <v>0</v>
      </c>
      <c r="L1226">
        <v>1650</v>
      </c>
      <c r="M1226">
        <v>1650</v>
      </c>
      <c r="N1226">
        <v>0</v>
      </c>
    </row>
    <row r="1227" spans="1:14" x14ac:dyDescent="0.25">
      <c r="A1227">
        <v>958.45889199999999</v>
      </c>
      <c r="B1227" s="1">
        <f>DATE(2012,12,14) + TIME(11,0,48)</f>
        <v>41257.45888888889</v>
      </c>
      <c r="C1227">
        <v>80</v>
      </c>
      <c r="D1227">
        <v>75.585151671999995</v>
      </c>
      <c r="E1227">
        <v>50</v>
      </c>
      <c r="F1227">
        <v>49.957584380999997</v>
      </c>
      <c r="G1227">
        <v>1311.6015625</v>
      </c>
      <c r="H1227">
        <v>1303.0057373</v>
      </c>
      <c r="I1227">
        <v>1374.1763916</v>
      </c>
      <c r="J1227">
        <v>1360.4185791</v>
      </c>
      <c r="K1227">
        <v>0</v>
      </c>
      <c r="L1227">
        <v>1650</v>
      </c>
      <c r="M1227">
        <v>1650</v>
      </c>
      <c r="N1227">
        <v>0</v>
      </c>
    </row>
    <row r="1228" spans="1:14" x14ac:dyDescent="0.25">
      <c r="A1228">
        <v>960.29544399999997</v>
      </c>
      <c r="B1228" s="1">
        <f>DATE(2012,12,16) + TIME(7,5,26)</f>
        <v>41259.295439814814</v>
      </c>
      <c r="C1228">
        <v>80</v>
      </c>
      <c r="D1228">
        <v>75.445213318</v>
      </c>
      <c r="E1228">
        <v>50</v>
      </c>
      <c r="F1228">
        <v>49.957633971999996</v>
      </c>
      <c r="G1228">
        <v>1311.5166016000001</v>
      </c>
      <c r="H1228">
        <v>1302.8968506000001</v>
      </c>
      <c r="I1228">
        <v>1374.151001</v>
      </c>
      <c r="J1228">
        <v>1360.3986815999999</v>
      </c>
      <c r="K1228">
        <v>0</v>
      </c>
      <c r="L1228">
        <v>1650</v>
      </c>
      <c r="M1228">
        <v>1650</v>
      </c>
      <c r="N1228">
        <v>0</v>
      </c>
    </row>
    <row r="1229" spans="1:14" x14ac:dyDescent="0.25">
      <c r="A1229">
        <v>962.17698700000005</v>
      </c>
      <c r="B1229" s="1">
        <f>DATE(2012,12,18) + TIME(4,14,51)</f>
        <v>41261.176979166667</v>
      </c>
      <c r="C1229">
        <v>80</v>
      </c>
      <c r="D1229">
        <v>75.304161071999999</v>
      </c>
      <c r="E1229">
        <v>50</v>
      </c>
      <c r="F1229">
        <v>49.957687378000003</v>
      </c>
      <c r="G1229">
        <v>1311.4281006000001</v>
      </c>
      <c r="H1229">
        <v>1302.7827147999999</v>
      </c>
      <c r="I1229">
        <v>1374.1259766000001</v>
      </c>
      <c r="J1229">
        <v>1360.3791504000001</v>
      </c>
      <c r="K1229">
        <v>0</v>
      </c>
      <c r="L1229">
        <v>1650</v>
      </c>
      <c r="M1229">
        <v>1650</v>
      </c>
      <c r="N1229">
        <v>0</v>
      </c>
    </row>
    <row r="1230" spans="1:14" x14ac:dyDescent="0.25">
      <c r="A1230">
        <v>964.107978</v>
      </c>
      <c r="B1230" s="1">
        <f>DATE(2012,12,20) + TIME(2,35,29)</f>
        <v>41263.107974537037</v>
      </c>
      <c r="C1230">
        <v>80</v>
      </c>
      <c r="D1230">
        <v>75.161697387999993</v>
      </c>
      <c r="E1230">
        <v>50</v>
      </c>
      <c r="F1230">
        <v>49.957740784000002</v>
      </c>
      <c r="G1230">
        <v>1311.3356934000001</v>
      </c>
      <c r="H1230">
        <v>1302.6632079999999</v>
      </c>
      <c r="I1230">
        <v>1374.1014404</v>
      </c>
      <c r="J1230">
        <v>1360.3599853999999</v>
      </c>
      <c r="K1230">
        <v>0</v>
      </c>
      <c r="L1230">
        <v>1650</v>
      </c>
      <c r="M1230">
        <v>1650</v>
      </c>
      <c r="N1230">
        <v>0</v>
      </c>
    </row>
    <row r="1231" spans="1:14" x14ac:dyDescent="0.25">
      <c r="A1231">
        <v>966.09305300000005</v>
      </c>
      <c r="B1231" s="1">
        <f>DATE(2012,12,22) + TIME(2,13,59)</f>
        <v>41265.093043981484</v>
      </c>
      <c r="C1231">
        <v>80</v>
      </c>
      <c r="D1231">
        <v>75.017570496000005</v>
      </c>
      <c r="E1231">
        <v>50</v>
      </c>
      <c r="F1231">
        <v>49.957798003999997</v>
      </c>
      <c r="G1231">
        <v>1311.2388916</v>
      </c>
      <c r="H1231">
        <v>1302.5374756000001</v>
      </c>
      <c r="I1231">
        <v>1374.0772704999999</v>
      </c>
      <c r="J1231">
        <v>1360.3410644999999</v>
      </c>
      <c r="K1231">
        <v>0</v>
      </c>
      <c r="L1231">
        <v>1650</v>
      </c>
      <c r="M1231">
        <v>1650</v>
      </c>
      <c r="N1231">
        <v>0</v>
      </c>
    </row>
    <row r="1232" spans="1:14" x14ac:dyDescent="0.25">
      <c r="A1232">
        <v>968.11813199999995</v>
      </c>
      <c r="B1232" s="1">
        <f>DATE(2012,12,24) + TIME(2,50,6)</f>
        <v>41267.118125000001</v>
      </c>
      <c r="C1232">
        <v>80</v>
      </c>
      <c r="D1232">
        <v>74.871810913000004</v>
      </c>
      <c r="E1232">
        <v>50</v>
      </c>
      <c r="F1232">
        <v>49.957855225000003</v>
      </c>
      <c r="G1232">
        <v>1311.1374512</v>
      </c>
      <c r="H1232">
        <v>1302.4053954999999</v>
      </c>
      <c r="I1232">
        <v>1374.0532227000001</v>
      </c>
      <c r="J1232">
        <v>1360.3223877</v>
      </c>
      <c r="K1232">
        <v>0</v>
      </c>
      <c r="L1232">
        <v>1650</v>
      </c>
      <c r="M1232">
        <v>1650</v>
      </c>
      <c r="N1232">
        <v>0</v>
      </c>
    </row>
    <row r="1233" spans="1:14" x14ac:dyDescent="0.25">
      <c r="A1233">
        <v>970.17659400000002</v>
      </c>
      <c r="B1233" s="1">
        <f>DATE(2012,12,26) + TIME(4,14,17)</f>
        <v>41269.176585648151</v>
      </c>
      <c r="C1233">
        <v>80</v>
      </c>
      <c r="D1233">
        <v>74.724960327000005</v>
      </c>
      <c r="E1233">
        <v>50</v>
      </c>
      <c r="F1233">
        <v>49.957912444999998</v>
      </c>
      <c r="G1233">
        <v>1311.0318603999999</v>
      </c>
      <c r="H1233">
        <v>1302.2673339999999</v>
      </c>
      <c r="I1233">
        <v>1374.0296631000001</v>
      </c>
      <c r="J1233">
        <v>1360.3039550999999</v>
      </c>
      <c r="K1233">
        <v>0</v>
      </c>
      <c r="L1233">
        <v>1650</v>
      </c>
      <c r="M1233">
        <v>1650</v>
      </c>
      <c r="N1233">
        <v>0</v>
      </c>
    </row>
    <row r="1234" spans="1:14" x14ac:dyDescent="0.25">
      <c r="A1234">
        <v>972.25716999999997</v>
      </c>
      <c r="B1234" s="1">
        <f>DATE(2012,12,28) + TIME(6,10,19)</f>
        <v>41271.257164351853</v>
      </c>
      <c r="C1234">
        <v>80</v>
      </c>
      <c r="D1234">
        <v>74.577583313000005</v>
      </c>
      <c r="E1234">
        <v>50</v>
      </c>
      <c r="F1234">
        <v>49.957969665999997</v>
      </c>
      <c r="G1234">
        <v>1310.9223632999999</v>
      </c>
      <c r="H1234">
        <v>1302.1236572</v>
      </c>
      <c r="I1234">
        <v>1374.0065918</v>
      </c>
      <c r="J1234">
        <v>1360.2860106999999</v>
      </c>
      <c r="K1234">
        <v>0</v>
      </c>
      <c r="L1234">
        <v>1650</v>
      </c>
      <c r="M1234">
        <v>1650</v>
      </c>
      <c r="N1234">
        <v>0</v>
      </c>
    </row>
    <row r="1235" spans="1:14" x14ac:dyDescent="0.25">
      <c r="A1235">
        <v>974.36421399999995</v>
      </c>
      <c r="B1235" s="1">
        <f>DATE(2012,12,30) + TIME(8,44,28)</f>
        <v>41273.364212962966</v>
      </c>
      <c r="C1235">
        <v>80</v>
      </c>
      <c r="D1235">
        <v>74.429901122999993</v>
      </c>
      <c r="E1235">
        <v>50</v>
      </c>
      <c r="F1235">
        <v>49.958030700999998</v>
      </c>
      <c r="G1235">
        <v>1310.8095702999999</v>
      </c>
      <c r="H1235">
        <v>1301.9748535000001</v>
      </c>
      <c r="I1235">
        <v>1373.9841309000001</v>
      </c>
      <c r="J1235">
        <v>1360.2684326000001</v>
      </c>
      <c r="K1235">
        <v>0</v>
      </c>
      <c r="L1235">
        <v>1650</v>
      </c>
      <c r="M1235">
        <v>1650</v>
      </c>
      <c r="N1235">
        <v>0</v>
      </c>
    </row>
    <row r="1236" spans="1:14" x14ac:dyDescent="0.25">
      <c r="A1236">
        <v>976</v>
      </c>
      <c r="B1236" s="1">
        <f>DATE(2013,1,1) + TIME(0,0,0)</f>
        <v>41275</v>
      </c>
      <c r="C1236">
        <v>80</v>
      </c>
      <c r="D1236">
        <v>74.296829224000007</v>
      </c>
      <c r="E1236">
        <v>50</v>
      </c>
      <c r="F1236">
        <v>49.958072661999999</v>
      </c>
      <c r="G1236">
        <v>1310.6940918</v>
      </c>
      <c r="H1236">
        <v>1301.8240966999999</v>
      </c>
      <c r="I1236">
        <v>1373.9619141000001</v>
      </c>
      <c r="J1236">
        <v>1360.2510986</v>
      </c>
      <c r="K1236">
        <v>0</v>
      </c>
      <c r="L1236">
        <v>1650</v>
      </c>
      <c r="M1236">
        <v>1650</v>
      </c>
      <c r="N1236">
        <v>0</v>
      </c>
    </row>
    <row r="1237" spans="1:14" x14ac:dyDescent="0.25">
      <c r="A1237">
        <v>978.13838199999998</v>
      </c>
      <c r="B1237" s="1">
        <f>DATE(2013,1,3) + TIME(3,19,16)</f>
        <v>41277.138379629629</v>
      </c>
      <c r="C1237">
        <v>80</v>
      </c>
      <c r="D1237">
        <v>74.161041260000005</v>
      </c>
      <c r="E1237">
        <v>50</v>
      </c>
      <c r="F1237">
        <v>49.958137512</v>
      </c>
      <c r="G1237">
        <v>1310.5983887</v>
      </c>
      <c r="H1237">
        <v>1301.6937256000001</v>
      </c>
      <c r="I1237">
        <v>1373.9456786999999</v>
      </c>
      <c r="J1237">
        <v>1360.2384033000001</v>
      </c>
      <c r="K1237">
        <v>0</v>
      </c>
      <c r="L1237">
        <v>1650</v>
      </c>
      <c r="M1237">
        <v>1650</v>
      </c>
      <c r="N1237">
        <v>0</v>
      </c>
    </row>
    <row r="1238" spans="1:14" x14ac:dyDescent="0.25">
      <c r="A1238">
        <v>980.34319100000005</v>
      </c>
      <c r="B1238" s="1">
        <f>DATE(2013,1,5) + TIME(8,14,11)</f>
        <v>41279.343182870369</v>
      </c>
      <c r="C1238">
        <v>80</v>
      </c>
      <c r="D1238">
        <v>74.016410828000005</v>
      </c>
      <c r="E1238">
        <v>50</v>
      </c>
      <c r="F1238">
        <v>49.958198547000002</v>
      </c>
      <c r="G1238">
        <v>1310.4776611</v>
      </c>
      <c r="H1238">
        <v>1301.5339355000001</v>
      </c>
      <c r="I1238">
        <v>1373.9246826000001</v>
      </c>
      <c r="J1238">
        <v>1360.2220459</v>
      </c>
      <c r="K1238">
        <v>0</v>
      </c>
      <c r="L1238">
        <v>1650</v>
      </c>
      <c r="M1238">
        <v>1650</v>
      </c>
      <c r="N1238">
        <v>0</v>
      </c>
    </row>
    <row r="1239" spans="1:14" x14ac:dyDescent="0.25">
      <c r="A1239">
        <v>982.59059400000001</v>
      </c>
      <c r="B1239" s="1">
        <f>DATE(2013,1,7) + TIME(14,10,27)</f>
        <v>41281.590590277781</v>
      </c>
      <c r="C1239">
        <v>80</v>
      </c>
      <c r="D1239">
        <v>73.866851807000003</v>
      </c>
      <c r="E1239">
        <v>50</v>
      </c>
      <c r="F1239">
        <v>49.958263397000003</v>
      </c>
      <c r="G1239">
        <v>1310.3500977000001</v>
      </c>
      <c r="H1239">
        <v>1301.3641356999999</v>
      </c>
      <c r="I1239">
        <v>1373.9036865</v>
      </c>
      <c r="J1239">
        <v>1360.2055664</v>
      </c>
      <c r="K1239">
        <v>0</v>
      </c>
      <c r="L1239">
        <v>1650</v>
      </c>
      <c r="M1239">
        <v>1650</v>
      </c>
      <c r="N1239">
        <v>0</v>
      </c>
    </row>
    <row r="1240" spans="1:14" x14ac:dyDescent="0.25">
      <c r="A1240">
        <v>984.88554699999997</v>
      </c>
      <c r="B1240" s="1">
        <f>DATE(2013,1,9) + TIME(21,15,11)</f>
        <v>41283.88554398148</v>
      </c>
      <c r="C1240">
        <v>80</v>
      </c>
      <c r="D1240">
        <v>73.714088439999998</v>
      </c>
      <c r="E1240">
        <v>50</v>
      </c>
      <c r="F1240">
        <v>49.958328246999997</v>
      </c>
      <c r="G1240">
        <v>1310.2174072</v>
      </c>
      <c r="H1240">
        <v>1301.1864014</v>
      </c>
      <c r="I1240">
        <v>1373.8829346</v>
      </c>
      <c r="J1240">
        <v>1360.1894531</v>
      </c>
      <c r="K1240">
        <v>0</v>
      </c>
      <c r="L1240">
        <v>1650</v>
      </c>
      <c r="M1240">
        <v>1650</v>
      </c>
      <c r="N1240">
        <v>0</v>
      </c>
    </row>
    <row r="1241" spans="1:14" x14ac:dyDescent="0.25">
      <c r="A1241">
        <v>987.23091399999998</v>
      </c>
      <c r="B1241" s="1">
        <f>DATE(2013,1,12) + TIME(5,32,30)</f>
        <v>41286.230902777781</v>
      </c>
      <c r="C1241">
        <v>80</v>
      </c>
      <c r="D1241">
        <v>73.558502196999996</v>
      </c>
      <c r="E1241">
        <v>50</v>
      </c>
      <c r="F1241">
        <v>49.958396911999998</v>
      </c>
      <c r="G1241">
        <v>1310.0792236</v>
      </c>
      <c r="H1241">
        <v>1301.0009766000001</v>
      </c>
      <c r="I1241">
        <v>1373.8624268000001</v>
      </c>
      <c r="J1241">
        <v>1360.1734618999999</v>
      </c>
      <c r="K1241">
        <v>0</v>
      </c>
      <c r="L1241">
        <v>1650</v>
      </c>
      <c r="M1241">
        <v>1650</v>
      </c>
      <c r="N1241">
        <v>0</v>
      </c>
    </row>
    <row r="1242" spans="1:14" x14ac:dyDescent="0.25">
      <c r="A1242">
        <v>989.60881300000005</v>
      </c>
      <c r="B1242" s="1">
        <f>DATE(2013,1,14) + TIME(14,36,41)</f>
        <v>41288.608807870369</v>
      </c>
      <c r="C1242">
        <v>80</v>
      </c>
      <c r="D1242">
        <v>73.400444031000006</v>
      </c>
      <c r="E1242">
        <v>50</v>
      </c>
      <c r="F1242">
        <v>49.958465576000002</v>
      </c>
      <c r="G1242">
        <v>1309.9356689000001</v>
      </c>
      <c r="H1242">
        <v>1300.8076172000001</v>
      </c>
      <c r="I1242">
        <v>1373.8420410000001</v>
      </c>
      <c r="J1242">
        <v>1360.1575928</v>
      </c>
      <c r="K1242">
        <v>0</v>
      </c>
      <c r="L1242">
        <v>1650</v>
      </c>
      <c r="M1242">
        <v>1650</v>
      </c>
      <c r="N1242">
        <v>0</v>
      </c>
    </row>
    <row r="1243" spans="1:14" x14ac:dyDescent="0.25">
      <c r="A1243">
        <v>992.02437399999997</v>
      </c>
      <c r="B1243" s="1">
        <f>DATE(2013,1,17) + TIME(0,35,5)</f>
        <v>41291.024363425924</v>
      </c>
      <c r="C1243">
        <v>80</v>
      </c>
      <c r="D1243">
        <v>73.240135193</v>
      </c>
      <c r="E1243">
        <v>50</v>
      </c>
      <c r="F1243">
        <v>49.958534241000002</v>
      </c>
      <c r="G1243">
        <v>1309.7874756000001</v>
      </c>
      <c r="H1243">
        <v>1300.6074219</v>
      </c>
      <c r="I1243">
        <v>1373.8221435999999</v>
      </c>
      <c r="J1243">
        <v>1360.1419678</v>
      </c>
      <c r="K1243">
        <v>0</v>
      </c>
      <c r="L1243">
        <v>1650</v>
      </c>
      <c r="M1243">
        <v>1650</v>
      </c>
      <c r="N1243">
        <v>0</v>
      </c>
    </row>
    <row r="1244" spans="1:14" x14ac:dyDescent="0.25">
      <c r="A1244">
        <v>994.48246300000005</v>
      </c>
      <c r="B1244" s="1">
        <f>DATE(2013,1,19) + TIME(11,34,44)</f>
        <v>41293.482453703706</v>
      </c>
      <c r="C1244">
        <v>80</v>
      </c>
      <c r="D1244">
        <v>73.077285767000006</v>
      </c>
      <c r="E1244">
        <v>50</v>
      </c>
      <c r="F1244">
        <v>49.958602904999999</v>
      </c>
      <c r="G1244">
        <v>1309.6343993999999</v>
      </c>
      <c r="H1244">
        <v>1300.3999022999999</v>
      </c>
      <c r="I1244">
        <v>1373.8023682</v>
      </c>
      <c r="J1244">
        <v>1360.1264647999999</v>
      </c>
      <c r="K1244">
        <v>0</v>
      </c>
      <c r="L1244">
        <v>1650</v>
      </c>
      <c r="M1244">
        <v>1650</v>
      </c>
      <c r="N1244">
        <v>0</v>
      </c>
    </row>
    <row r="1245" spans="1:14" x14ac:dyDescent="0.25">
      <c r="A1245">
        <v>996.98793999999998</v>
      </c>
      <c r="B1245" s="1">
        <f>DATE(2013,1,21) + TIME(23,42,38)</f>
        <v>41295.987939814811</v>
      </c>
      <c r="C1245">
        <v>80</v>
      </c>
      <c r="D1245">
        <v>72.911392211999996</v>
      </c>
      <c r="E1245">
        <v>50</v>
      </c>
      <c r="F1245">
        <v>49.958675384999999</v>
      </c>
      <c r="G1245">
        <v>1309.4761963000001</v>
      </c>
      <c r="H1245">
        <v>1300.1846923999999</v>
      </c>
      <c r="I1245">
        <v>1373.7828368999999</v>
      </c>
      <c r="J1245">
        <v>1360.1112060999999</v>
      </c>
      <c r="K1245">
        <v>0</v>
      </c>
      <c r="L1245">
        <v>1650</v>
      </c>
      <c r="M1245">
        <v>1650</v>
      </c>
      <c r="N1245">
        <v>0</v>
      </c>
    </row>
    <row r="1246" spans="1:14" x14ac:dyDescent="0.25">
      <c r="A1246">
        <v>999.54570699999999</v>
      </c>
      <c r="B1246" s="1">
        <f>DATE(2013,1,24) + TIME(13,5,49)</f>
        <v>41298.545706018522</v>
      </c>
      <c r="C1246">
        <v>80</v>
      </c>
      <c r="D1246">
        <v>72.741836547999995</v>
      </c>
      <c r="E1246">
        <v>50</v>
      </c>
      <c r="F1246">
        <v>49.958747864000003</v>
      </c>
      <c r="G1246">
        <v>1309.3123779</v>
      </c>
      <c r="H1246">
        <v>1299.9613036999999</v>
      </c>
      <c r="I1246">
        <v>1373.7634277</v>
      </c>
      <c r="J1246">
        <v>1360.0960693</v>
      </c>
      <c r="K1246">
        <v>0</v>
      </c>
      <c r="L1246">
        <v>1650</v>
      </c>
      <c r="M1246">
        <v>1650</v>
      </c>
      <c r="N1246">
        <v>0</v>
      </c>
    </row>
    <row r="1247" spans="1:14" x14ac:dyDescent="0.25">
      <c r="A1247">
        <v>1002.156836</v>
      </c>
      <c r="B1247" s="1">
        <f>DATE(2013,1,27) + TIME(3,45,50)</f>
        <v>41301.156828703701</v>
      </c>
      <c r="C1247">
        <v>80</v>
      </c>
      <c r="D1247">
        <v>72.568054199000002</v>
      </c>
      <c r="E1247">
        <v>50</v>
      </c>
      <c r="F1247">
        <v>49.958820342999999</v>
      </c>
      <c r="G1247">
        <v>1309.1425781</v>
      </c>
      <c r="H1247">
        <v>1299.729126</v>
      </c>
      <c r="I1247">
        <v>1373.7440185999999</v>
      </c>
      <c r="J1247">
        <v>1360.0809326000001</v>
      </c>
      <c r="K1247">
        <v>0</v>
      </c>
      <c r="L1247">
        <v>1650</v>
      </c>
      <c r="M1247">
        <v>1650</v>
      </c>
      <c r="N1247">
        <v>0</v>
      </c>
    </row>
    <row r="1248" spans="1:14" x14ac:dyDescent="0.25">
      <c r="A1248">
        <v>1004.817354</v>
      </c>
      <c r="B1248" s="1">
        <f>DATE(2013,1,29) + TIME(19,36,59)</f>
        <v>41303.817349537036</v>
      </c>
      <c r="C1248">
        <v>80</v>
      </c>
      <c r="D1248">
        <v>72.389633179</v>
      </c>
      <c r="E1248">
        <v>50</v>
      </c>
      <c r="F1248">
        <v>49.958896637000002</v>
      </c>
      <c r="G1248">
        <v>1308.9667969</v>
      </c>
      <c r="H1248">
        <v>1299.4880370999999</v>
      </c>
      <c r="I1248">
        <v>1373.7248535000001</v>
      </c>
      <c r="J1248">
        <v>1360.065918</v>
      </c>
      <c r="K1248">
        <v>0</v>
      </c>
      <c r="L1248">
        <v>1650</v>
      </c>
      <c r="M1248">
        <v>1650</v>
      </c>
      <c r="N1248">
        <v>0</v>
      </c>
    </row>
    <row r="1249" spans="1:14" x14ac:dyDescent="0.25">
      <c r="A1249">
        <v>1007</v>
      </c>
      <c r="B1249" s="1">
        <f>DATE(2013,2,1) + TIME(0,0,0)</f>
        <v>41306</v>
      </c>
      <c r="C1249">
        <v>80</v>
      </c>
      <c r="D1249">
        <v>72.218894958000007</v>
      </c>
      <c r="E1249">
        <v>50</v>
      </c>
      <c r="F1249">
        <v>49.958953856999997</v>
      </c>
      <c r="G1249">
        <v>1308.7866211</v>
      </c>
      <c r="H1249">
        <v>1299.2423096</v>
      </c>
      <c r="I1249">
        <v>1373.7054443</v>
      </c>
      <c r="J1249">
        <v>1360.0507812000001</v>
      </c>
      <c r="K1249">
        <v>0</v>
      </c>
      <c r="L1249">
        <v>1650</v>
      </c>
      <c r="M1249">
        <v>1650</v>
      </c>
      <c r="N1249">
        <v>0</v>
      </c>
    </row>
    <row r="1250" spans="1:14" x14ac:dyDescent="0.25">
      <c r="A1250">
        <v>1009.715614</v>
      </c>
      <c r="B1250" s="1">
        <f>DATE(2013,2,3) + TIME(17,10,29)</f>
        <v>41308.715613425928</v>
      </c>
      <c r="C1250">
        <v>80</v>
      </c>
      <c r="D1250">
        <v>72.047714232999994</v>
      </c>
      <c r="E1250">
        <v>50</v>
      </c>
      <c r="F1250">
        <v>49.959033966</v>
      </c>
      <c r="G1250">
        <v>1308.6293945</v>
      </c>
      <c r="H1250">
        <v>1299.0214844</v>
      </c>
      <c r="I1250">
        <v>1373.6904297000001</v>
      </c>
      <c r="J1250">
        <v>1360.0389404</v>
      </c>
      <c r="K1250">
        <v>0</v>
      </c>
      <c r="L1250">
        <v>1650</v>
      </c>
      <c r="M1250">
        <v>1650</v>
      </c>
      <c r="N1250">
        <v>0</v>
      </c>
    </row>
    <row r="1251" spans="1:14" x14ac:dyDescent="0.25">
      <c r="A1251">
        <v>1012.509043</v>
      </c>
      <c r="B1251" s="1">
        <f>DATE(2013,2,6) + TIME(12,13,1)</f>
        <v>41311.509039351855</v>
      </c>
      <c r="C1251">
        <v>80</v>
      </c>
      <c r="D1251">
        <v>71.860313415999997</v>
      </c>
      <c r="E1251">
        <v>50</v>
      </c>
      <c r="F1251">
        <v>49.959110260000003</v>
      </c>
      <c r="G1251">
        <v>1308.4418945</v>
      </c>
      <c r="H1251">
        <v>1298.7634277</v>
      </c>
      <c r="I1251">
        <v>1373.6716309000001</v>
      </c>
      <c r="J1251">
        <v>1360.0242920000001</v>
      </c>
      <c r="K1251">
        <v>0</v>
      </c>
      <c r="L1251">
        <v>1650</v>
      </c>
      <c r="M1251">
        <v>1650</v>
      </c>
      <c r="N1251">
        <v>0</v>
      </c>
    </row>
    <row r="1252" spans="1:14" x14ac:dyDescent="0.25">
      <c r="A1252">
        <v>1015.337536</v>
      </c>
      <c r="B1252" s="1">
        <f>DATE(2013,2,9) + TIME(8,6,3)</f>
        <v>41314.337534722225</v>
      </c>
      <c r="C1252">
        <v>80</v>
      </c>
      <c r="D1252">
        <v>71.662834167</v>
      </c>
      <c r="E1252">
        <v>50</v>
      </c>
      <c r="F1252">
        <v>49.959190368999998</v>
      </c>
      <c r="G1252">
        <v>1308.2448730000001</v>
      </c>
      <c r="H1252">
        <v>1298.4907227000001</v>
      </c>
      <c r="I1252">
        <v>1373.6527100000001</v>
      </c>
      <c r="J1252">
        <v>1360.0095214999999</v>
      </c>
      <c r="K1252">
        <v>0</v>
      </c>
      <c r="L1252">
        <v>1650</v>
      </c>
      <c r="M1252">
        <v>1650</v>
      </c>
      <c r="N1252">
        <v>0</v>
      </c>
    </row>
    <row r="1253" spans="1:14" x14ac:dyDescent="0.25">
      <c r="A1253">
        <v>1018.207797</v>
      </c>
      <c r="B1253" s="1">
        <f>DATE(2013,2,12) + TIME(4,59,13)</f>
        <v>41317.207789351851</v>
      </c>
      <c r="C1253">
        <v>80</v>
      </c>
      <c r="D1253">
        <v>71.457893372000001</v>
      </c>
      <c r="E1253">
        <v>50</v>
      </c>
      <c r="F1253">
        <v>49.959270476999997</v>
      </c>
      <c r="G1253">
        <v>1308.0419922000001</v>
      </c>
      <c r="H1253">
        <v>1298.2084961</v>
      </c>
      <c r="I1253">
        <v>1373.6340332</v>
      </c>
      <c r="J1253">
        <v>1359.994751</v>
      </c>
      <c r="K1253">
        <v>0</v>
      </c>
      <c r="L1253">
        <v>1650</v>
      </c>
      <c r="M1253">
        <v>1650</v>
      </c>
      <c r="N1253">
        <v>0</v>
      </c>
    </row>
    <row r="1254" spans="1:14" x14ac:dyDescent="0.25">
      <c r="A1254">
        <v>1021.126062</v>
      </c>
      <c r="B1254" s="1">
        <f>DATE(2013,2,15) + TIME(3,1,31)</f>
        <v>41320.12605324074</v>
      </c>
      <c r="C1254">
        <v>80</v>
      </c>
      <c r="D1254">
        <v>71.245536803999997</v>
      </c>
      <c r="E1254">
        <v>50</v>
      </c>
      <c r="F1254">
        <v>49.959350585999999</v>
      </c>
      <c r="G1254">
        <v>1307.833374</v>
      </c>
      <c r="H1254">
        <v>1297.9176024999999</v>
      </c>
      <c r="I1254">
        <v>1373.6152344</v>
      </c>
      <c r="J1254">
        <v>1359.9801024999999</v>
      </c>
      <c r="K1254">
        <v>0</v>
      </c>
      <c r="L1254">
        <v>1650</v>
      </c>
      <c r="M1254">
        <v>1650</v>
      </c>
      <c r="N1254">
        <v>0</v>
      </c>
    </row>
    <row r="1255" spans="1:14" x14ac:dyDescent="0.25">
      <c r="A1255">
        <v>1024.098677</v>
      </c>
      <c r="B1255" s="1">
        <f>DATE(2013,2,18) + TIME(2,22,5)</f>
        <v>41323.098668981482</v>
      </c>
      <c r="C1255">
        <v>80</v>
      </c>
      <c r="D1255">
        <v>71.025009155000006</v>
      </c>
      <c r="E1255">
        <v>50</v>
      </c>
      <c r="F1255">
        <v>49.959430695000002</v>
      </c>
      <c r="G1255">
        <v>1307.6188964999999</v>
      </c>
      <c r="H1255">
        <v>1297.6175536999999</v>
      </c>
      <c r="I1255">
        <v>1373.5965576000001</v>
      </c>
      <c r="J1255">
        <v>1359.9654541</v>
      </c>
      <c r="K1255">
        <v>0</v>
      </c>
      <c r="L1255">
        <v>1650</v>
      </c>
      <c r="M1255">
        <v>1650</v>
      </c>
      <c r="N1255">
        <v>0</v>
      </c>
    </row>
    <row r="1256" spans="1:14" x14ac:dyDescent="0.25">
      <c r="A1256">
        <v>1027.119737</v>
      </c>
      <c r="B1256" s="1">
        <f>DATE(2013,2,21) + TIME(2,52,25)</f>
        <v>41326.119733796295</v>
      </c>
      <c r="C1256">
        <v>80</v>
      </c>
      <c r="D1256">
        <v>70.795478821000003</v>
      </c>
      <c r="E1256">
        <v>50</v>
      </c>
      <c r="F1256">
        <v>49.959510803000001</v>
      </c>
      <c r="G1256">
        <v>1307.3984375</v>
      </c>
      <c r="H1256">
        <v>1297.3079834</v>
      </c>
      <c r="I1256">
        <v>1373.5778809000001</v>
      </c>
      <c r="J1256">
        <v>1359.9506836</v>
      </c>
      <c r="K1256">
        <v>0</v>
      </c>
      <c r="L1256">
        <v>1650</v>
      </c>
      <c r="M1256">
        <v>1650</v>
      </c>
      <c r="N1256">
        <v>0</v>
      </c>
    </row>
    <row r="1257" spans="1:14" x14ac:dyDescent="0.25">
      <c r="A1257">
        <v>1030.1834819999999</v>
      </c>
      <c r="B1257" s="1">
        <f>DATE(2013,2,24) + TIME(4,24,12)</f>
        <v>41329.183472222219</v>
      </c>
      <c r="C1257">
        <v>80</v>
      </c>
      <c r="D1257">
        <v>70.556541443</v>
      </c>
      <c r="E1257">
        <v>50</v>
      </c>
      <c r="F1257">
        <v>49.959594727000002</v>
      </c>
      <c r="G1257">
        <v>1307.1719971</v>
      </c>
      <c r="H1257">
        <v>1296.9895019999999</v>
      </c>
      <c r="I1257">
        <v>1373.559082</v>
      </c>
      <c r="J1257">
        <v>1359.9359131000001</v>
      </c>
      <c r="K1257">
        <v>0</v>
      </c>
      <c r="L1257">
        <v>1650</v>
      </c>
      <c r="M1257">
        <v>1650</v>
      </c>
      <c r="N1257">
        <v>0</v>
      </c>
    </row>
    <row r="1258" spans="1:14" x14ac:dyDescent="0.25">
      <c r="A1258">
        <v>1033.296881</v>
      </c>
      <c r="B1258" s="1">
        <f>DATE(2013,2,27) + TIME(7,7,30)</f>
        <v>41332.296875</v>
      </c>
      <c r="C1258">
        <v>80</v>
      </c>
      <c r="D1258">
        <v>70.307624817000004</v>
      </c>
      <c r="E1258">
        <v>50</v>
      </c>
      <c r="F1258">
        <v>49.959678650000001</v>
      </c>
      <c r="G1258">
        <v>1306.9404297000001</v>
      </c>
      <c r="H1258">
        <v>1296.6623535000001</v>
      </c>
      <c r="I1258">
        <v>1373.5402832</v>
      </c>
      <c r="J1258">
        <v>1359.9211425999999</v>
      </c>
      <c r="K1258">
        <v>0</v>
      </c>
      <c r="L1258">
        <v>1650</v>
      </c>
      <c r="M1258">
        <v>1650</v>
      </c>
      <c r="N1258">
        <v>0</v>
      </c>
    </row>
    <row r="1259" spans="1:14" x14ac:dyDescent="0.25">
      <c r="A1259">
        <v>1035</v>
      </c>
      <c r="B1259" s="1">
        <f>DATE(2013,3,1) + TIME(0,0,0)</f>
        <v>41334</v>
      </c>
      <c r="C1259">
        <v>80</v>
      </c>
      <c r="D1259">
        <v>70.095939635999997</v>
      </c>
      <c r="E1259">
        <v>50</v>
      </c>
      <c r="F1259">
        <v>49.959720611999998</v>
      </c>
      <c r="G1259">
        <v>1306.7098389</v>
      </c>
      <c r="H1259">
        <v>1296.3444824000001</v>
      </c>
      <c r="I1259">
        <v>1373.5207519999999</v>
      </c>
      <c r="J1259">
        <v>1359.9056396000001</v>
      </c>
      <c r="K1259">
        <v>0</v>
      </c>
      <c r="L1259">
        <v>1650</v>
      </c>
      <c r="M1259">
        <v>1650</v>
      </c>
      <c r="N1259">
        <v>0</v>
      </c>
    </row>
    <row r="1260" spans="1:14" x14ac:dyDescent="0.25">
      <c r="A1260">
        <v>1038.170122</v>
      </c>
      <c r="B1260" s="1">
        <f>DATE(2013,3,4) + TIME(4,4,58)</f>
        <v>41337.170115740744</v>
      </c>
      <c r="C1260">
        <v>80</v>
      </c>
      <c r="D1260">
        <v>69.882987975999995</v>
      </c>
      <c r="E1260">
        <v>50</v>
      </c>
      <c r="F1260">
        <v>49.959808350000003</v>
      </c>
      <c r="G1260">
        <v>1306.5599365</v>
      </c>
      <c r="H1260">
        <v>1296.1169434000001</v>
      </c>
      <c r="I1260">
        <v>1373.5112305</v>
      </c>
      <c r="J1260">
        <v>1359.8980713000001</v>
      </c>
      <c r="K1260">
        <v>0</v>
      </c>
      <c r="L1260">
        <v>1650</v>
      </c>
      <c r="M1260">
        <v>1650</v>
      </c>
      <c r="N1260">
        <v>0</v>
      </c>
    </row>
    <row r="1261" spans="1:14" x14ac:dyDescent="0.25">
      <c r="A1261">
        <v>1041.443219</v>
      </c>
      <c r="B1261" s="1">
        <f>DATE(2013,3,7) + TIME(10,38,14)</f>
        <v>41340.44321759259</v>
      </c>
      <c r="C1261">
        <v>80</v>
      </c>
      <c r="D1261">
        <v>69.618644713999998</v>
      </c>
      <c r="E1261">
        <v>50</v>
      </c>
      <c r="F1261">
        <v>49.959896088000001</v>
      </c>
      <c r="G1261">
        <v>1306.3249512</v>
      </c>
      <c r="H1261">
        <v>1295.786499</v>
      </c>
      <c r="I1261">
        <v>1373.4921875</v>
      </c>
      <c r="J1261">
        <v>1359.8830565999999</v>
      </c>
      <c r="K1261">
        <v>0</v>
      </c>
      <c r="L1261">
        <v>1650</v>
      </c>
      <c r="M1261">
        <v>1650</v>
      </c>
      <c r="N1261">
        <v>0</v>
      </c>
    </row>
    <row r="1262" spans="1:14" x14ac:dyDescent="0.25">
      <c r="A1262">
        <v>1044.7734109999999</v>
      </c>
      <c r="B1262" s="1">
        <f>DATE(2013,3,10) + TIME(18,33,42)</f>
        <v>41343.773402777777</v>
      </c>
      <c r="C1262">
        <v>80</v>
      </c>
      <c r="D1262">
        <v>69.328269958000007</v>
      </c>
      <c r="E1262">
        <v>50</v>
      </c>
      <c r="F1262">
        <v>49.959983825999998</v>
      </c>
      <c r="G1262">
        <v>1306.0745850000001</v>
      </c>
      <c r="H1262">
        <v>1295.4304199000001</v>
      </c>
      <c r="I1262">
        <v>1373.4727783000001</v>
      </c>
      <c r="J1262">
        <v>1359.8676757999999</v>
      </c>
      <c r="K1262">
        <v>0</v>
      </c>
      <c r="L1262">
        <v>1650</v>
      </c>
      <c r="M1262">
        <v>1650</v>
      </c>
      <c r="N1262">
        <v>0</v>
      </c>
    </row>
    <row r="1263" spans="1:14" x14ac:dyDescent="0.25">
      <c r="A1263">
        <v>1048.1560710000001</v>
      </c>
      <c r="B1263" s="1">
        <f>DATE(2013,3,14) + TIME(3,44,44)</f>
        <v>41347.156064814815</v>
      </c>
      <c r="C1263">
        <v>80</v>
      </c>
      <c r="D1263">
        <v>69.020141601999995</v>
      </c>
      <c r="E1263">
        <v>50</v>
      </c>
      <c r="F1263">
        <v>49.960071564000003</v>
      </c>
      <c r="G1263">
        <v>1305.8165283000001</v>
      </c>
      <c r="H1263">
        <v>1295.0609131000001</v>
      </c>
      <c r="I1263">
        <v>1373.453125</v>
      </c>
      <c r="J1263">
        <v>1359.8520507999999</v>
      </c>
      <c r="K1263">
        <v>0</v>
      </c>
      <c r="L1263">
        <v>1650</v>
      </c>
      <c r="M1263">
        <v>1650</v>
      </c>
      <c r="N1263">
        <v>0</v>
      </c>
    </row>
    <row r="1264" spans="1:14" x14ac:dyDescent="0.25">
      <c r="A1264">
        <v>1051.5999420000001</v>
      </c>
      <c r="B1264" s="1">
        <f>DATE(2013,3,17) + TIME(14,23,54)</f>
        <v>41350.599930555552</v>
      </c>
      <c r="C1264">
        <v>80</v>
      </c>
      <c r="D1264">
        <v>68.695854186999995</v>
      </c>
      <c r="E1264">
        <v>50</v>
      </c>
      <c r="F1264">
        <v>49.960163115999997</v>
      </c>
      <c r="G1264">
        <v>1305.5527344</v>
      </c>
      <c r="H1264">
        <v>1294.6816406</v>
      </c>
      <c r="I1264">
        <v>1373.4332274999999</v>
      </c>
      <c r="J1264">
        <v>1359.8361815999999</v>
      </c>
      <c r="K1264">
        <v>0</v>
      </c>
      <c r="L1264">
        <v>1650</v>
      </c>
      <c r="M1264">
        <v>1650</v>
      </c>
      <c r="N1264">
        <v>0</v>
      </c>
    </row>
    <row r="1265" spans="1:14" x14ac:dyDescent="0.25">
      <c r="A1265">
        <v>1055.1141070000001</v>
      </c>
      <c r="B1265" s="1">
        <f>DATE(2013,3,21) + TIME(2,44,18)</f>
        <v>41354.11409722222</v>
      </c>
      <c r="C1265">
        <v>80</v>
      </c>
      <c r="D1265">
        <v>68.354637146000002</v>
      </c>
      <c r="E1265">
        <v>50</v>
      </c>
      <c r="F1265">
        <v>49.960254669000001</v>
      </c>
      <c r="G1265">
        <v>1305.2833252</v>
      </c>
      <c r="H1265">
        <v>1294.2929687999999</v>
      </c>
      <c r="I1265">
        <v>1373.4130858999999</v>
      </c>
      <c r="J1265">
        <v>1359.8201904</v>
      </c>
      <c r="K1265">
        <v>0</v>
      </c>
      <c r="L1265">
        <v>1650</v>
      </c>
      <c r="M1265">
        <v>1650</v>
      </c>
      <c r="N1265">
        <v>0</v>
      </c>
    </row>
    <row r="1266" spans="1:14" x14ac:dyDescent="0.25">
      <c r="A1266">
        <v>1058.708308</v>
      </c>
      <c r="B1266" s="1">
        <f>DATE(2013,3,24) + TIME(16,59,57)</f>
        <v>41357.708298611113</v>
      </c>
      <c r="C1266">
        <v>80</v>
      </c>
      <c r="D1266">
        <v>67.995018005000006</v>
      </c>
      <c r="E1266">
        <v>50</v>
      </c>
      <c r="F1266">
        <v>49.960346221999998</v>
      </c>
      <c r="G1266">
        <v>1305.0081786999999</v>
      </c>
      <c r="H1266">
        <v>1293.8944091999999</v>
      </c>
      <c r="I1266">
        <v>1373.3925781</v>
      </c>
      <c r="J1266">
        <v>1359.8037108999999</v>
      </c>
      <c r="K1266">
        <v>0</v>
      </c>
      <c r="L1266">
        <v>1650</v>
      </c>
      <c r="M1266">
        <v>1650</v>
      </c>
      <c r="N1266">
        <v>0</v>
      </c>
    </row>
    <row r="1267" spans="1:14" x14ac:dyDescent="0.25">
      <c r="A1267">
        <v>1062.3903459999999</v>
      </c>
      <c r="B1267" s="1">
        <f>DATE(2013,3,28) + TIME(9,22,5)</f>
        <v>41361.390335648146</v>
      </c>
      <c r="C1267">
        <v>80</v>
      </c>
      <c r="D1267">
        <v>67.615364075000002</v>
      </c>
      <c r="E1267">
        <v>50</v>
      </c>
      <c r="F1267">
        <v>49.960437775000003</v>
      </c>
      <c r="G1267">
        <v>1304.7268065999999</v>
      </c>
      <c r="H1267">
        <v>1293.4853516000001</v>
      </c>
      <c r="I1267">
        <v>1373.371582</v>
      </c>
      <c r="J1267">
        <v>1359.7868652</v>
      </c>
      <c r="K1267">
        <v>0</v>
      </c>
      <c r="L1267">
        <v>1650</v>
      </c>
      <c r="M1267">
        <v>1650</v>
      </c>
      <c r="N1267">
        <v>0</v>
      </c>
    </row>
    <row r="1268" spans="1:14" x14ac:dyDescent="0.25">
      <c r="A1268">
        <v>1066</v>
      </c>
      <c r="B1268" s="1">
        <f>DATE(2013,4,1) + TIME(0,0,0)</f>
        <v>41365</v>
      </c>
      <c r="C1268">
        <v>80</v>
      </c>
      <c r="D1268">
        <v>67.218215942</v>
      </c>
      <c r="E1268">
        <v>50</v>
      </c>
      <c r="F1268">
        <v>49.960529327000003</v>
      </c>
      <c r="G1268">
        <v>1304.4394531</v>
      </c>
      <c r="H1268">
        <v>1293.0668945</v>
      </c>
      <c r="I1268">
        <v>1373.3499756000001</v>
      </c>
      <c r="J1268">
        <v>1359.7694091999999</v>
      </c>
      <c r="K1268">
        <v>0</v>
      </c>
      <c r="L1268">
        <v>1650</v>
      </c>
      <c r="M1268">
        <v>1650</v>
      </c>
      <c r="N1268">
        <v>0</v>
      </c>
    </row>
    <row r="1269" spans="1:14" x14ac:dyDescent="0.25">
      <c r="A1269">
        <v>1069.750708</v>
      </c>
      <c r="B1269" s="1">
        <f>DATE(2013,4,4) + TIME(18,1,1)</f>
        <v>41368.750706018516</v>
      </c>
      <c r="C1269">
        <v>80</v>
      </c>
      <c r="D1269">
        <v>66.808441161999994</v>
      </c>
      <c r="E1269">
        <v>50</v>
      </c>
      <c r="F1269">
        <v>49.960624695</v>
      </c>
      <c r="G1269">
        <v>1304.1561279</v>
      </c>
      <c r="H1269">
        <v>1292.6508789</v>
      </c>
      <c r="I1269">
        <v>1373.3288574000001</v>
      </c>
      <c r="J1269">
        <v>1359.7523193</v>
      </c>
      <c r="K1269">
        <v>0</v>
      </c>
      <c r="L1269">
        <v>1650</v>
      </c>
      <c r="M1269">
        <v>1650</v>
      </c>
      <c r="N1269">
        <v>0</v>
      </c>
    </row>
    <row r="1270" spans="1:14" x14ac:dyDescent="0.25">
      <c r="A1270">
        <v>1073.6719740000001</v>
      </c>
      <c r="B1270" s="1">
        <f>DATE(2013,4,8) + TIME(16,7,38)</f>
        <v>41372.671967592592</v>
      </c>
      <c r="C1270">
        <v>80</v>
      </c>
      <c r="D1270">
        <v>66.373413085999999</v>
      </c>
      <c r="E1270">
        <v>50</v>
      </c>
      <c r="F1270">
        <v>49.960720062</v>
      </c>
      <c r="G1270">
        <v>1303.8649902</v>
      </c>
      <c r="H1270">
        <v>1292.2224120999999</v>
      </c>
      <c r="I1270">
        <v>1373.3067627</v>
      </c>
      <c r="J1270">
        <v>1359.734375</v>
      </c>
      <c r="K1270">
        <v>0</v>
      </c>
      <c r="L1270">
        <v>1650</v>
      </c>
      <c r="M1270">
        <v>1650</v>
      </c>
      <c r="N1270">
        <v>0</v>
      </c>
    </row>
    <row r="1271" spans="1:14" x14ac:dyDescent="0.25">
      <c r="A1271">
        <v>1077.6981539999999</v>
      </c>
      <c r="B1271" s="1">
        <f>DATE(2013,4,12) + TIME(16,45,20)</f>
        <v>41376.698148148149</v>
      </c>
      <c r="C1271">
        <v>80</v>
      </c>
      <c r="D1271">
        <v>65.908950806000007</v>
      </c>
      <c r="E1271">
        <v>50</v>
      </c>
      <c r="F1271">
        <v>49.960819244</v>
      </c>
      <c r="G1271">
        <v>1303.5632324000001</v>
      </c>
      <c r="H1271">
        <v>1291.7773437999999</v>
      </c>
      <c r="I1271">
        <v>1373.2835693</v>
      </c>
      <c r="J1271">
        <v>1359.7155762</v>
      </c>
      <c r="K1271">
        <v>0</v>
      </c>
      <c r="L1271">
        <v>1650</v>
      </c>
      <c r="M1271">
        <v>1650</v>
      </c>
      <c r="N1271">
        <v>0</v>
      </c>
    </row>
    <row r="1272" spans="1:14" x14ac:dyDescent="0.25">
      <c r="A1272">
        <v>1081.8257470000001</v>
      </c>
      <c r="B1272" s="1">
        <f>DATE(2013,4,16) + TIME(19,49,4)</f>
        <v>41380.825740740744</v>
      </c>
      <c r="C1272">
        <v>80</v>
      </c>
      <c r="D1272">
        <v>65.418159485000004</v>
      </c>
      <c r="E1272">
        <v>50</v>
      </c>
      <c r="F1272">
        <v>49.960922240999999</v>
      </c>
      <c r="G1272">
        <v>1303.2550048999999</v>
      </c>
      <c r="H1272">
        <v>1291.3204346</v>
      </c>
      <c r="I1272">
        <v>1373.2596435999999</v>
      </c>
      <c r="J1272">
        <v>1359.6959228999999</v>
      </c>
      <c r="K1272">
        <v>0</v>
      </c>
      <c r="L1272">
        <v>1650</v>
      </c>
      <c r="M1272">
        <v>1650</v>
      </c>
      <c r="N1272">
        <v>0</v>
      </c>
    </row>
    <row r="1273" spans="1:14" x14ac:dyDescent="0.25">
      <c r="A1273">
        <v>1086.0523439999999</v>
      </c>
      <c r="B1273" s="1">
        <f>DATE(2013,4,21) + TIME(1,15,22)</f>
        <v>41385.052337962959</v>
      </c>
      <c r="C1273">
        <v>80</v>
      </c>
      <c r="D1273">
        <v>64.902275084999999</v>
      </c>
      <c r="E1273">
        <v>50</v>
      </c>
      <c r="F1273">
        <v>49.961025237999998</v>
      </c>
      <c r="G1273">
        <v>1302.9417725000001</v>
      </c>
      <c r="H1273">
        <v>1290.854126</v>
      </c>
      <c r="I1273">
        <v>1373.2349853999999</v>
      </c>
      <c r="J1273">
        <v>1359.6755370999999</v>
      </c>
      <c r="K1273">
        <v>0</v>
      </c>
      <c r="L1273">
        <v>1650</v>
      </c>
      <c r="M1273">
        <v>1650</v>
      </c>
      <c r="N1273">
        <v>0</v>
      </c>
    </row>
    <row r="1274" spans="1:14" x14ac:dyDescent="0.25">
      <c r="A1274">
        <v>1090.395663</v>
      </c>
      <c r="B1274" s="1">
        <f>DATE(2013,4,25) + TIME(9,29,45)</f>
        <v>41389.39565972222</v>
      </c>
      <c r="C1274">
        <v>80</v>
      </c>
      <c r="D1274">
        <v>64.361610412999994</v>
      </c>
      <c r="E1274">
        <v>50</v>
      </c>
      <c r="F1274">
        <v>49.961128234999997</v>
      </c>
      <c r="G1274">
        <v>1302.6245117000001</v>
      </c>
      <c r="H1274">
        <v>1290.3795166</v>
      </c>
      <c r="I1274">
        <v>1373.2094727000001</v>
      </c>
      <c r="J1274">
        <v>1359.6544189000001</v>
      </c>
      <c r="K1274">
        <v>0</v>
      </c>
      <c r="L1274">
        <v>1650</v>
      </c>
      <c r="M1274">
        <v>1650</v>
      </c>
      <c r="N1274">
        <v>0</v>
      </c>
    </row>
    <row r="1275" spans="1:14" x14ac:dyDescent="0.25">
      <c r="A1275">
        <v>1094.842688</v>
      </c>
      <c r="B1275" s="1">
        <f>DATE(2013,4,29) + TIME(20,13,28)</f>
        <v>41393.842685185184</v>
      </c>
      <c r="C1275">
        <v>80</v>
      </c>
      <c r="D1275">
        <v>63.795433043999999</v>
      </c>
      <c r="E1275">
        <v>50</v>
      </c>
      <c r="F1275">
        <v>49.961235045999999</v>
      </c>
      <c r="G1275">
        <v>1302.3031006000001</v>
      </c>
      <c r="H1275">
        <v>1289.8966064000001</v>
      </c>
      <c r="I1275">
        <v>1373.1829834</v>
      </c>
      <c r="J1275">
        <v>1359.6324463000001</v>
      </c>
      <c r="K1275">
        <v>0</v>
      </c>
      <c r="L1275">
        <v>1650</v>
      </c>
      <c r="M1275">
        <v>1650</v>
      </c>
      <c r="N1275">
        <v>0</v>
      </c>
    </row>
    <row r="1276" spans="1:14" x14ac:dyDescent="0.25">
      <c r="A1276">
        <v>1096</v>
      </c>
      <c r="B1276" s="1">
        <f>DATE(2013,5,1) + TIME(0,0,0)</f>
        <v>41395</v>
      </c>
      <c r="C1276">
        <v>80</v>
      </c>
      <c r="D1276">
        <v>63.412864685000002</v>
      </c>
      <c r="E1276">
        <v>50</v>
      </c>
      <c r="F1276">
        <v>49.96125412</v>
      </c>
      <c r="G1276">
        <v>1301.9909668</v>
      </c>
      <c r="H1276">
        <v>1289.4669189000001</v>
      </c>
      <c r="I1276">
        <v>1373.1546631000001</v>
      </c>
      <c r="J1276">
        <v>1359.6087646000001</v>
      </c>
      <c r="K1276">
        <v>0</v>
      </c>
      <c r="L1276">
        <v>1650</v>
      </c>
      <c r="M1276">
        <v>1650</v>
      </c>
      <c r="N1276">
        <v>0</v>
      </c>
    </row>
    <row r="1277" spans="1:14" x14ac:dyDescent="0.25">
      <c r="A1277">
        <v>1096.0000010000001</v>
      </c>
      <c r="B1277" s="1">
        <f>DATE(2013,5,1) + TIME(0,0,0)</f>
        <v>41395</v>
      </c>
      <c r="C1277">
        <v>80</v>
      </c>
      <c r="D1277">
        <v>63.412975310999997</v>
      </c>
      <c r="E1277">
        <v>50</v>
      </c>
      <c r="F1277">
        <v>49.961177825999997</v>
      </c>
      <c r="G1277">
        <v>1315.9143065999999</v>
      </c>
      <c r="H1277">
        <v>1302.7097168</v>
      </c>
      <c r="I1277">
        <v>1359.0076904</v>
      </c>
      <c r="J1277">
        <v>1346.1929932</v>
      </c>
      <c r="K1277">
        <v>1650</v>
      </c>
      <c r="L1277">
        <v>0</v>
      </c>
      <c r="M1277">
        <v>0</v>
      </c>
      <c r="N1277">
        <v>1650</v>
      </c>
    </row>
    <row r="1278" spans="1:14" x14ac:dyDescent="0.25">
      <c r="A1278">
        <v>1096.000004</v>
      </c>
      <c r="B1278" s="1">
        <f>DATE(2013,5,1) + TIME(0,0,0)</f>
        <v>41395</v>
      </c>
      <c r="C1278">
        <v>80</v>
      </c>
      <c r="D1278">
        <v>63.413272857999999</v>
      </c>
      <c r="E1278">
        <v>50</v>
      </c>
      <c r="F1278">
        <v>49.960975646999998</v>
      </c>
      <c r="G1278">
        <v>1317.5598144999999</v>
      </c>
      <c r="H1278">
        <v>1304.5668945</v>
      </c>
      <c r="I1278">
        <v>1357.4042969</v>
      </c>
      <c r="J1278">
        <v>1344.5889893000001</v>
      </c>
      <c r="K1278">
        <v>1650</v>
      </c>
      <c r="L1278">
        <v>0</v>
      </c>
      <c r="M1278">
        <v>0</v>
      </c>
      <c r="N1278">
        <v>1650</v>
      </c>
    </row>
    <row r="1279" spans="1:14" x14ac:dyDescent="0.25">
      <c r="A1279">
        <v>1096.0000130000001</v>
      </c>
      <c r="B1279" s="1">
        <f>DATE(2013,5,1) + TIME(0,0,1)</f>
        <v>41395.000011574077</v>
      </c>
      <c r="C1279">
        <v>80</v>
      </c>
      <c r="D1279">
        <v>63.413944244</v>
      </c>
      <c r="E1279">
        <v>50</v>
      </c>
      <c r="F1279">
        <v>49.960525513</v>
      </c>
      <c r="G1279">
        <v>1321.1968993999999</v>
      </c>
      <c r="H1279">
        <v>1308.4908447</v>
      </c>
      <c r="I1279">
        <v>1353.8073730000001</v>
      </c>
      <c r="J1279">
        <v>1340.9910889</v>
      </c>
      <c r="K1279">
        <v>1650</v>
      </c>
      <c r="L1279">
        <v>0</v>
      </c>
      <c r="M1279">
        <v>0</v>
      </c>
      <c r="N1279">
        <v>1650</v>
      </c>
    </row>
    <row r="1280" spans="1:14" x14ac:dyDescent="0.25">
      <c r="A1280">
        <v>1096.0000399999999</v>
      </c>
      <c r="B1280" s="1">
        <f>DATE(2013,5,1) + TIME(0,0,3)</f>
        <v>41395.000034722223</v>
      </c>
      <c r="C1280">
        <v>80</v>
      </c>
      <c r="D1280">
        <v>63.415195464999996</v>
      </c>
      <c r="E1280">
        <v>50</v>
      </c>
      <c r="F1280">
        <v>49.959766387999998</v>
      </c>
      <c r="G1280">
        <v>1327.1857910000001</v>
      </c>
      <c r="H1280">
        <v>1314.6029053</v>
      </c>
      <c r="I1280">
        <v>1347.7952881000001</v>
      </c>
      <c r="J1280">
        <v>1334.9798584</v>
      </c>
      <c r="K1280">
        <v>1650</v>
      </c>
      <c r="L1280">
        <v>0</v>
      </c>
      <c r="M1280">
        <v>0</v>
      </c>
      <c r="N1280">
        <v>1650</v>
      </c>
    </row>
    <row r="1281" spans="1:14" x14ac:dyDescent="0.25">
      <c r="A1281">
        <v>1096.000121</v>
      </c>
      <c r="B1281" s="1">
        <f>DATE(2013,5,1) + TIME(0,0,10)</f>
        <v>41395.000115740739</v>
      </c>
      <c r="C1281">
        <v>80</v>
      </c>
      <c r="D1281">
        <v>63.417472838999998</v>
      </c>
      <c r="E1281">
        <v>50</v>
      </c>
      <c r="F1281">
        <v>49.958831787000001</v>
      </c>
      <c r="G1281">
        <v>1334.4794922000001</v>
      </c>
      <c r="H1281">
        <v>1321.8028564000001</v>
      </c>
      <c r="I1281">
        <v>1340.4538574000001</v>
      </c>
      <c r="J1281">
        <v>1327.6436768000001</v>
      </c>
      <c r="K1281">
        <v>1650</v>
      </c>
      <c r="L1281">
        <v>0</v>
      </c>
      <c r="M1281">
        <v>0</v>
      </c>
      <c r="N1281">
        <v>1650</v>
      </c>
    </row>
    <row r="1282" spans="1:14" x14ac:dyDescent="0.25">
      <c r="A1282">
        <v>1096.000364</v>
      </c>
      <c r="B1282" s="1">
        <f>DATE(2013,5,1) + TIME(0,0,31)</f>
        <v>41395.000358796293</v>
      </c>
      <c r="C1282">
        <v>80</v>
      </c>
      <c r="D1282">
        <v>63.422470093000001</v>
      </c>
      <c r="E1282">
        <v>50</v>
      </c>
      <c r="F1282">
        <v>49.957851410000004</v>
      </c>
      <c r="G1282">
        <v>1342.0941161999999</v>
      </c>
      <c r="H1282">
        <v>1329.2800293</v>
      </c>
      <c r="I1282">
        <v>1332.8918457</v>
      </c>
      <c r="J1282">
        <v>1320.0909423999999</v>
      </c>
      <c r="K1282">
        <v>1650</v>
      </c>
      <c r="L1282">
        <v>0</v>
      </c>
      <c r="M1282">
        <v>0</v>
      </c>
      <c r="N1282">
        <v>1650</v>
      </c>
    </row>
    <row r="1283" spans="1:14" x14ac:dyDescent="0.25">
      <c r="A1283">
        <v>1096.0010930000001</v>
      </c>
      <c r="B1283" s="1">
        <f>DATE(2013,5,1) + TIME(0,1,34)</f>
        <v>41395.001087962963</v>
      </c>
      <c r="C1283">
        <v>80</v>
      </c>
      <c r="D1283">
        <v>63.435623169000003</v>
      </c>
      <c r="E1283">
        <v>50</v>
      </c>
      <c r="F1283">
        <v>49.956809997999997</v>
      </c>
      <c r="G1283">
        <v>1349.9582519999999</v>
      </c>
      <c r="H1283">
        <v>1336.9968262</v>
      </c>
      <c r="I1283">
        <v>1325.315918</v>
      </c>
      <c r="J1283">
        <v>1312.5189209</v>
      </c>
      <c r="K1283">
        <v>1650</v>
      </c>
      <c r="L1283">
        <v>0</v>
      </c>
      <c r="M1283">
        <v>0</v>
      </c>
      <c r="N1283">
        <v>1650</v>
      </c>
    </row>
    <row r="1284" spans="1:14" x14ac:dyDescent="0.25">
      <c r="A1284">
        <v>1096.0032799999999</v>
      </c>
      <c r="B1284" s="1">
        <f>DATE(2013,5,1) + TIME(0,4,43)</f>
        <v>41395.003275462965</v>
      </c>
      <c r="C1284">
        <v>80</v>
      </c>
      <c r="D1284">
        <v>63.473438262999998</v>
      </c>
      <c r="E1284">
        <v>50</v>
      </c>
      <c r="F1284">
        <v>49.955585480000003</v>
      </c>
      <c r="G1284">
        <v>1358.1325684000001</v>
      </c>
      <c r="H1284">
        <v>1345.0129394999999</v>
      </c>
      <c r="I1284">
        <v>1317.6949463000001</v>
      </c>
      <c r="J1284">
        <v>1304.8558350000001</v>
      </c>
      <c r="K1284">
        <v>1650</v>
      </c>
      <c r="L1284">
        <v>0</v>
      </c>
      <c r="M1284">
        <v>0</v>
      </c>
      <c r="N1284">
        <v>1650</v>
      </c>
    </row>
    <row r="1285" spans="1:14" x14ac:dyDescent="0.25">
      <c r="A1285">
        <v>1096.0098410000001</v>
      </c>
      <c r="B1285" s="1">
        <f>DATE(2013,5,1) + TIME(0,14,10)</f>
        <v>41395.009837962964</v>
      </c>
      <c r="C1285">
        <v>80</v>
      </c>
      <c r="D1285">
        <v>63.585067748999997</v>
      </c>
      <c r="E1285">
        <v>50</v>
      </c>
      <c r="F1285">
        <v>49.953880310000002</v>
      </c>
      <c r="G1285">
        <v>1365.7468262</v>
      </c>
      <c r="H1285">
        <v>1352.5124512</v>
      </c>
      <c r="I1285">
        <v>1310.5692139</v>
      </c>
      <c r="J1285">
        <v>1297.6479492000001</v>
      </c>
      <c r="K1285">
        <v>1650</v>
      </c>
      <c r="L1285">
        <v>0</v>
      </c>
      <c r="M1285">
        <v>0</v>
      </c>
      <c r="N1285">
        <v>1650</v>
      </c>
    </row>
    <row r="1286" spans="1:14" x14ac:dyDescent="0.25">
      <c r="A1286">
        <v>1096.029524</v>
      </c>
      <c r="B1286" s="1">
        <f>DATE(2013,5,1) + TIME(0,42,30)</f>
        <v>41395.029513888891</v>
      </c>
      <c r="C1286">
        <v>80</v>
      </c>
      <c r="D1286">
        <v>63.912586212000001</v>
      </c>
      <c r="E1286">
        <v>50</v>
      </c>
      <c r="F1286">
        <v>49.950836182000003</v>
      </c>
      <c r="G1286">
        <v>1371.1712646000001</v>
      </c>
      <c r="H1286">
        <v>1357.9360352000001</v>
      </c>
      <c r="I1286">
        <v>1305.4154053</v>
      </c>
      <c r="J1286">
        <v>1292.4357910000001</v>
      </c>
      <c r="K1286">
        <v>1650</v>
      </c>
      <c r="L1286">
        <v>0</v>
      </c>
      <c r="M1286">
        <v>0</v>
      </c>
      <c r="N1286">
        <v>1650</v>
      </c>
    </row>
    <row r="1287" spans="1:14" x14ac:dyDescent="0.25">
      <c r="A1287">
        <v>1096.0676129999999</v>
      </c>
      <c r="B1287" s="1">
        <f>DATE(2013,5,1) + TIME(1,37,21)</f>
        <v>41395.067604166667</v>
      </c>
      <c r="C1287">
        <v>80</v>
      </c>
      <c r="D1287">
        <v>64.521827697999996</v>
      </c>
      <c r="E1287">
        <v>50</v>
      </c>
      <c r="F1287">
        <v>49.946025847999998</v>
      </c>
      <c r="G1287">
        <v>1373.4056396000001</v>
      </c>
      <c r="H1287">
        <v>1360.2731934000001</v>
      </c>
      <c r="I1287">
        <v>1303.4364014</v>
      </c>
      <c r="J1287">
        <v>1290.4376221</v>
      </c>
      <c r="K1287">
        <v>1650</v>
      </c>
      <c r="L1287">
        <v>0</v>
      </c>
      <c r="M1287">
        <v>0</v>
      </c>
      <c r="N1287">
        <v>1650</v>
      </c>
    </row>
    <row r="1288" spans="1:14" x14ac:dyDescent="0.25">
      <c r="A1288">
        <v>1096.10652</v>
      </c>
      <c r="B1288" s="1">
        <f>DATE(2013,5,1) + TIME(2,33,23)</f>
        <v>41395.106516203705</v>
      </c>
      <c r="C1288">
        <v>80</v>
      </c>
      <c r="D1288">
        <v>65.120437621999997</v>
      </c>
      <c r="E1288">
        <v>50</v>
      </c>
      <c r="F1288">
        <v>49.941356659</v>
      </c>
      <c r="G1288">
        <v>1373.9841309000001</v>
      </c>
      <c r="H1288">
        <v>1360.9519043</v>
      </c>
      <c r="I1288">
        <v>1303.0234375</v>
      </c>
      <c r="J1288">
        <v>1290.0201416</v>
      </c>
      <c r="K1288">
        <v>1650</v>
      </c>
      <c r="L1288">
        <v>0</v>
      </c>
      <c r="M1288">
        <v>0</v>
      </c>
      <c r="N1288">
        <v>1650</v>
      </c>
    </row>
    <row r="1289" spans="1:14" x14ac:dyDescent="0.25">
      <c r="A1289">
        <v>1096.146203</v>
      </c>
      <c r="B1289" s="1">
        <f>DATE(2013,5,1) + TIME(3,30,31)</f>
        <v>41395.146192129629</v>
      </c>
      <c r="C1289">
        <v>80</v>
      </c>
      <c r="D1289">
        <v>65.707359314000001</v>
      </c>
      <c r="E1289">
        <v>50</v>
      </c>
      <c r="F1289">
        <v>49.936687468999999</v>
      </c>
      <c r="G1289">
        <v>1374.0914307</v>
      </c>
      <c r="H1289">
        <v>1361.1582031</v>
      </c>
      <c r="I1289">
        <v>1302.9642334</v>
      </c>
      <c r="J1289">
        <v>1289.9595947</v>
      </c>
      <c r="K1289">
        <v>1650</v>
      </c>
      <c r="L1289">
        <v>0</v>
      </c>
      <c r="M1289">
        <v>0</v>
      </c>
      <c r="N1289">
        <v>1650</v>
      </c>
    </row>
    <row r="1290" spans="1:14" x14ac:dyDescent="0.25">
      <c r="A1290">
        <v>1096.186676</v>
      </c>
      <c r="B1290" s="1">
        <f>DATE(2013,5,1) + TIME(4,28,48)</f>
        <v>41395.186666666668</v>
      </c>
      <c r="C1290">
        <v>80</v>
      </c>
      <c r="D1290">
        <v>66.282272339000002</v>
      </c>
      <c r="E1290">
        <v>50</v>
      </c>
      <c r="F1290">
        <v>49.931976317999997</v>
      </c>
      <c r="G1290">
        <v>1374.0439452999999</v>
      </c>
      <c r="H1290">
        <v>1361.2064209</v>
      </c>
      <c r="I1290">
        <v>1302.9758300999999</v>
      </c>
      <c r="J1290">
        <v>1289.9705810999999</v>
      </c>
      <c r="K1290">
        <v>1650</v>
      </c>
      <c r="L1290">
        <v>0</v>
      </c>
      <c r="M1290">
        <v>0</v>
      </c>
      <c r="N1290">
        <v>1650</v>
      </c>
    </row>
    <row r="1291" spans="1:14" x14ac:dyDescent="0.25">
      <c r="A1291">
        <v>1096.2279739999999</v>
      </c>
      <c r="B1291" s="1">
        <f>DATE(2013,5,1) + TIME(5,28,16)</f>
        <v>41395.227962962963</v>
      </c>
      <c r="C1291">
        <v>80</v>
      </c>
      <c r="D1291">
        <v>66.845191955999994</v>
      </c>
      <c r="E1291">
        <v>50</v>
      </c>
      <c r="F1291">
        <v>49.927223206000001</v>
      </c>
      <c r="G1291">
        <v>1373.9412841999999</v>
      </c>
      <c r="H1291">
        <v>1361.1960449000001</v>
      </c>
      <c r="I1291">
        <v>1302.9932861</v>
      </c>
      <c r="J1291">
        <v>1289.987793</v>
      </c>
      <c r="K1291">
        <v>1650</v>
      </c>
      <c r="L1291">
        <v>0</v>
      </c>
      <c r="M1291">
        <v>0</v>
      </c>
      <c r="N1291">
        <v>1650</v>
      </c>
    </row>
    <row r="1292" spans="1:14" x14ac:dyDescent="0.25">
      <c r="A1292">
        <v>1096.270139</v>
      </c>
      <c r="B1292" s="1">
        <f>DATE(2013,5,1) + TIME(6,29,0)</f>
        <v>41395.270138888889</v>
      </c>
      <c r="C1292">
        <v>80</v>
      </c>
      <c r="D1292">
        <v>67.396224975999999</v>
      </c>
      <c r="E1292">
        <v>50</v>
      </c>
      <c r="F1292">
        <v>49.922412872000002</v>
      </c>
      <c r="G1292">
        <v>1373.8192139</v>
      </c>
      <c r="H1292">
        <v>1361.1625977000001</v>
      </c>
      <c r="I1292">
        <v>1303.0053711</v>
      </c>
      <c r="J1292">
        <v>1289.9995117000001</v>
      </c>
      <c r="K1292">
        <v>1650</v>
      </c>
      <c r="L1292">
        <v>0</v>
      </c>
      <c r="M1292">
        <v>0</v>
      </c>
      <c r="N1292">
        <v>1650</v>
      </c>
    </row>
    <row r="1293" spans="1:14" x14ac:dyDescent="0.25">
      <c r="A1293">
        <v>1096.3132169999999</v>
      </c>
      <c r="B1293" s="1">
        <f>DATE(2013,5,1) + TIME(7,31,1)</f>
        <v>41395.313206018516</v>
      </c>
      <c r="C1293">
        <v>80</v>
      </c>
      <c r="D1293">
        <v>67.935455321999996</v>
      </c>
      <c r="E1293">
        <v>50</v>
      </c>
      <c r="F1293">
        <v>49.917549133000001</v>
      </c>
      <c r="G1293">
        <v>1373.6916504000001</v>
      </c>
      <c r="H1293">
        <v>1361.1201172000001</v>
      </c>
      <c r="I1293">
        <v>1303.012207</v>
      </c>
      <c r="J1293">
        <v>1290.0059814000001</v>
      </c>
      <c r="K1293">
        <v>1650</v>
      </c>
      <c r="L1293">
        <v>0</v>
      </c>
      <c r="M1293">
        <v>0</v>
      </c>
      <c r="N1293">
        <v>1650</v>
      </c>
    </row>
    <row r="1294" spans="1:14" x14ac:dyDescent="0.25">
      <c r="A1294">
        <v>1096.357258</v>
      </c>
      <c r="B1294" s="1">
        <f>DATE(2013,5,1) + TIME(8,34,27)</f>
        <v>41395.357256944444</v>
      </c>
      <c r="C1294">
        <v>80</v>
      </c>
      <c r="D1294">
        <v>68.462966918999996</v>
      </c>
      <c r="E1294">
        <v>50</v>
      </c>
      <c r="F1294">
        <v>49.912628173999998</v>
      </c>
      <c r="G1294">
        <v>1373.5642089999999</v>
      </c>
      <c r="H1294">
        <v>1361.074707</v>
      </c>
      <c r="I1294">
        <v>1303.0157471</v>
      </c>
      <c r="J1294">
        <v>1290.0092772999999</v>
      </c>
      <c r="K1294">
        <v>1650</v>
      </c>
      <c r="L1294">
        <v>0</v>
      </c>
      <c r="M1294">
        <v>0</v>
      </c>
      <c r="N1294">
        <v>1650</v>
      </c>
    </row>
    <row r="1295" spans="1:14" x14ac:dyDescent="0.25">
      <c r="A1295">
        <v>1096.4023079999999</v>
      </c>
      <c r="B1295" s="1">
        <f>DATE(2013,5,1) + TIME(9,39,19)</f>
        <v>41395.402303240742</v>
      </c>
      <c r="C1295">
        <v>80</v>
      </c>
      <c r="D1295">
        <v>68.978767395000006</v>
      </c>
      <c r="E1295">
        <v>50</v>
      </c>
      <c r="F1295">
        <v>49.907642365000001</v>
      </c>
      <c r="G1295">
        <v>1373.4393310999999</v>
      </c>
      <c r="H1295">
        <v>1361.0286865</v>
      </c>
      <c r="I1295">
        <v>1303.0177002</v>
      </c>
      <c r="J1295">
        <v>1290.0107422000001</v>
      </c>
      <c r="K1295">
        <v>1650</v>
      </c>
      <c r="L1295">
        <v>0</v>
      </c>
      <c r="M1295">
        <v>0</v>
      </c>
      <c r="N1295">
        <v>1650</v>
      </c>
    </row>
    <row r="1296" spans="1:14" x14ac:dyDescent="0.25">
      <c r="A1296">
        <v>1096.448425</v>
      </c>
      <c r="B1296" s="1">
        <f>DATE(2013,5,1) + TIME(10,45,43)</f>
        <v>41395.448414351849</v>
      </c>
      <c r="C1296">
        <v>80</v>
      </c>
      <c r="D1296">
        <v>69.482963561999995</v>
      </c>
      <c r="E1296">
        <v>50</v>
      </c>
      <c r="F1296">
        <v>49.902591704999999</v>
      </c>
      <c r="G1296">
        <v>1373.3181152</v>
      </c>
      <c r="H1296">
        <v>1360.9832764</v>
      </c>
      <c r="I1296">
        <v>1303.0185547000001</v>
      </c>
      <c r="J1296">
        <v>1290.0113524999999</v>
      </c>
      <c r="K1296">
        <v>1650</v>
      </c>
      <c r="L1296">
        <v>0</v>
      </c>
      <c r="M1296">
        <v>0</v>
      </c>
      <c r="N1296">
        <v>1650</v>
      </c>
    </row>
    <row r="1297" spans="1:14" x14ac:dyDescent="0.25">
      <c r="A1297">
        <v>1096.495676</v>
      </c>
      <c r="B1297" s="1">
        <f>DATE(2013,5,1) + TIME(11,53,46)</f>
        <v>41395.495671296296</v>
      </c>
      <c r="C1297">
        <v>80</v>
      </c>
      <c r="D1297">
        <v>69.975631714000002</v>
      </c>
      <c r="E1297">
        <v>50</v>
      </c>
      <c r="F1297">
        <v>49.897468566999997</v>
      </c>
      <c r="G1297">
        <v>1373.2008057</v>
      </c>
      <c r="H1297">
        <v>1360.9388428</v>
      </c>
      <c r="I1297">
        <v>1303.0189209</v>
      </c>
      <c r="J1297">
        <v>1290.0114745999999</v>
      </c>
      <c r="K1297">
        <v>1650</v>
      </c>
      <c r="L1297">
        <v>0</v>
      </c>
      <c r="M1297">
        <v>0</v>
      </c>
      <c r="N1297">
        <v>1650</v>
      </c>
    </row>
    <row r="1298" spans="1:14" x14ac:dyDescent="0.25">
      <c r="A1298">
        <v>1096.5441249999999</v>
      </c>
      <c r="B1298" s="1">
        <f>DATE(2013,5,1) + TIME(13,3,32)</f>
        <v>41395.544120370374</v>
      </c>
      <c r="C1298">
        <v>80</v>
      </c>
      <c r="D1298">
        <v>70.456504821999999</v>
      </c>
      <c r="E1298">
        <v>50</v>
      </c>
      <c r="F1298">
        <v>49.892269134999999</v>
      </c>
      <c r="G1298">
        <v>1373.0875243999999</v>
      </c>
      <c r="H1298">
        <v>1360.8956298999999</v>
      </c>
      <c r="I1298">
        <v>1303.0191649999999</v>
      </c>
      <c r="J1298">
        <v>1290.0112305</v>
      </c>
      <c r="K1298">
        <v>1650</v>
      </c>
      <c r="L1298">
        <v>0</v>
      </c>
      <c r="M1298">
        <v>0</v>
      </c>
      <c r="N1298">
        <v>1650</v>
      </c>
    </row>
    <row r="1299" spans="1:14" x14ac:dyDescent="0.25">
      <c r="A1299">
        <v>1096.593844</v>
      </c>
      <c r="B1299" s="1">
        <f>DATE(2013,5,1) + TIME(14,15,8)</f>
        <v>41395.593842592592</v>
      </c>
      <c r="C1299">
        <v>80</v>
      </c>
      <c r="D1299">
        <v>70.925903320000003</v>
      </c>
      <c r="E1299">
        <v>50</v>
      </c>
      <c r="F1299">
        <v>49.886985779</v>
      </c>
      <c r="G1299">
        <v>1372.9780272999999</v>
      </c>
      <c r="H1299">
        <v>1360.8536377</v>
      </c>
      <c r="I1299">
        <v>1303.0191649999999</v>
      </c>
      <c r="J1299">
        <v>1290.0108643000001</v>
      </c>
      <c r="K1299">
        <v>1650</v>
      </c>
      <c r="L1299">
        <v>0</v>
      </c>
      <c r="M1299">
        <v>0</v>
      </c>
      <c r="N1299">
        <v>1650</v>
      </c>
    </row>
    <row r="1300" spans="1:14" x14ac:dyDescent="0.25">
      <c r="A1300">
        <v>1096.6449090000001</v>
      </c>
      <c r="B1300" s="1">
        <f>DATE(2013,5,1) + TIME(15,28,40)</f>
        <v>41395.644907407404</v>
      </c>
      <c r="C1300">
        <v>80</v>
      </c>
      <c r="D1300">
        <v>71.383880614999995</v>
      </c>
      <c r="E1300">
        <v>50</v>
      </c>
      <c r="F1300">
        <v>49.881614685000002</v>
      </c>
      <c r="G1300">
        <v>1372.8723144999999</v>
      </c>
      <c r="H1300">
        <v>1360.8128661999999</v>
      </c>
      <c r="I1300">
        <v>1303.019043</v>
      </c>
      <c r="J1300">
        <v>1290.010376</v>
      </c>
      <c r="K1300">
        <v>1650</v>
      </c>
      <c r="L1300">
        <v>0</v>
      </c>
      <c r="M1300">
        <v>0</v>
      </c>
      <c r="N1300">
        <v>1650</v>
      </c>
    </row>
    <row r="1301" spans="1:14" x14ac:dyDescent="0.25">
      <c r="A1301">
        <v>1096.6974029999999</v>
      </c>
      <c r="B1301" s="1">
        <f>DATE(2013,5,1) + TIME(16,44,15)</f>
        <v>41395.697395833333</v>
      </c>
      <c r="C1301">
        <v>80</v>
      </c>
      <c r="D1301">
        <v>71.830444335999999</v>
      </c>
      <c r="E1301">
        <v>50</v>
      </c>
      <c r="F1301">
        <v>49.876152038999997</v>
      </c>
      <c r="G1301">
        <v>1372.7701416</v>
      </c>
      <c r="H1301">
        <v>1360.7731934000001</v>
      </c>
      <c r="I1301">
        <v>1303.0189209</v>
      </c>
      <c r="J1301">
        <v>1290.0098877</v>
      </c>
      <c r="K1301">
        <v>1650</v>
      </c>
      <c r="L1301">
        <v>0</v>
      </c>
      <c r="M1301">
        <v>0</v>
      </c>
      <c r="N1301">
        <v>1650</v>
      </c>
    </row>
    <row r="1302" spans="1:14" x14ac:dyDescent="0.25">
      <c r="A1302">
        <v>1096.7514160000001</v>
      </c>
      <c r="B1302" s="1">
        <f>DATE(2013,5,1) + TIME(18,2,2)</f>
        <v>41395.75141203704</v>
      </c>
      <c r="C1302">
        <v>80</v>
      </c>
      <c r="D1302">
        <v>72.265602111999996</v>
      </c>
      <c r="E1302">
        <v>50</v>
      </c>
      <c r="F1302">
        <v>49.870586394999997</v>
      </c>
      <c r="G1302">
        <v>1372.6713867000001</v>
      </c>
      <c r="H1302">
        <v>1360.7344971</v>
      </c>
      <c r="I1302">
        <v>1303.0187988</v>
      </c>
      <c r="J1302">
        <v>1290.0092772999999</v>
      </c>
      <c r="K1302">
        <v>1650</v>
      </c>
      <c r="L1302">
        <v>0</v>
      </c>
      <c r="M1302">
        <v>0</v>
      </c>
      <c r="N1302">
        <v>1650</v>
      </c>
    </row>
    <row r="1303" spans="1:14" x14ac:dyDescent="0.25">
      <c r="A1303">
        <v>1096.807047</v>
      </c>
      <c r="B1303" s="1">
        <f>DATE(2013,5,1) + TIME(19,22,8)</f>
        <v>41395.807037037041</v>
      </c>
      <c r="C1303">
        <v>80</v>
      </c>
      <c r="D1303">
        <v>72.689353943</v>
      </c>
      <c r="E1303">
        <v>50</v>
      </c>
      <c r="F1303">
        <v>49.864913940000001</v>
      </c>
      <c r="G1303">
        <v>1372.5759277</v>
      </c>
      <c r="H1303">
        <v>1360.6966553</v>
      </c>
      <c r="I1303">
        <v>1303.0185547000001</v>
      </c>
      <c r="J1303">
        <v>1290.0086670000001</v>
      </c>
      <c r="K1303">
        <v>1650</v>
      </c>
      <c r="L1303">
        <v>0</v>
      </c>
      <c r="M1303">
        <v>0</v>
      </c>
      <c r="N1303">
        <v>1650</v>
      </c>
    </row>
    <row r="1304" spans="1:14" x14ac:dyDescent="0.25">
      <c r="A1304">
        <v>1096.8643999999999</v>
      </c>
      <c r="B1304" s="1">
        <f>DATE(2013,5,1) + TIME(20,44,44)</f>
        <v>41395.864398148151</v>
      </c>
      <c r="C1304">
        <v>80</v>
      </c>
      <c r="D1304">
        <v>73.101676940999994</v>
      </c>
      <c r="E1304">
        <v>50</v>
      </c>
      <c r="F1304">
        <v>49.859127045000001</v>
      </c>
      <c r="G1304">
        <v>1372.4833983999999</v>
      </c>
      <c r="H1304">
        <v>1360.6597899999999</v>
      </c>
      <c r="I1304">
        <v>1303.0183105000001</v>
      </c>
      <c r="J1304">
        <v>1290.0079346</v>
      </c>
      <c r="K1304">
        <v>1650</v>
      </c>
      <c r="L1304">
        <v>0</v>
      </c>
      <c r="M1304">
        <v>0</v>
      </c>
      <c r="N1304">
        <v>1650</v>
      </c>
    </row>
    <row r="1305" spans="1:14" x14ac:dyDescent="0.25">
      <c r="A1305">
        <v>1096.923605</v>
      </c>
      <c r="B1305" s="1">
        <f>DATE(2013,5,1) + TIME(22,9,59)</f>
        <v>41395.92359953704</v>
      </c>
      <c r="C1305">
        <v>80</v>
      </c>
      <c r="D1305">
        <v>73.502624511999997</v>
      </c>
      <c r="E1305">
        <v>50</v>
      </c>
      <c r="F1305">
        <v>49.853218079000001</v>
      </c>
      <c r="G1305">
        <v>1372.3936768000001</v>
      </c>
      <c r="H1305">
        <v>1360.6236572</v>
      </c>
      <c r="I1305">
        <v>1303.0179443</v>
      </c>
      <c r="J1305">
        <v>1290.0072021000001</v>
      </c>
      <c r="K1305">
        <v>1650</v>
      </c>
      <c r="L1305">
        <v>0</v>
      </c>
      <c r="M1305">
        <v>0</v>
      </c>
      <c r="N1305">
        <v>1650</v>
      </c>
    </row>
    <row r="1306" spans="1:14" x14ac:dyDescent="0.25">
      <c r="A1306">
        <v>1096.9847970000001</v>
      </c>
      <c r="B1306" s="1">
        <f>DATE(2013,5,1) + TIME(23,38,6)</f>
        <v>41395.984791666669</v>
      </c>
      <c r="C1306">
        <v>80</v>
      </c>
      <c r="D1306">
        <v>73.892204285000005</v>
      </c>
      <c r="E1306">
        <v>50</v>
      </c>
      <c r="F1306">
        <v>49.847171783</v>
      </c>
      <c r="G1306">
        <v>1372.3066406</v>
      </c>
      <c r="H1306">
        <v>1360.5881348</v>
      </c>
      <c r="I1306">
        <v>1303.0175781</v>
      </c>
      <c r="J1306">
        <v>1290.0064697</v>
      </c>
      <c r="K1306">
        <v>1650</v>
      </c>
      <c r="L1306">
        <v>0</v>
      </c>
      <c r="M1306">
        <v>0</v>
      </c>
      <c r="N1306">
        <v>1650</v>
      </c>
    </row>
    <row r="1307" spans="1:14" x14ac:dyDescent="0.25">
      <c r="A1307">
        <v>1097.048102</v>
      </c>
      <c r="B1307" s="1">
        <f>DATE(2013,5,2) + TIME(1,9,16)</f>
        <v>41396.048101851855</v>
      </c>
      <c r="C1307">
        <v>80</v>
      </c>
      <c r="D1307">
        <v>74.270271300999994</v>
      </c>
      <c r="E1307">
        <v>50</v>
      </c>
      <c r="F1307">
        <v>49.840984343999999</v>
      </c>
      <c r="G1307">
        <v>1372.2222899999999</v>
      </c>
      <c r="H1307">
        <v>1360.5533447</v>
      </c>
      <c r="I1307">
        <v>1303.0172118999999</v>
      </c>
      <c r="J1307">
        <v>1290.0056152</v>
      </c>
      <c r="K1307">
        <v>1650</v>
      </c>
      <c r="L1307">
        <v>0</v>
      </c>
      <c r="M1307">
        <v>0</v>
      </c>
      <c r="N1307">
        <v>1650</v>
      </c>
    </row>
    <row r="1308" spans="1:14" x14ac:dyDescent="0.25">
      <c r="A1308">
        <v>1097.1136759999999</v>
      </c>
      <c r="B1308" s="1">
        <f>DATE(2013,5,2) + TIME(2,43,41)</f>
        <v>41396.113668981481</v>
      </c>
      <c r="C1308">
        <v>80</v>
      </c>
      <c r="D1308">
        <v>74.636779785000002</v>
      </c>
      <c r="E1308">
        <v>50</v>
      </c>
      <c r="F1308">
        <v>49.834640503000003</v>
      </c>
      <c r="G1308">
        <v>1372.1401367000001</v>
      </c>
      <c r="H1308">
        <v>1360.5189209</v>
      </c>
      <c r="I1308">
        <v>1303.0168457</v>
      </c>
      <c r="J1308">
        <v>1290.0047606999999</v>
      </c>
      <c r="K1308">
        <v>1650</v>
      </c>
      <c r="L1308">
        <v>0</v>
      </c>
      <c r="M1308">
        <v>0</v>
      </c>
      <c r="N1308">
        <v>1650</v>
      </c>
    </row>
    <row r="1309" spans="1:14" x14ac:dyDescent="0.25">
      <c r="A1309">
        <v>1097.1816899999999</v>
      </c>
      <c r="B1309" s="1">
        <f>DATE(2013,5,2) + TIME(4,21,38)</f>
        <v>41396.181689814817</v>
      </c>
      <c r="C1309">
        <v>80</v>
      </c>
      <c r="D1309">
        <v>74.991676330999994</v>
      </c>
      <c r="E1309">
        <v>50</v>
      </c>
      <c r="F1309">
        <v>49.828132629000002</v>
      </c>
      <c r="G1309">
        <v>1372.0604248</v>
      </c>
      <c r="H1309">
        <v>1360.4849853999999</v>
      </c>
      <c r="I1309">
        <v>1303.0163574000001</v>
      </c>
      <c r="J1309">
        <v>1290.0037841999999</v>
      </c>
      <c r="K1309">
        <v>1650</v>
      </c>
      <c r="L1309">
        <v>0</v>
      </c>
      <c r="M1309">
        <v>0</v>
      </c>
      <c r="N1309">
        <v>1650</v>
      </c>
    </row>
    <row r="1310" spans="1:14" x14ac:dyDescent="0.25">
      <c r="A1310">
        <v>1097.2523369999999</v>
      </c>
      <c r="B1310" s="1">
        <f>DATE(2013,5,2) + TIME(6,3,21)</f>
        <v>41396.252326388887</v>
      </c>
      <c r="C1310">
        <v>80</v>
      </c>
      <c r="D1310">
        <v>75.334648131999998</v>
      </c>
      <c r="E1310">
        <v>50</v>
      </c>
      <c r="F1310">
        <v>49.821445464999996</v>
      </c>
      <c r="G1310">
        <v>1371.9826660000001</v>
      </c>
      <c r="H1310">
        <v>1360.4512939000001</v>
      </c>
      <c r="I1310">
        <v>1303.0158690999999</v>
      </c>
      <c r="J1310">
        <v>1290.0028076000001</v>
      </c>
      <c r="K1310">
        <v>1650</v>
      </c>
      <c r="L1310">
        <v>0</v>
      </c>
      <c r="M1310">
        <v>0</v>
      </c>
      <c r="N1310">
        <v>1650</v>
      </c>
    </row>
    <row r="1311" spans="1:14" x14ac:dyDescent="0.25">
      <c r="A1311">
        <v>1097.32583</v>
      </c>
      <c r="B1311" s="1">
        <f>DATE(2013,5,2) + TIME(7,49,11)</f>
        <v>41396.325821759259</v>
      </c>
      <c r="C1311">
        <v>80</v>
      </c>
      <c r="D1311">
        <v>75.665878296000002</v>
      </c>
      <c r="E1311">
        <v>50</v>
      </c>
      <c r="F1311">
        <v>49.814559936999999</v>
      </c>
      <c r="G1311">
        <v>1371.9068603999999</v>
      </c>
      <c r="H1311">
        <v>1360.4178466999999</v>
      </c>
      <c r="I1311">
        <v>1303.0152588000001</v>
      </c>
      <c r="J1311">
        <v>1290.0017089999999</v>
      </c>
      <c r="K1311">
        <v>1650</v>
      </c>
      <c r="L1311">
        <v>0</v>
      </c>
      <c r="M1311">
        <v>0</v>
      </c>
      <c r="N1311">
        <v>1650</v>
      </c>
    </row>
    <row r="1312" spans="1:14" x14ac:dyDescent="0.25">
      <c r="A1312">
        <v>1097.402409</v>
      </c>
      <c r="B1312" s="1">
        <f>DATE(2013,5,2) + TIME(9,39,28)</f>
        <v>41396.402407407404</v>
      </c>
      <c r="C1312">
        <v>80</v>
      </c>
      <c r="D1312">
        <v>75.985298157000003</v>
      </c>
      <c r="E1312">
        <v>50</v>
      </c>
      <c r="F1312">
        <v>49.807468413999999</v>
      </c>
      <c r="G1312">
        <v>1371.8328856999999</v>
      </c>
      <c r="H1312">
        <v>1360.3846435999999</v>
      </c>
      <c r="I1312">
        <v>1303.0146483999999</v>
      </c>
      <c r="J1312">
        <v>1290.0006103999999</v>
      </c>
      <c r="K1312">
        <v>1650</v>
      </c>
      <c r="L1312">
        <v>0</v>
      </c>
      <c r="M1312">
        <v>0</v>
      </c>
      <c r="N1312">
        <v>1650</v>
      </c>
    </row>
    <row r="1313" spans="1:14" x14ac:dyDescent="0.25">
      <c r="A1313">
        <v>1097.4823449999999</v>
      </c>
      <c r="B1313" s="1">
        <f>DATE(2013,5,2) + TIME(11,34,34)</f>
        <v>41396.48233796296</v>
      </c>
      <c r="C1313">
        <v>80</v>
      </c>
      <c r="D1313">
        <v>76.292831421000002</v>
      </c>
      <c r="E1313">
        <v>50</v>
      </c>
      <c r="F1313">
        <v>49.800148010000001</v>
      </c>
      <c r="G1313">
        <v>1371.7604980000001</v>
      </c>
      <c r="H1313">
        <v>1360.3514404</v>
      </c>
      <c r="I1313">
        <v>1303.0140381000001</v>
      </c>
      <c r="J1313">
        <v>1289.9995117000001</v>
      </c>
      <c r="K1313">
        <v>1650</v>
      </c>
      <c r="L1313">
        <v>0</v>
      </c>
      <c r="M1313">
        <v>0</v>
      </c>
      <c r="N1313">
        <v>1650</v>
      </c>
    </row>
    <row r="1314" spans="1:14" x14ac:dyDescent="0.25">
      <c r="A1314">
        <v>1097.5659419999999</v>
      </c>
      <c r="B1314" s="1">
        <f>DATE(2013,5,2) + TIME(13,34,57)</f>
        <v>41396.565937500003</v>
      </c>
      <c r="C1314">
        <v>80</v>
      </c>
      <c r="D1314">
        <v>76.588409424000005</v>
      </c>
      <c r="E1314">
        <v>50</v>
      </c>
      <c r="F1314">
        <v>49.792572020999998</v>
      </c>
      <c r="G1314">
        <v>1371.6895752</v>
      </c>
      <c r="H1314">
        <v>1360.3182373</v>
      </c>
      <c r="I1314">
        <v>1303.0134277</v>
      </c>
      <c r="J1314">
        <v>1289.9982910000001</v>
      </c>
      <c r="K1314">
        <v>1650</v>
      </c>
      <c r="L1314">
        <v>0</v>
      </c>
      <c r="M1314">
        <v>0</v>
      </c>
      <c r="N1314">
        <v>1650</v>
      </c>
    </row>
    <row r="1315" spans="1:14" x14ac:dyDescent="0.25">
      <c r="A1315">
        <v>1097.653548</v>
      </c>
      <c r="B1315" s="1">
        <f>DATE(2013,5,2) + TIME(15,41,6)</f>
        <v>41396.653541666667</v>
      </c>
      <c r="C1315">
        <v>80</v>
      </c>
      <c r="D1315">
        <v>76.871948242000002</v>
      </c>
      <c r="E1315">
        <v>50</v>
      </c>
      <c r="F1315">
        <v>49.784729003999999</v>
      </c>
      <c r="G1315">
        <v>1371.6199951000001</v>
      </c>
      <c r="H1315">
        <v>1360.2849120999999</v>
      </c>
      <c r="I1315">
        <v>1303.0126952999999</v>
      </c>
      <c r="J1315">
        <v>1289.9969481999999</v>
      </c>
      <c r="K1315">
        <v>1650</v>
      </c>
      <c r="L1315">
        <v>0</v>
      </c>
      <c r="M1315">
        <v>0</v>
      </c>
      <c r="N1315">
        <v>1650</v>
      </c>
    </row>
    <row r="1316" spans="1:14" x14ac:dyDescent="0.25">
      <c r="A1316">
        <v>1097.7456239999999</v>
      </c>
      <c r="B1316" s="1">
        <f>DATE(2013,5,2) + TIME(17,53,41)</f>
        <v>41396.745613425926</v>
      </c>
      <c r="C1316">
        <v>80</v>
      </c>
      <c r="D1316">
        <v>77.143547057999996</v>
      </c>
      <c r="E1316">
        <v>50</v>
      </c>
      <c r="F1316">
        <v>49.776573181000003</v>
      </c>
      <c r="G1316">
        <v>1371.5515137</v>
      </c>
      <c r="H1316">
        <v>1360.2512207</v>
      </c>
      <c r="I1316">
        <v>1303.0119629000001</v>
      </c>
      <c r="J1316">
        <v>1289.9957274999999</v>
      </c>
      <c r="K1316">
        <v>1650</v>
      </c>
      <c r="L1316">
        <v>0</v>
      </c>
      <c r="M1316">
        <v>0</v>
      </c>
      <c r="N1316">
        <v>1650</v>
      </c>
    </row>
    <row r="1317" spans="1:14" x14ac:dyDescent="0.25">
      <c r="A1317">
        <v>1097.842576</v>
      </c>
      <c r="B1317" s="1">
        <f>DATE(2013,5,2) + TIME(20,13,18)</f>
        <v>41396.842569444445</v>
      </c>
      <c r="C1317">
        <v>80</v>
      </c>
      <c r="D1317">
        <v>77.402931213000002</v>
      </c>
      <c r="E1317">
        <v>50</v>
      </c>
      <c r="F1317">
        <v>49.768089293999999</v>
      </c>
      <c r="G1317">
        <v>1371.4841309000001</v>
      </c>
      <c r="H1317">
        <v>1360.2172852000001</v>
      </c>
      <c r="I1317">
        <v>1303.0111084</v>
      </c>
      <c r="J1317">
        <v>1289.9942627</v>
      </c>
      <c r="K1317">
        <v>1650</v>
      </c>
      <c r="L1317">
        <v>0</v>
      </c>
      <c r="M1317">
        <v>0</v>
      </c>
      <c r="N1317">
        <v>1650</v>
      </c>
    </row>
    <row r="1318" spans="1:14" x14ac:dyDescent="0.25">
      <c r="A1318">
        <v>1097.9449340000001</v>
      </c>
      <c r="B1318" s="1">
        <f>DATE(2013,5,2) + TIME(22,40,42)</f>
        <v>41396.944930555554</v>
      </c>
      <c r="C1318">
        <v>80</v>
      </c>
      <c r="D1318">
        <v>77.650009155000006</v>
      </c>
      <c r="E1318">
        <v>50</v>
      </c>
      <c r="F1318">
        <v>49.759235382</v>
      </c>
      <c r="G1318">
        <v>1371.4174805</v>
      </c>
      <c r="H1318">
        <v>1360.1828613</v>
      </c>
      <c r="I1318">
        <v>1303.0102539</v>
      </c>
      <c r="J1318">
        <v>1289.9927978999999</v>
      </c>
      <c r="K1318">
        <v>1650</v>
      </c>
      <c r="L1318">
        <v>0</v>
      </c>
      <c r="M1318">
        <v>0</v>
      </c>
      <c r="N1318">
        <v>1650</v>
      </c>
    </row>
    <row r="1319" spans="1:14" x14ac:dyDescent="0.25">
      <c r="A1319">
        <v>1098.0533170000001</v>
      </c>
      <c r="B1319" s="1">
        <f>DATE(2013,5,3) + TIME(1,16,46)</f>
        <v>41397.053310185183</v>
      </c>
      <c r="C1319">
        <v>80</v>
      </c>
      <c r="D1319">
        <v>77.884704589999998</v>
      </c>
      <c r="E1319">
        <v>50</v>
      </c>
      <c r="F1319">
        <v>49.749973296999997</v>
      </c>
      <c r="G1319">
        <v>1371.3516846</v>
      </c>
      <c r="H1319">
        <v>1360.1479492000001</v>
      </c>
      <c r="I1319">
        <v>1303.0092772999999</v>
      </c>
      <c r="J1319">
        <v>1289.9912108999999</v>
      </c>
      <c r="K1319">
        <v>1650</v>
      </c>
      <c r="L1319">
        <v>0</v>
      </c>
      <c r="M1319">
        <v>0</v>
      </c>
      <c r="N1319">
        <v>1650</v>
      </c>
    </row>
    <row r="1320" spans="1:14" x14ac:dyDescent="0.25">
      <c r="A1320">
        <v>1098.168455</v>
      </c>
      <c r="B1320" s="1">
        <f>DATE(2013,5,3) + TIME(4,2,34)</f>
        <v>41397.168449074074</v>
      </c>
      <c r="C1320">
        <v>80</v>
      </c>
      <c r="D1320">
        <v>78.106910705999994</v>
      </c>
      <c r="E1320">
        <v>50</v>
      </c>
      <c r="F1320">
        <v>49.740253447999997</v>
      </c>
      <c r="G1320">
        <v>1371.2862548999999</v>
      </c>
      <c r="H1320">
        <v>1360.1123047000001</v>
      </c>
      <c r="I1320">
        <v>1303.0083007999999</v>
      </c>
      <c r="J1320">
        <v>1289.989624</v>
      </c>
      <c r="K1320">
        <v>1650</v>
      </c>
      <c r="L1320">
        <v>0</v>
      </c>
      <c r="M1320">
        <v>0</v>
      </c>
      <c r="N1320">
        <v>1650</v>
      </c>
    </row>
    <row r="1321" spans="1:14" x14ac:dyDescent="0.25">
      <c r="A1321">
        <v>1098.2911939999999</v>
      </c>
      <c r="B1321" s="1">
        <f>DATE(2013,5,3) + TIME(6,59,19)</f>
        <v>41397.291192129633</v>
      </c>
      <c r="C1321">
        <v>80</v>
      </c>
      <c r="D1321">
        <v>78.316520690999994</v>
      </c>
      <c r="E1321">
        <v>50</v>
      </c>
      <c r="F1321">
        <v>49.730022429999998</v>
      </c>
      <c r="G1321">
        <v>1371.2210693</v>
      </c>
      <c r="H1321">
        <v>1360.0756836</v>
      </c>
      <c r="I1321">
        <v>1303.0073242000001</v>
      </c>
      <c r="J1321">
        <v>1289.987793</v>
      </c>
      <c r="K1321">
        <v>1650</v>
      </c>
      <c r="L1321">
        <v>0</v>
      </c>
      <c r="M1321">
        <v>0</v>
      </c>
      <c r="N1321">
        <v>1650</v>
      </c>
    </row>
    <row r="1322" spans="1:14" x14ac:dyDescent="0.25">
      <c r="A1322">
        <v>1098.422581</v>
      </c>
      <c r="B1322" s="1">
        <f>DATE(2013,5,3) + TIME(10,8,30)</f>
        <v>41397.422569444447</v>
      </c>
      <c r="C1322">
        <v>80</v>
      </c>
      <c r="D1322">
        <v>78.513458252000007</v>
      </c>
      <c r="E1322">
        <v>50</v>
      </c>
      <c r="F1322">
        <v>49.719211577999999</v>
      </c>
      <c r="G1322">
        <v>1371.1560059000001</v>
      </c>
      <c r="H1322">
        <v>1360.0382079999999</v>
      </c>
      <c r="I1322">
        <v>1303.0061035000001</v>
      </c>
      <c r="J1322">
        <v>1289.9859618999999</v>
      </c>
      <c r="K1322">
        <v>1650</v>
      </c>
      <c r="L1322">
        <v>0</v>
      </c>
      <c r="M1322">
        <v>0</v>
      </c>
      <c r="N1322">
        <v>1650</v>
      </c>
    </row>
    <row r="1323" spans="1:14" x14ac:dyDescent="0.25">
      <c r="A1323">
        <v>1098.5638819999999</v>
      </c>
      <c r="B1323" s="1">
        <f>DATE(2013,5,3) + TIME(13,31,59)</f>
        <v>41397.563877314817</v>
      </c>
      <c r="C1323">
        <v>80</v>
      </c>
      <c r="D1323">
        <v>78.697662354000002</v>
      </c>
      <c r="E1323">
        <v>50</v>
      </c>
      <c r="F1323">
        <v>49.707740784000002</v>
      </c>
      <c r="G1323">
        <v>1371.0908202999999</v>
      </c>
      <c r="H1323">
        <v>1359.9995117000001</v>
      </c>
      <c r="I1323">
        <v>1303.0048827999999</v>
      </c>
      <c r="J1323">
        <v>1289.9840088000001</v>
      </c>
      <c r="K1323">
        <v>1650</v>
      </c>
      <c r="L1323">
        <v>0</v>
      </c>
      <c r="M1323">
        <v>0</v>
      </c>
      <c r="N1323">
        <v>1650</v>
      </c>
    </row>
    <row r="1324" spans="1:14" x14ac:dyDescent="0.25">
      <c r="A1324">
        <v>1098.716645</v>
      </c>
      <c r="B1324" s="1">
        <f>DATE(2013,5,3) + TIME(17,11,58)</f>
        <v>41397.716643518521</v>
      </c>
      <c r="C1324">
        <v>80</v>
      </c>
      <c r="D1324">
        <v>78.869056701999995</v>
      </c>
      <c r="E1324">
        <v>50</v>
      </c>
      <c r="F1324">
        <v>49.695507050000003</v>
      </c>
      <c r="G1324">
        <v>1371.0251464999999</v>
      </c>
      <c r="H1324">
        <v>1359.9593506000001</v>
      </c>
      <c r="I1324">
        <v>1303.0036620999999</v>
      </c>
      <c r="J1324">
        <v>1289.9818115</v>
      </c>
      <c r="K1324">
        <v>1650</v>
      </c>
      <c r="L1324">
        <v>0</v>
      </c>
      <c r="M1324">
        <v>0</v>
      </c>
      <c r="N1324">
        <v>1650</v>
      </c>
    </row>
    <row r="1325" spans="1:14" x14ac:dyDescent="0.25">
      <c r="A1325">
        <v>1098.8827980000001</v>
      </c>
      <c r="B1325" s="1">
        <f>DATE(2013,5,3) + TIME(21,11,13)</f>
        <v>41397.882789351854</v>
      </c>
      <c r="C1325">
        <v>80</v>
      </c>
      <c r="D1325">
        <v>79.027565002000003</v>
      </c>
      <c r="E1325">
        <v>50</v>
      </c>
      <c r="F1325">
        <v>49.682395935000002</v>
      </c>
      <c r="G1325">
        <v>1370.9586182</v>
      </c>
      <c r="H1325">
        <v>1359.9176024999999</v>
      </c>
      <c r="I1325">
        <v>1303.0021973</v>
      </c>
      <c r="J1325">
        <v>1289.9794922000001</v>
      </c>
      <c r="K1325">
        <v>1650</v>
      </c>
      <c r="L1325">
        <v>0</v>
      </c>
      <c r="M1325">
        <v>0</v>
      </c>
      <c r="N1325">
        <v>1650</v>
      </c>
    </row>
    <row r="1326" spans="1:14" x14ac:dyDescent="0.25">
      <c r="A1326">
        <v>1099.049528</v>
      </c>
      <c r="B1326" s="1">
        <f>DATE(2013,5,4) + TIME(1,11,19)</f>
        <v>41398.049525462964</v>
      </c>
      <c r="C1326">
        <v>80</v>
      </c>
      <c r="D1326">
        <v>79.162765503000003</v>
      </c>
      <c r="E1326">
        <v>50</v>
      </c>
      <c r="F1326">
        <v>49.669296265</v>
      </c>
      <c r="G1326">
        <v>1370.8957519999999</v>
      </c>
      <c r="H1326">
        <v>1359.8764647999999</v>
      </c>
      <c r="I1326">
        <v>1303.0006103999999</v>
      </c>
      <c r="J1326">
        <v>1289.9770507999999</v>
      </c>
      <c r="K1326">
        <v>1650</v>
      </c>
      <c r="L1326">
        <v>0</v>
      </c>
      <c r="M1326">
        <v>0</v>
      </c>
      <c r="N1326">
        <v>1650</v>
      </c>
    </row>
    <row r="1327" spans="1:14" x14ac:dyDescent="0.25">
      <c r="A1327">
        <v>1099.217633</v>
      </c>
      <c r="B1327" s="1">
        <f>DATE(2013,5,4) + TIME(5,13,23)</f>
        <v>41398.217627314814</v>
      </c>
      <c r="C1327">
        <v>80</v>
      </c>
      <c r="D1327">
        <v>79.278503418</v>
      </c>
      <c r="E1327">
        <v>50</v>
      </c>
      <c r="F1327">
        <v>49.656158447000003</v>
      </c>
      <c r="G1327">
        <v>1370.8358154</v>
      </c>
      <c r="H1327">
        <v>1359.8363036999999</v>
      </c>
      <c r="I1327">
        <v>1302.9989014</v>
      </c>
      <c r="J1327">
        <v>1289.9746094</v>
      </c>
      <c r="K1327">
        <v>1650</v>
      </c>
      <c r="L1327">
        <v>0</v>
      </c>
      <c r="M1327">
        <v>0</v>
      </c>
      <c r="N1327">
        <v>1650</v>
      </c>
    </row>
    <row r="1328" spans="1:14" x14ac:dyDescent="0.25">
      <c r="A1328">
        <v>1099.3875350000001</v>
      </c>
      <c r="B1328" s="1">
        <f>DATE(2013,5,4) + TIME(9,18,3)</f>
        <v>41398.38753472222</v>
      </c>
      <c r="C1328">
        <v>80</v>
      </c>
      <c r="D1328">
        <v>79.377670288000004</v>
      </c>
      <c r="E1328">
        <v>50</v>
      </c>
      <c r="F1328">
        <v>49.642948150999999</v>
      </c>
      <c r="G1328">
        <v>1370.7784423999999</v>
      </c>
      <c r="H1328">
        <v>1359.7971190999999</v>
      </c>
      <c r="I1328">
        <v>1302.9971923999999</v>
      </c>
      <c r="J1328">
        <v>1289.9720459</v>
      </c>
      <c r="K1328">
        <v>1650</v>
      </c>
      <c r="L1328">
        <v>0</v>
      </c>
      <c r="M1328">
        <v>0</v>
      </c>
      <c r="N1328">
        <v>1650</v>
      </c>
    </row>
    <row r="1329" spans="1:14" x14ac:dyDescent="0.25">
      <c r="A1329">
        <v>1099.559657</v>
      </c>
      <c r="B1329" s="1">
        <f>DATE(2013,5,4) + TIME(13,25,54)</f>
        <v>41398.559652777774</v>
      </c>
      <c r="C1329">
        <v>80</v>
      </c>
      <c r="D1329">
        <v>79.462692261000001</v>
      </c>
      <c r="E1329">
        <v>50</v>
      </c>
      <c r="F1329">
        <v>49.629638671999999</v>
      </c>
      <c r="G1329">
        <v>1370.7231445</v>
      </c>
      <c r="H1329">
        <v>1359.7586670000001</v>
      </c>
      <c r="I1329">
        <v>1302.9954834</v>
      </c>
      <c r="J1329">
        <v>1289.9696045000001</v>
      </c>
      <c r="K1329">
        <v>1650</v>
      </c>
      <c r="L1329">
        <v>0</v>
      </c>
      <c r="M1329">
        <v>0</v>
      </c>
      <c r="N1329">
        <v>1650</v>
      </c>
    </row>
    <row r="1330" spans="1:14" x14ac:dyDescent="0.25">
      <c r="A1330">
        <v>1099.734459</v>
      </c>
      <c r="B1330" s="1">
        <f>DATE(2013,5,4) + TIME(17,37,37)</f>
        <v>41398.734456018516</v>
      </c>
      <c r="C1330">
        <v>80</v>
      </c>
      <c r="D1330">
        <v>79.535614014000004</v>
      </c>
      <c r="E1330">
        <v>50</v>
      </c>
      <c r="F1330">
        <v>49.616199493000003</v>
      </c>
      <c r="G1330">
        <v>1370.6697998</v>
      </c>
      <c r="H1330">
        <v>1359.7208252</v>
      </c>
      <c r="I1330">
        <v>1302.9937743999999</v>
      </c>
      <c r="J1330">
        <v>1289.9670410000001</v>
      </c>
      <c r="K1330">
        <v>1650</v>
      </c>
      <c r="L1330">
        <v>0</v>
      </c>
      <c r="M1330">
        <v>0</v>
      </c>
      <c r="N1330">
        <v>1650</v>
      </c>
    </row>
    <row r="1331" spans="1:14" x14ac:dyDescent="0.25">
      <c r="A1331">
        <v>1099.9123669999999</v>
      </c>
      <c r="B1331" s="1">
        <f>DATE(2013,5,4) + TIME(21,53,48)</f>
        <v>41398.912361111114</v>
      </c>
      <c r="C1331">
        <v>80</v>
      </c>
      <c r="D1331">
        <v>79.598129271999994</v>
      </c>
      <c r="E1331">
        <v>50</v>
      </c>
      <c r="F1331">
        <v>49.602600098000003</v>
      </c>
      <c r="G1331">
        <v>1370.6179199000001</v>
      </c>
      <c r="H1331">
        <v>1359.6834716999999</v>
      </c>
      <c r="I1331">
        <v>1302.9920654</v>
      </c>
      <c r="J1331">
        <v>1289.9643555</v>
      </c>
      <c r="K1331">
        <v>1650</v>
      </c>
      <c r="L1331">
        <v>0</v>
      </c>
      <c r="M1331">
        <v>0</v>
      </c>
      <c r="N1331">
        <v>1650</v>
      </c>
    </row>
    <row r="1332" spans="1:14" x14ac:dyDescent="0.25">
      <c r="A1332">
        <v>1100.0937779999999</v>
      </c>
      <c r="B1332" s="1">
        <f>DATE(2013,5,5) + TIME(2,15,2)</f>
        <v>41399.093773148146</v>
      </c>
      <c r="C1332">
        <v>80</v>
      </c>
      <c r="D1332">
        <v>79.651687621999997</v>
      </c>
      <c r="E1332">
        <v>50</v>
      </c>
      <c r="F1332">
        <v>49.588817595999998</v>
      </c>
      <c r="G1332">
        <v>1370.5673827999999</v>
      </c>
      <c r="H1332">
        <v>1359.6467285000001</v>
      </c>
      <c r="I1332">
        <v>1302.9902344</v>
      </c>
      <c r="J1332">
        <v>1289.9616699000001</v>
      </c>
      <c r="K1332">
        <v>1650</v>
      </c>
      <c r="L1332">
        <v>0</v>
      </c>
      <c r="M1332">
        <v>0</v>
      </c>
      <c r="N1332">
        <v>1650</v>
      </c>
    </row>
    <row r="1333" spans="1:14" x14ac:dyDescent="0.25">
      <c r="A1333">
        <v>1100.278552</v>
      </c>
      <c r="B1333" s="1">
        <f>DATE(2013,5,5) + TIME(6,41,6)</f>
        <v>41399.278541666667</v>
      </c>
      <c r="C1333">
        <v>80</v>
      </c>
      <c r="D1333">
        <v>79.697395325000002</v>
      </c>
      <c r="E1333">
        <v>50</v>
      </c>
      <c r="F1333">
        <v>49.574859619000001</v>
      </c>
      <c r="G1333">
        <v>1370.5180664</v>
      </c>
      <c r="H1333">
        <v>1359.6103516000001</v>
      </c>
      <c r="I1333">
        <v>1302.9884033000001</v>
      </c>
      <c r="J1333">
        <v>1289.9589844</v>
      </c>
      <c r="K1333">
        <v>1650</v>
      </c>
      <c r="L1333">
        <v>0</v>
      </c>
      <c r="M1333">
        <v>0</v>
      </c>
      <c r="N1333">
        <v>1650</v>
      </c>
    </row>
    <row r="1334" spans="1:14" x14ac:dyDescent="0.25">
      <c r="A1334">
        <v>1100.466868</v>
      </c>
      <c r="B1334" s="1">
        <f>DATE(2013,5,5) + TIME(11,12,17)</f>
        <v>41399.466863425929</v>
      </c>
      <c r="C1334">
        <v>80</v>
      </c>
      <c r="D1334">
        <v>79.736328125</v>
      </c>
      <c r="E1334">
        <v>50</v>
      </c>
      <c r="F1334">
        <v>49.560714722</v>
      </c>
      <c r="G1334">
        <v>1370.4698486</v>
      </c>
      <c r="H1334">
        <v>1359.5744629000001</v>
      </c>
      <c r="I1334">
        <v>1302.9865723</v>
      </c>
      <c r="J1334">
        <v>1289.9561768000001</v>
      </c>
      <c r="K1334">
        <v>1650</v>
      </c>
      <c r="L1334">
        <v>0</v>
      </c>
      <c r="M1334">
        <v>0</v>
      </c>
      <c r="N1334">
        <v>1650</v>
      </c>
    </row>
    <row r="1335" spans="1:14" x14ac:dyDescent="0.25">
      <c r="A1335">
        <v>1100.659146</v>
      </c>
      <c r="B1335" s="1">
        <f>DATE(2013,5,5) + TIME(15,49,10)</f>
        <v>41399.659143518518</v>
      </c>
      <c r="C1335">
        <v>80</v>
      </c>
      <c r="D1335">
        <v>79.769447326999995</v>
      </c>
      <c r="E1335">
        <v>50</v>
      </c>
      <c r="F1335">
        <v>49.546352386000002</v>
      </c>
      <c r="G1335">
        <v>1370.4226074000001</v>
      </c>
      <c r="H1335">
        <v>1359.5390625</v>
      </c>
      <c r="I1335">
        <v>1302.9846190999999</v>
      </c>
      <c r="J1335">
        <v>1289.9533690999999</v>
      </c>
      <c r="K1335">
        <v>1650</v>
      </c>
      <c r="L1335">
        <v>0</v>
      </c>
      <c r="M1335">
        <v>0</v>
      </c>
      <c r="N1335">
        <v>1650</v>
      </c>
    </row>
    <row r="1336" spans="1:14" x14ac:dyDescent="0.25">
      <c r="A1336">
        <v>1100.8557840000001</v>
      </c>
      <c r="B1336" s="1">
        <f>DATE(2013,5,5) + TIME(20,32,19)</f>
        <v>41399.855775462966</v>
      </c>
      <c r="C1336">
        <v>80</v>
      </c>
      <c r="D1336">
        <v>79.797584533999995</v>
      </c>
      <c r="E1336">
        <v>50</v>
      </c>
      <c r="F1336">
        <v>49.531757355000003</v>
      </c>
      <c r="G1336">
        <v>1370.3760986</v>
      </c>
      <c r="H1336">
        <v>1359.5039062000001</v>
      </c>
      <c r="I1336">
        <v>1302.9826660000001</v>
      </c>
      <c r="J1336">
        <v>1289.9505615</v>
      </c>
      <c r="K1336">
        <v>1650</v>
      </c>
      <c r="L1336">
        <v>0</v>
      </c>
      <c r="M1336">
        <v>0</v>
      </c>
      <c r="N1336">
        <v>1650</v>
      </c>
    </row>
    <row r="1337" spans="1:14" x14ac:dyDescent="0.25">
      <c r="A1337">
        <v>1101.0572500000001</v>
      </c>
      <c r="B1337" s="1">
        <f>DATE(2013,5,6) + TIME(1,22,26)</f>
        <v>41400.057245370372</v>
      </c>
      <c r="C1337">
        <v>80</v>
      </c>
      <c r="D1337">
        <v>79.821441649999997</v>
      </c>
      <c r="E1337">
        <v>50</v>
      </c>
      <c r="F1337">
        <v>49.516887664999999</v>
      </c>
      <c r="G1337">
        <v>1370.3303223</v>
      </c>
      <c r="H1337">
        <v>1359.4689940999999</v>
      </c>
      <c r="I1337">
        <v>1302.9805908000001</v>
      </c>
      <c r="J1337">
        <v>1289.9475098</v>
      </c>
      <c r="K1337">
        <v>1650</v>
      </c>
      <c r="L1337">
        <v>0</v>
      </c>
      <c r="M1337">
        <v>0</v>
      </c>
      <c r="N1337">
        <v>1650</v>
      </c>
    </row>
    <row r="1338" spans="1:14" x14ac:dyDescent="0.25">
      <c r="A1338">
        <v>1101.2640429999999</v>
      </c>
      <c r="B1338" s="1">
        <f>DATE(2013,5,6) + TIME(6,20,13)</f>
        <v>41400.264039351852</v>
      </c>
      <c r="C1338">
        <v>80</v>
      </c>
      <c r="D1338">
        <v>79.841644286999994</v>
      </c>
      <c r="E1338">
        <v>50</v>
      </c>
      <c r="F1338">
        <v>49.501724242999998</v>
      </c>
      <c r="G1338">
        <v>1370.2851562000001</v>
      </c>
      <c r="H1338">
        <v>1359.4343262</v>
      </c>
      <c r="I1338">
        <v>1302.9785156</v>
      </c>
      <c r="J1338">
        <v>1289.9444579999999</v>
      </c>
      <c r="K1338">
        <v>1650</v>
      </c>
      <c r="L1338">
        <v>0</v>
      </c>
      <c r="M1338">
        <v>0</v>
      </c>
      <c r="N1338">
        <v>1650</v>
      </c>
    </row>
    <row r="1339" spans="1:14" x14ac:dyDescent="0.25">
      <c r="A1339">
        <v>1101.476711</v>
      </c>
      <c r="B1339" s="1">
        <f>DATE(2013,5,6) + TIME(11,26,27)</f>
        <v>41400.476701388892</v>
      </c>
      <c r="C1339">
        <v>80</v>
      </c>
      <c r="D1339">
        <v>79.858695983999993</v>
      </c>
      <c r="E1339">
        <v>50</v>
      </c>
      <c r="F1339">
        <v>49.486225128000001</v>
      </c>
      <c r="G1339">
        <v>1370.2403564000001</v>
      </c>
      <c r="H1339">
        <v>1359.3999022999999</v>
      </c>
      <c r="I1339">
        <v>1302.9764404</v>
      </c>
      <c r="J1339">
        <v>1289.9414062000001</v>
      </c>
      <c r="K1339">
        <v>1650</v>
      </c>
      <c r="L1339">
        <v>0</v>
      </c>
      <c r="M1339">
        <v>0</v>
      </c>
      <c r="N1339">
        <v>1650</v>
      </c>
    </row>
    <row r="1340" spans="1:14" x14ac:dyDescent="0.25">
      <c r="A1340">
        <v>1101.695849</v>
      </c>
      <c r="B1340" s="1">
        <f>DATE(2013,5,6) + TIME(16,42,1)</f>
        <v>41400.695844907408</v>
      </c>
      <c r="C1340">
        <v>80</v>
      </c>
      <c r="D1340">
        <v>79.873069763000004</v>
      </c>
      <c r="E1340">
        <v>50</v>
      </c>
      <c r="F1340">
        <v>49.470355988000001</v>
      </c>
      <c r="G1340">
        <v>1370.1958007999999</v>
      </c>
      <c r="H1340">
        <v>1359.3654785000001</v>
      </c>
      <c r="I1340">
        <v>1302.9741211</v>
      </c>
      <c r="J1340">
        <v>1289.9381103999999</v>
      </c>
      <c r="K1340">
        <v>1650</v>
      </c>
      <c r="L1340">
        <v>0</v>
      </c>
      <c r="M1340">
        <v>0</v>
      </c>
      <c r="N1340">
        <v>1650</v>
      </c>
    </row>
    <row r="1341" spans="1:14" x14ac:dyDescent="0.25">
      <c r="A1341">
        <v>1101.922118</v>
      </c>
      <c r="B1341" s="1">
        <f>DATE(2013,5,6) + TIME(22,7,50)</f>
        <v>41400.922106481485</v>
      </c>
      <c r="C1341">
        <v>80</v>
      </c>
      <c r="D1341">
        <v>79.885147094999994</v>
      </c>
      <c r="E1341">
        <v>50</v>
      </c>
      <c r="F1341">
        <v>49.454078674000002</v>
      </c>
      <c r="G1341">
        <v>1370.1516113</v>
      </c>
      <c r="H1341">
        <v>1359.3311768000001</v>
      </c>
      <c r="I1341">
        <v>1302.9719238</v>
      </c>
      <c r="J1341">
        <v>1289.9348144999999</v>
      </c>
      <c r="K1341">
        <v>1650</v>
      </c>
      <c r="L1341">
        <v>0</v>
      </c>
      <c r="M1341">
        <v>0</v>
      </c>
      <c r="N1341">
        <v>1650</v>
      </c>
    </row>
    <row r="1342" spans="1:14" x14ac:dyDescent="0.25">
      <c r="A1342">
        <v>1102.1562489999999</v>
      </c>
      <c r="B1342" s="1">
        <f>DATE(2013,5,7) + TIME(3,44,59)</f>
        <v>41401.156238425923</v>
      </c>
      <c r="C1342">
        <v>80</v>
      </c>
      <c r="D1342">
        <v>79.895271300999994</v>
      </c>
      <c r="E1342">
        <v>50</v>
      </c>
      <c r="F1342">
        <v>49.437351227000001</v>
      </c>
      <c r="G1342">
        <v>1370.1072998</v>
      </c>
      <c r="H1342">
        <v>1359.296875</v>
      </c>
      <c r="I1342">
        <v>1302.9694824000001</v>
      </c>
      <c r="J1342">
        <v>1289.9313964999999</v>
      </c>
      <c r="K1342">
        <v>1650</v>
      </c>
      <c r="L1342">
        <v>0</v>
      </c>
      <c r="M1342">
        <v>0</v>
      </c>
      <c r="N1342">
        <v>1650</v>
      </c>
    </row>
    <row r="1343" spans="1:14" x14ac:dyDescent="0.25">
      <c r="A1343">
        <v>1102.399064</v>
      </c>
      <c r="B1343" s="1">
        <f>DATE(2013,5,7) + TIME(9,34,39)</f>
        <v>41401.399062500001</v>
      </c>
      <c r="C1343">
        <v>80</v>
      </c>
      <c r="D1343">
        <v>79.903724670000003</v>
      </c>
      <c r="E1343">
        <v>50</v>
      </c>
      <c r="F1343">
        <v>49.420124053999999</v>
      </c>
      <c r="G1343">
        <v>1370.0631103999999</v>
      </c>
      <c r="H1343">
        <v>1359.2623291</v>
      </c>
      <c r="I1343">
        <v>1302.9670410000001</v>
      </c>
      <c r="J1343">
        <v>1289.9278564000001</v>
      </c>
      <c r="K1343">
        <v>1650</v>
      </c>
      <c r="L1343">
        <v>0</v>
      </c>
      <c r="M1343">
        <v>0</v>
      </c>
      <c r="N1343">
        <v>1650</v>
      </c>
    </row>
    <row r="1344" spans="1:14" x14ac:dyDescent="0.25">
      <c r="A1344">
        <v>1102.6515300000001</v>
      </c>
      <c r="B1344" s="1">
        <f>DATE(2013,5,7) + TIME(15,38,12)</f>
        <v>41401.65152777778</v>
      </c>
      <c r="C1344">
        <v>80</v>
      </c>
      <c r="D1344">
        <v>79.910766601999995</v>
      </c>
      <c r="E1344">
        <v>50</v>
      </c>
      <c r="F1344">
        <v>49.402339935000001</v>
      </c>
      <c r="G1344">
        <v>1370.0186768000001</v>
      </c>
      <c r="H1344">
        <v>1359.2277832</v>
      </c>
      <c r="I1344">
        <v>1302.9644774999999</v>
      </c>
      <c r="J1344">
        <v>1289.9240723</v>
      </c>
      <c r="K1344">
        <v>1650</v>
      </c>
      <c r="L1344">
        <v>0</v>
      </c>
      <c r="M1344">
        <v>0</v>
      </c>
      <c r="N1344">
        <v>1650</v>
      </c>
    </row>
    <row r="1345" spans="1:14" x14ac:dyDescent="0.25">
      <c r="A1345">
        <v>1102.9148029999999</v>
      </c>
      <c r="B1345" s="1">
        <f>DATE(2013,5,7) + TIME(21,57,18)</f>
        <v>41401.91479166667</v>
      </c>
      <c r="C1345">
        <v>80</v>
      </c>
      <c r="D1345">
        <v>79.916610718000001</v>
      </c>
      <c r="E1345">
        <v>50</v>
      </c>
      <c r="F1345">
        <v>49.383930206000002</v>
      </c>
      <c r="G1345">
        <v>1369.9741211</v>
      </c>
      <c r="H1345">
        <v>1359.1928711</v>
      </c>
      <c r="I1345">
        <v>1302.9617920000001</v>
      </c>
      <c r="J1345">
        <v>1289.9201660000001</v>
      </c>
      <c r="K1345">
        <v>1650</v>
      </c>
      <c r="L1345">
        <v>0</v>
      </c>
      <c r="M1345">
        <v>0</v>
      </c>
      <c r="N1345">
        <v>1650</v>
      </c>
    </row>
    <row r="1346" spans="1:14" x14ac:dyDescent="0.25">
      <c r="A1346">
        <v>1103.1899639999999</v>
      </c>
      <c r="B1346" s="1">
        <f>DATE(2013,5,8) + TIME(4,33,32)</f>
        <v>41402.189953703702</v>
      </c>
      <c r="C1346">
        <v>80</v>
      </c>
      <c r="D1346">
        <v>79.921440125000004</v>
      </c>
      <c r="E1346">
        <v>50</v>
      </c>
      <c r="F1346">
        <v>49.364837645999998</v>
      </c>
      <c r="G1346">
        <v>1369.9289550999999</v>
      </c>
      <c r="H1346">
        <v>1359.1577147999999</v>
      </c>
      <c r="I1346">
        <v>1302.9591064000001</v>
      </c>
      <c r="J1346">
        <v>1289.9161377</v>
      </c>
      <c r="K1346">
        <v>1650</v>
      </c>
      <c r="L1346">
        <v>0</v>
      </c>
      <c r="M1346">
        <v>0</v>
      </c>
      <c r="N1346">
        <v>1650</v>
      </c>
    </row>
    <row r="1347" spans="1:14" x14ac:dyDescent="0.25">
      <c r="A1347">
        <v>1103.474698</v>
      </c>
      <c r="B1347" s="1">
        <f>DATE(2013,5,8) + TIME(11,23,33)</f>
        <v>41402.474687499998</v>
      </c>
      <c r="C1347">
        <v>80</v>
      </c>
      <c r="D1347">
        <v>79.925376892000003</v>
      </c>
      <c r="E1347">
        <v>50</v>
      </c>
      <c r="F1347">
        <v>49.345188141000001</v>
      </c>
      <c r="G1347">
        <v>1369.8834228999999</v>
      </c>
      <c r="H1347">
        <v>1359.1220702999999</v>
      </c>
      <c r="I1347">
        <v>1302.9560547000001</v>
      </c>
      <c r="J1347">
        <v>1289.9119873</v>
      </c>
      <c r="K1347">
        <v>1650</v>
      </c>
      <c r="L1347">
        <v>0</v>
      </c>
      <c r="M1347">
        <v>0</v>
      </c>
      <c r="N1347">
        <v>1650</v>
      </c>
    </row>
    <row r="1348" spans="1:14" x14ac:dyDescent="0.25">
      <c r="A1348">
        <v>1103.7691709999999</v>
      </c>
      <c r="B1348" s="1">
        <f>DATE(2013,5,8) + TIME(18,27,36)</f>
        <v>41402.769166666665</v>
      </c>
      <c r="C1348">
        <v>80</v>
      </c>
      <c r="D1348">
        <v>79.928573607999994</v>
      </c>
      <c r="E1348">
        <v>50</v>
      </c>
      <c r="F1348">
        <v>49.324977875000002</v>
      </c>
      <c r="G1348">
        <v>1369.8378906</v>
      </c>
      <c r="H1348">
        <v>1359.0864257999999</v>
      </c>
      <c r="I1348">
        <v>1302.9530029</v>
      </c>
      <c r="J1348">
        <v>1289.9075928</v>
      </c>
      <c r="K1348">
        <v>1650</v>
      </c>
      <c r="L1348">
        <v>0</v>
      </c>
      <c r="M1348">
        <v>0</v>
      </c>
      <c r="N1348">
        <v>1650</v>
      </c>
    </row>
    <row r="1349" spans="1:14" x14ac:dyDescent="0.25">
      <c r="A1349">
        <v>1104.0743440000001</v>
      </c>
      <c r="B1349" s="1">
        <f>DATE(2013,5,9) + TIME(1,47,3)</f>
        <v>41403.074340277781</v>
      </c>
      <c r="C1349">
        <v>80</v>
      </c>
      <c r="D1349">
        <v>79.931159973000007</v>
      </c>
      <c r="E1349">
        <v>50</v>
      </c>
      <c r="F1349">
        <v>49.304157257</v>
      </c>
      <c r="G1349">
        <v>1369.7921143000001</v>
      </c>
      <c r="H1349">
        <v>1359.0507812000001</v>
      </c>
      <c r="I1349">
        <v>1302.9498291</v>
      </c>
      <c r="J1349">
        <v>1289.9030762</v>
      </c>
      <c r="K1349">
        <v>1650</v>
      </c>
      <c r="L1349">
        <v>0</v>
      </c>
      <c r="M1349">
        <v>0</v>
      </c>
      <c r="N1349">
        <v>1650</v>
      </c>
    </row>
    <row r="1350" spans="1:14" x14ac:dyDescent="0.25">
      <c r="A1350">
        <v>1104.3912640000001</v>
      </c>
      <c r="B1350" s="1">
        <f>DATE(2013,5,9) + TIME(9,23,25)</f>
        <v>41403.391261574077</v>
      </c>
      <c r="C1350">
        <v>80</v>
      </c>
      <c r="D1350">
        <v>79.933258057000003</v>
      </c>
      <c r="E1350">
        <v>50</v>
      </c>
      <c r="F1350">
        <v>49.282669067</v>
      </c>
      <c r="G1350">
        <v>1369.7463379000001</v>
      </c>
      <c r="H1350">
        <v>1359.0148925999999</v>
      </c>
      <c r="I1350">
        <v>1302.9466553</v>
      </c>
      <c r="J1350">
        <v>1289.8983154</v>
      </c>
      <c r="K1350">
        <v>1650</v>
      </c>
      <c r="L1350">
        <v>0</v>
      </c>
      <c r="M1350">
        <v>0</v>
      </c>
      <c r="N1350">
        <v>1650</v>
      </c>
    </row>
    <row r="1351" spans="1:14" x14ac:dyDescent="0.25">
      <c r="A1351">
        <v>1104.7211460000001</v>
      </c>
      <c r="B1351" s="1">
        <f>DATE(2013,5,9) + TIME(17,18,27)</f>
        <v>41403.721145833333</v>
      </c>
      <c r="C1351">
        <v>80</v>
      </c>
      <c r="D1351">
        <v>79.934951781999999</v>
      </c>
      <c r="E1351">
        <v>50</v>
      </c>
      <c r="F1351">
        <v>49.260448455999999</v>
      </c>
      <c r="G1351">
        <v>1369.7000731999999</v>
      </c>
      <c r="H1351">
        <v>1358.9788818</v>
      </c>
      <c r="I1351">
        <v>1302.9431152</v>
      </c>
      <c r="J1351">
        <v>1289.8934326000001</v>
      </c>
      <c r="K1351">
        <v>1650</v>
      </c>
      <c r="L1351">
        <v>0</v>
      </c>
      <c r="M1351">
        <v>0</v>
      </c>
      <c r="N1351">
        <v>1650</v>
      </c>
    </row>
    <row r="1352" spans="1:14" x14ac:dyDescent="0.25">
      <c r="A1352">
        <v>1105.06158</v>
      </c>
      <c r="B1352" s="1">
        <f>DATE(2013,5,10) + TIME(1,28,40)</f>
        <v>41404.061574074076</v>
      </c>
      <c r="C1352">
        <v>80</v>
      </c>
      <c r="D1352">
        <v>79.936309813999998</v>
      </c>
      <c r="E1352">
        <v>50</v>
      </c>
      <c r="F1352">
        <v>49.237628936999997</v>
      </c>
      <c r="G1352">
        <v>1369.6535644999999</v>
      </c>
      <c r="H1352">
        <v>1358.9426269999999</v>
      </c>
      <c r="I1352">
        <v>1302.9395752</v>
      </c>
      <c r="J1352">
        <v>1289.8883057</v>
      </c>
      <c r="K1352">
        <v>1650</v>
      </c>
      <c r="L1352">
        <v>0</v>
      </c>
      <c r="M1352">
        <v>0</v>
      </c>
      <c r="N1352">
        <v>1650</v>
      </c>
    </row>
    <row r="1353" spans="1:14" x14ac:dyDescent="0.25">
      <c r="A1353">
        <v>1105.405712</v>
      </c>
      <c r="B1353" s="1">
        <f>DATE(2013,5,10) + TIME(9,44,13)</f>
        <v>41404.405706018515</v>
      </c>
      <c r="C1353">
        <v>80</v>
      </c>
      <c r="D1353">
        <v>79.937385559000006</v>
      </c>
      <c r="E1353">
        <v>50</v>
      </c>
      <c r="F1353">
        <v>49.214569091999998</v>
      </c>
      <c r="G1353">
        <v>1369.6070557</v>
      </c>
      <c r="H1353">
        <v>1358.9063721</v>
      </c>
      <c r="I1353">
        <v>1302.9357910000001</v>
      </c>
      <c r="J1353">
        <v>1289.8829346</v>
      </c>
      <c r="K1353">
        <v>1650</v>
      </c>
      <c r="L1353">
        <v>0</v>
      </c>
      <c r="M1353">
        <v>0</v>
      </c>
      <c r="N1353">
        <v>1650</v>
      </c>
    </row>
    <row r="1354" spans="1:14" x14ac:dyDescent="0.25">
      <c r="A1354">
        <v>1105.7546139999999</v>
      </c>
      <c r="B1354" s="1">
        <f>DATE(2013,5,10) + TIME(18,6,38)</f>
        <v>41404.754606481481</v>
      </c>
      <c r="C1354">
        <v>80</v>
      </c>
      <c r="D1354">
        <v>79.938232421999999</v>
      </c>
      <c r="E1354">
        <v>50</v>
      </c>
      <c r="F1354">
        <v>49.191234588999997</v>
      </c>
      <c r="G1354">
        <v>1369.5612793</v>
      </c>
      <c r="H1354">
        <v>1358.8708495999999</v>
      </c>
      <c r="I1354">
        <v>1302.9320068</v>
      </c>
      <c r="J1354">
        <v>1289.8775635</v>
      </c>
      <c r="K1354">
        <v>1650</v>
      </c>
      <c r="L1354">
        <v>0</v>
      </c>
      <c r="M1354">
        <v>0</v>
      </c>
      <c r="N1354">
        <v>1650</v>
      </c>
    </row>
    <row r="1355" spans="1:14" x14ac:dyDescent="0.25">
      <c r="A1355">
        <v>1106.1090469999999</v>
      </c>
      <c r="B1355" s="1">
        <f>DATE(2013,5,11) + TIME(2,37,1)</f>
        <v>41405.109039351853</v>
      </c>
      <c r="C1355">
        <v>80</v>
      </c>
      <c r="D1355">
        <v>79.938911438000005</v>
      </c>
      <c r="E1355">
        <v>50</v>
      </c>
      <c r="F1355">
        <v>49.167610168000003</v>
      </c>
      <c r="G1355">
        <v>1369.5163574000001</v>
      </c>
      <c r="H1355">
        <v>1358.8359375</v>
      </c>
      <c r="I1355">
        <v>1302.9282227000001</v>
      </c>
      <c r="J1355">
        <v>1289.8720702999999</v>
      </c>
      <c r="K1355">
        <v>1650</v>
      </c>
      <c r="L1355">
        <v>0</v>
      </c>
      <c r="M1355">
        <v>0</v>
      </c>
      <c r="N1355">
        <v>1650</v>
      </c>
    </row>
    <row r="1356" spans="1:14" x14ac:dyDescent="0.25">
      <c r="A1356">
        <v>1106.4675460000001</v>
      </c>
      <c r="B1356" s="1">
        <f>DATE(2013,5,11) + TIME(11,13,16)</f>
        <v>41405.467546296299</v>
      </c>
      <c r="C1356">
        <v>80</v>
      </c>
      <c r="D1356">
        <v>79.939453125</v>
      </c>
      <c r="E1356">
        <v>50</v>
      </c>
      <c r="F1356">
        <v>49.143779754999997</v>
      </c>
      <c r="G1356">
        <v>1369.4720459</v>
      </c>
      <c r="H1356">
        <v>1358.8016356999999</v>
      </c>
      <c r="I1356">
        <v>1302.9241943</v>
      </c>
      <c r="J1356">
        <v>1289.8665771000001</v>
      </c>
      <c r="K1356">
        <v>1650</v>
      </c>
      <c r="L1356">
        <v>0</v>
      </c>
      <c r="M1356">
        <v>0</v>
      </c>
      <c r="N1356">
        <v>1650</v>
      </c>
    </row>
    <row r="1357" spans="1:14" x14ac:dyDescent="0.25">
      <c r="A1357">
        <v>1106.8310329999999</v>
      </c>
      <c r="B1357" s="1">
        <f>DATE(2013,5,11) + TIME(19,56,41)</f>
        <v>41405.831030092595</v>
      </c>
      <c r="C1357">
        <v>80</v>
      </c>
      <c r="D1357">
        <v>79.939887999999996</v>
      </c>
      <c r="E1357">
        <v>50</v>
      </c>
      <c r="F1357">
        <v>49.119709014999998</v>
      </c>
      <c r="G1357">
        <v>1369.4283447</v>
      </c>
      <c r="H1357">
        <v>1358.7678223</v>
      </c>
      <c r="I1357">
        <v>1302.9202881000001</v>
      </c>
      <c r="J1357">
        <v>1289.8608397999999</v>
      </c>
      <c r="K1357">
        <v>1650</v>
      </c>
      <c r="L1357">
        <v>0</v>
      </c>
      <c r="M1357">
        <v>0</v>
      </c>
      <c r="N1357">
        <v>1650</v>
      </c>
    </row>
    <row r="1358" spans="1:14" x14ac:dyDescent="0.25">
      <c r="A1358">
        <v>1107.2004300000001</v>
      </c>
      <c r="B1358" s="1">
        <f>DATE(2013,5,12) + TIME(4,48,37)</f>
        <v>41406.200428240743</v>
      </c>
      <c r="C1358">
        <v>80</v>
      </c>
      <c r="D1358">
        <v>79.940238953000005</v>
      </c>
      <c r="E1358">
        <v>50</v>
      </c>
      <c r="F1358">
        <v>49.095363616999997</v>
      </c>
      <c r="G1358">
        <v>1369.385376</v>
      </c>
      <c r="H1358">
        <v>1358.7346190999999</v>
      </c>
      <c r="I1358">
        <v>1302.9161377</v>
      </c>
      <c r="J1358">
        <v>1289.8551024999999</v>
      </c>
      <c r="K1358">
        <v>1650</v>
      </c>
      <c r="L1358">
        <v>0</v>
      </c>
      <c r="M1358">
        <v>0</v>
      </c>
      <c r="N1358">
        <v>1650</v>
      </c>
    </row>
    <row r="1359" spans="1:14" x14ac:dyDescent="0.25">
      <c r="A1359">
        <v>1107.5766940000001</v>
      </c>
      <c r="B1359" s="1">
        <f>DATE(2013,5,12) + TIME(13,50,26)</f>
        <v>41406.576689814814</v>
      </c>
      <c r="C1359">
        <v>80</v>
      </c>
      <c r="D1359">
        <v>79.940521239999995</v>
      </c>
      <c r="E1359">
        <v>50</v>
      </c>
      <c r="F1359">
        <v>49.070693970000001</v>
      </c>
      <c r="G1359">
        <v>1369.3427733999999</v>
      </c>
      <c r="H1359">
        <v>1358.7016602000001</v>
      </c>
      <c r="I1359">
        <v>1302.9121094</v>
      </c>
      <c r="J1359">
        <v>1289.8492432</v>
      </c>
      <c r="K1359">
        <v>1650</v>
      </c>
      <c r="L1359">
        <v>0</v>
      </c>
      <c r="M1359">
        <v>0</v>
      </c>
      <c r="N1359">
        <v>1650</v>
      </c>
    </row>
    <row r="1360" spans="1:14" x14ac:dyDescent="0.25">
      <c r="A1360">
        <v>1107.9608330000001</v>
      </c>
      <c r="B1360" s="1">
        <f>DATE(2013,5,12) + TIME(23,3,35)</f>
        <v>41406.960821759261</v>
      </c>
      <c r="C1360">
        <v>80</v>
      </c>
      <c r="D1360">
        <v>79.940757751000007</v>
      </c>
      <c r="E1360">
        <v>50</v>
      </c>
      <c r="F1360">
        <v>49.045658111999998</v>
      </c>
      <c r="G1360">
        <v>1369.3005370999999</v>
      </c>
      <c r="H1360">
        <v>1358.6691894999999</v>
      </c>
      <c r="I1360">
        <v>1302.9078368999999</v>
      </c>
      <c r="J1360">
        <v>1289.8432617000001</v>
      </c>
      <c r="K1360">
        <v>1650</v>
      </c>
      <c r="L1360">
        <v>0</v>
      </c>
      <c r="M1360">
        <v>0</v>
      </c>
      <c r="N1360">
        <v>1650</v>
      </c>
    </row>
    <row r="1361" spans="1:14" x14ac:dyDescent="0.25">
      <c r="A1361">
        <v>1108.353926</v>
      </c>
      <c r="B1361" s="1">
        <f>DATE(2013,5,13) + TIME(8,29,39)</f>
        <v>41407.35392361111</v>
      </c>
      <c r="C1361">
        <v>80</v>
      </c>
      <c r="D1361">
        <v>79.940948485999996</v>
      </c>
      <c r="E1361">
        <v>50</v>
      </c>
      <c r="F1361">
        <v>49.020198821999998</v>
      </c>
      <c r="G1361">
        <v>1369.2585449000001</v>
      </c>
      <c r="H1361">
        <v>1358.6368408000001</v>
      </c>
      <c r="I1361">
        <v>1302.9035644999999</v>
      </c>
      <c r="J1361">
        <v>1289.8370361</v>
      </c>
      <c r="K1361">
        <v>1650</v>
      </c>
      <c r="L1361">
        <v>0</v>
      </c>
      <c r="M1361">
        <v>0</v>
      </c>
      <c r="N1361">
        <v>1650</v>
      </c>
    </row>
    <row r="1362" spans="1:14" x14ac:dyDescent="0.25">
      <c r="A1362">
        <v>1108.7571399999999</v>
      </c>
      <c r="B1362" s="1">
        <f>DATE(2013,5,13) + TIME(18,10,16)</f>
        <v>41407.75712962963</v>
      </c>
      <c r="C1362">
        <v>80</v>
      </c>
      <c r="D1362">
        <v>79.941101074000002</v>
      </c>
      <c r="E1362">
        <v>50</v>
      </c>
      <c r="F1362">
        <v>48.994258881</v>
      </c>
      <c r="G1362">
        <v>1369.2166748</v>
      </c>
      <c r="H1362">
        <v>1358.6046143000001</v>
      </c>
      <c r="I1362">
        <v>1302.8990478999999</v>
      </c>
      <c r="J1362">
        <v>1289.8306885</v>
      </c>
      <c r="K1362">
        <v>1650</v>
      </c>
      <c r="L1362">
        <v>0</v>
      </c>
      <c r="M1362">
        <v>0</v>
      </c>
      <c r="N1362">
        <v>1650</v>
      </c>
    </row>
    <row r="1363" spans="1:14" x14ac:dyDescent="0.25">
      <c r="A1363">
        <v>1109.1717550000001</v>
      </c>
      <c r="B1363" s="1">
        <f>DATE(2013,5,14) + TIME(4,7,19)</f>
        <v>41408.171747685185</v>
      </c>
      <c r="C1363">
        <v>80</v>
      </c>
      <c r="D1363">
        <v>79.941230774000005</v>
      </c>
      <c r="E1363">
        <v>50</v>
      </c>
      <c r="F1363">
        <v>48.967769623000002</v>
      </c>
      <c r="G1363">
        <v>1369.1746826000001</v>
      </c>
      <c r="H1363">
        <v>1358.5725098</v>
      </c>
      <c r="I1363">
        <v>1302.8945312000001</v>
      </c>
      <c r="J1363">
        <v>1289.8242187999999</v>
      </c>
      <c r="K1363">
        <v>1650</v>
      </c>
      <c r="L1363">
        <v>0</v>
      </c>
      <c r="M1363">
        <v>0</v>
      </c>
      <c r="N1363">
        <v>1650</v>
      </c>
    </row>
    <row r="1364" spans="1:14" x14ac:dyDescent="0.25">
      <c r="A1364">
        <v>1109.5991919999999</v>
      </c>
      <c r="B1364" s="1">
        <f>DATE(2013,5,14) + TIME(14,22,50)</f>
        <v>41408.599189814813</v>
      </c>
      <c r="C1364">
        <v>80</v>
      </c>
      <c r="D1364">
        <v>79.941329956000004</v>
      </c>
      <c r="E1364">
        <v>50</v>
      </c>
      <c r="F1364">
        <v>48.940662383999999</v>
      </c>
      <c r="G1364">
        <v>1369.1326904</v>
      </c>
      <c r="H1364">
        <v>1358.5402832</v>
      </c>
      <c r="I1364">
        <v>1302.8897704999999</v>
      </c>
      <c r="J1364">
        <v>1289.8175048999999</v>
      </c>
      <c r="K1364">
        <v>1650</v>
      </c>
      <c r="L1364">
        <v>0</v>
      </c>
      <c r="M1364">
        <v>0</v>
      </c>
      <c r="N1364">
        <v>1650</v>
      </c>
    </row>
    <row r="1365" spans="1:14" x14ac:dyDescent="0.25">
      <c r="A1365">
        <v>1110.0413189999999</v>
      </c>
      <c r="B1365" s="1">
        <f>DATE(2013,5,15) + TIME(0,59,29)</f>
        <v>41409.041307870371</v>
      </c>
      <c r="C1365">
        <v>80</v>
      </c>
      <c r="D1365">
        <v>79.941421508999994</v>
      </c>
      <c r="E1365">
        <v>50</v>
      </c>
      <c r="F1365">
        <v>48.912841796999999</v>
      </c>
      <c r="G1365">
        <v>1369.0904541</v>
      </c>
      <c r="H1365">
        <v>1358.5079346</v>
      </c>
      <c r="I1365">
        <v>1302.8848877</v>
      </c>
      <c r="J1365">
        <v>1289.8105469</v>
      </c>
      <c r="K1365">
        <v>1650</v>
      </c>
      <c r="L1365">
        <v>0</v>
      </c>
      <c r="M1365">
        <v>0</v>
      </c>
      <c r="N1365">
        <v>1650</v>
      </c>
    </row>
    <row r="1366" spans="1:14" x14ac:dyDescent="0.25">
      <c r="A1366">
        <v>1110.4997100000001</v>
      </c>
      <c r="B1366" s="1">
        <f>DATE(2013,5,15) + TIME(11,59,34)</f>
        <v>41409.499699074076</v>
      </c>
      <c r="C1366">
        <v>80</v>
      </c>
      <c r="D1366">
        <v>79.941482543999996</v>
      </c>
      <c r="E1366">
        <v>50</v>
      </c>
      <c r="F1366">
        <v>48.884227752999998</v>
      </c>
      <c r="G1366">
        <v>1369.0478516000001</v>
      </c>
      <c r="H1366">
        <v>1358.4753418</v>
      </c>
      <c r="I1366">
        <v>1302.8798827999999</v>
      </c>
      <c r="J1366">
        <v>1289.8032227000001</v>
      </c>
      <c r="K1366">
        <v>1650</v>
      </c>
      <c r="L1366">
        <v>0</v>
      </c>
      <c r="M1366">
        <v>0</v>
      </c>
      <c r="N1366">
        <v>1650</v>
      </c>
    </row>
    <row r="1367" spans="1:14" x14ac:dyDescent="0.25">
      <c r="A1367">
        <v>1110.972299</v>
      </c>
      <c r="B1367" s="1">
        <f>DATE(2013,5,15) + TIME(23,20,6)</f>
        <v>41409.972291666665</v>
      </c>
      <c r="C1367">
        <v>80</v>
      </c>
      <c r="D1367">
        <v>79.941535950000002</v>
      </c>
      <c r="E1367">
        <v>50</v>
      </c>
      <c r="F1367">
        <v>48.854900360000002</v>
      </c>
      <c r="G1367">
        <v>1369.0047606999999</v>
      </c>
      <c r="H1367">
        <v>1358.4423827999999</v>
      </c>
      <c r="I1367">
        <v>1302.8745117000001</v>
      </c>
      <c r="J1367">
        <v>1289.7957764</v>
      </c>
      <c r="K1367">
        <v>1650</v>
      </c>
      <c r="L1367">
        <v>0</v>
      </c>
      <c r="M1367">
        <v>0</v>
      </c>
      <c r="N1367">
        <v>1650</v>
      </c>
    </row>
    <row r="1368" spans="1:14" x14ac:dyDescent="0.25">
      <c r="A1368">
        <v>1111.458104</v>
      </c>
      <c r="B1368" s="1">
        <f>DATE(2013,5,16) + TIME(10,59,40)</f>
        <v>41410.458101851851</v>
      </c>
      <c r="C1368">
        <v>80</v>
      </c>
      <c r="D1368">
        <v>79.941581725999995</v>
      </c>
      <c r="E1368">
        <v>50</v>
      </c>
      <c r="F1368">
        <v>48.824905395999998</v>
      </c>
      <c r="G1368">
        <v>1368.9614257999999</v>
      </c>
      <c r="H1368">
        <v>1358.4094238</v>
      </c>
      <c r="I1368">
        <v>1302.8690185999999</v>
      </c>
      <c r="J1368">
        <v>1289.7879639</v>
      </c>
      <c r="K1368">
        <v>1650</v>
      </c>
      <c r="L1368">
        <v>0</v>
      </c>
      <c r="M1368">
        <v>0</v>
      </c>
      <c r="N1368">
        <v>1650</v>
      </c>
    </row>
    <row r="1369" spans="1:14" x14ac:dyDescent="0.25">
      <c r="A1369">
        <v>1111.95551</v>
      </c>
      <c r="B1369" s="1">
        <f>DATE(2013,5,16) + TIME(22,55,56)</f>
        <v>41410.955509259256</v>
      </c>
      <c r="C1369">
        <v>80</v>
      </c>
      <c r="D1369">
        <v>79.941604613999999</v>
      </c>
      <c r="E1369">
        <v>50</v>
      </c>
      <c r="F1369">
        <v>48.794319153000004</v>
      </c>
      <c r="G1369">
        <v>1368.9179687999999</v>
      </c>
      <c r="H1369">
        <v>1358.3762207</v>
      </c>
      <c r="I1369">
        <v>1302.8634033000001</v>
      </c>
      <c r="J1369">
        <v>1289.7797852000001</v>
      </c>
      <c r="K1369">
        <v>1650</v>
      </c>
      <c r="L1369">
        <v>0</v>
      </c>
      <c r="M1369">
        <v>0</v>
      </c>
      <c r="N1369">
        <v>1650</v>
      </c>
    </row>
    <row r="1370" spans="1:14" x14ac:dyDescent="0.25">
      <c r="A1370">
        <v>1112.4642759999999</v>
      </c>
      <c r="B1370" s="1">
        <f>DATE(2013,5,17) + TIME(11,8,33)</f>
        <v>41411.464270833334</v>
      </c>
      <c r="C1370">
        <v>80</v>
      </c>
      <c r="D1370">
        <v>79.941627502000003</v>
      </c>
      <c r="E1370">
        <v>50</v>
      </c>
      <c r="F1370">
        <v>48.763168335000003</v>
      </c>
      <c r="G1370">
        <v>1368.8745117000001</v>
      </c>
      <c r="H1370">
        <v>1358.3432617000001</v>
      </c>
      <c r="I1370">
        <v>1302.8575439000001</v>
      </c>
      <c r="J1370">
        <v>1289.7714844</v>
      </c>
      <c r="K1370">
        <v>1650</v>
      </c>
      <c r="L1370">
        <v>0</v>
      </c>
      <c r="M1370">
        <v>0</v>
      </c>
      <c r="N1370">
        <v>1650</v>
      </c>
    </row>
    <row r="1371" spans="1:14" x14ac:dyDescent="0.25">
      <c r="A1371">
        <v>1112.985768</v>
      </c>
      <c r="B1371" s="1">
        <f>DATE(2013,5,17) + TIME(23,39,30)</f>
        <v>41411.985763888886</v>
      </c>
      <c r="C1371">
        <v>80</v>
      </c>
      <c r="D1371">
        <v>79.941635132000002</v>
      </c>
      <c r="E1371">
        <v>50</v>
      </c>
      <c r="F1371">
        <v>48.731407165999997</v>
      </c>
      <c r="G1371">
        <v>1368.8312988</v>
      </c>
      <c r="H1371">
        <v>1358.3103027</v>
      </c>
      <c r="I1371">
        <v>1302.8514404</v>
      </c>
      <c r="J1371">
        <v>1289.7629394999999</v>
      </c>
      <c r="K1371">
        <v>1650</v>
      </c>
      <c r="L1371">
        <v>0</v>
      </c>
      <c r="M1371">
        <v>0</v>
      </c>
      <c r="N1371">
        <v>1650</v>
      </c>
    </row>
    <row r="1372" spans="1:14" x14ac:dyDescent="0.25">
      <c r="A1372">
        <v>1113.517566</v>
      </c>
      <c r="B1372" s="1">
        <f>DATE(2013,5,18) + TIME(12,25,17)</f>
        <v>41412.517557870371</v>
      </c>
      <c r="C1372">
        <v>80</v>
      </c>
      <c r="D1372">
        <v>79.941642760999997</v>
      </c>
      <c r="E1372">
        <v>50</v>
      </c>
      <c r="F1372">
        <v>48.699146270999996</v>
      </c>
      <c r="G1372">
        <v>1368.7879639</v>
      </c>
      <c r="H1372">
        <v>1358.2773437999999</v>
      </c>
      <c r="I1372">
        <v>1302.8452147999999</v>
      </c>
      <c r="J1372">
        <v>1289.7540283000001</v>
      </c>
      <c r="K1372">
        <v>1650</v>
      </c>
      <c r="L1372">
        <v>0</v>
      </c>
      <c r="M1372">
        <v>0</v>
      </c>
      <c r="N1372">
        <v>1650</v>
      </c>
    </row>
    <row r="1373" spans="1:14" x14ac:dyDescent="0.25">
      <c r="A1373">
        <v>1114.054952</v>
      </c>
      <c r="B1373" s="1">
        <f>DATE(2013,5,19) + TIME(1,19,7)</f>
        <v>41413.054942129631</v>
      </c>
      <c r="C1373">
        <v>80</v>
      </c>
      <c r="D1373">
        <v>79.941642760999997</v>
      </c>
      <c r="E1373">
        <v>50</v>
      </c>
      <c r="F1373">
        <v>48.666603088000002</v>
      </c>
      <c r="G1373">
        <v>1368.744751</v>
      </c>
      <c r="H1373">
        <v>1358.2446289</v>
      </c>
      <c r="I1373">
        <v>1302.8388672000001</v>
      </c>
      <c r="J1373">
        <v>1289.7449951000001</v>
      </c>
      <c r="K1373">
        <v>1650</v>
      </c>
      <c r="L1373">
        <v>0</v>
      </c>
      <c r="M1373">
        <v>0</v>
      </c>
      <c r="N1373">
        <v>1650</v>
      </c>
    </row>
    <row r="1374" spans="1:14" x14ac:dyDescent="0.25">
      <c r="A1374">
        <v>1114.5994459999999</v>
      </c>
      <c r="B1374" s="1">
        <f>DATE(2013,5,19) + TIME(14,23,12)</f>
        <v>41413.599444444444</v>
      </c>
      <c r="C1374">
        <v>80</v>
      </c>
      <c r="D1374">
        <v>79.941635132000002</v>
      </c>
      <c r="E1374">
        <v>50</v>
      </c>
      <c r="F1374">
        <v>48.633747100999997</v>
      </c>
      <c r="G1374">
        <v>1368.7021483999999</v>
      </c>
      <c r="H1374">
        <v>1358.2124022999999</v>
      </c>
      <c r="I1374">
        <v>1302.8323975000001</v>
      </c>
      <c r="J1374">
        <v>1289.7357178</v>
      </c>
      <c r="K1374">
        <v>1650</v>
      </c>
      <c r="L1374">
        <v>0</v>
      </c>
      <c r="M1374">
        <v>0</v>
      </c>
      <c r="N1374">
        <v>1650</v>
      </c>
    </row>
    <row r="1375" spans="1:14" x14ac:dyDescent="0.25">
      <c r="A1375">
        <v>1115.15255</v>
      </c>
      <c r="B1375" s="1">
        <f>DATE(2013,5,20) + TIME(3,39,40)</f>
        <v>41414.152546296296</v>
      </c>
      <c r="C1375">
        <v>80</v>
      </c>
      <c r="D1375">
        <v>79.941627502000003</v>
      </c>
      <c r="E1375">
        <v>50</v>
      </c>
      <c r="F1375">
        <v>48.600540160999998</v>
      </c>
      <c r="G1375">
        <v>1368.6600341999999</v>
      </c>
      <c r="H1375">
        <v>1358.1804199000001</v>
      </c>
      <c r="I1375">
        <v>1302.8258057</v>
      </c>
      <c r="J1375">
        <v>1289.7263184000001</v>
      </c>
      <c r="K1375">
        <v>1650</v>
      </c>
      <c r="L1375">
        <v>0</v>
      </c>
      <c r="M1375">
        <v>0</v>
      </c>
      <c r="N1375">
        <v>1650</v>
      </c>
    </row>
    <row r="1376" spans="1:14" x14ac:dyDescent="0.25">
      <c r="A1376">
        <v>1115.7158529999999</v>
      </c>
      <c r="B1376" s="1">
        <f>DATE(2013,5,20) + TIME(17,10,49)</f>
        <v>41414.715844907405</v>
      </c>
      <c r="C1376">
        <v>80</v>
      </c>
      <c r="D1376">
        <v>79.941612243999998</v>
      </c>
      <c r="E1376">
        <v>50</v>
      </c>
      <c r="F1376">
        <v>48.566925048999998</v>
      </c>
      <c r="G1376">
        <v>1368.6181641000001</v>
      </c>
      <c r="H1376">
        <v>1358.1488036999999</v>
      </c>
      <c r="I1376">
        <v>1302.8189697</v>
      </c>
      <c r="J1376">
        <v>1289.7166748</v>
      </c>
      <c r="K1376">
        <v>1650</v>
      </c>
      <c r="L1376">
        <v>0</v>
      </c>
      <c r="M1376">
        <v>0</v>
      </c>
      <c r="N1376">
        <v>1650</v>
      </c>
    </row>
    <row r="1377" spans="1:14" x14ac:dyDescent="0.25">
      <c r="A1377">
        <v>1116.291037</v>
      </c>
      <c r="B1377" s="1">
        <f>DATE(2013,5,21) + TIME(6,59,5)</f>
        <v>41415.291030092594</v>
      </c>
      <c r="C1377">
        <v>80</v>
      </c>
      <c r="D1377">
        <v>79.941596985000004</v>
      </c>
      <c r="E1377">
        <v>50</v>
      </c>
      <c r="F1377">
        <v>48.532829284999998</v>
      </c>
      <c r="G1377">
        <v>1368.5765381000001</v>
      </c>
      <c r="H1377">
        <v>1358.1173096</v>
      </c>
      <c r="I1377">
        <v>1302.8120117000001</v>
      </c>
      <c r="J1377">
        <v>1289.7067870999999</v>
      </c>
      <c r="K1377">
        <v>1650</v>
      </c>
      <c r="L1377">
        <v>0</v>
      </c>
      <c r="M1377">
        <v>0</v>
      </c>
      <c r="N1377">
        <v>1650</v>
      </c>
    </row>
    <row r="1378" spans="1:14" x14ac:dyDescent="0.25">
      <c r="A1378">
        <v>1116.878847</v>
      </c>
      <c r="B1378" s="1">
        <f>DATE(2013,5,21) + TIME(21,5,32)</f>
        <v>41415.878842592596</v>
      </c>
      <c r="C1378">
        <v>80</v>
      </c>
      <c r="D1378">
        <v>79.941574097</v>
      </c>
      <c r="E1378">
        <v>50</v>
      </c>
      <c r="F1378">
        <v>48.498218536000003</v>
      </c>
      <c r="G1378">
        <v>1368.5349120999999</v>
      </c>
      <c r="H1378">
        <v>1358.0858154</v>
      </c>
      <c r="I1378">
        <v>1302.8049315999999</v>
      </c>
      <c r="J1378">
        <v>1289.6965332</v>
      </c>
      <c r="K1378">
        <v>1650</v>
      </c>
      <c r="L1378">
        <v>0</v>
      </c>
      <c r="M1378">
        <v>0</v>
      </c>
      <c r="N1378">
        <v>1650</v>
      </c>
    </row>
    <row r="1379" spans="1:14" x14ac:dyDescent="0.25">
      <c r="A1379">
        <v>1117.4764889999999</v>
      </c>
      <c r="B1379" s="1">
        <f>DATE(2013,5,22) + TIME(11,26,8)</f>
        <v>41416.476481481484</v>
      </c>
      <c r="C1379">
        <v>80</v>
      </c>
      <c r="D1379">
        <v>79.941558838000006</v>
      </c>
      <c r="E1379">
        <v>50</v>
      </c>
      <c r="F1379">
        <v>48.463188170999999</v>
      </c>
      <c r="G1379">
        <v>1368.4934082</v>
      </c>
      <c r="H1379">
        <v>1358.0544434000001</v>
      </c>
      <c r="I1379">
        <v>1302.7976074000001</v>
      </c>
      <c r="J1379">
        <v>1289.6860352000001</v>
      </c>
      <c r="K1379">
        <v>1650</v>
      </c>
      <c r="L1379">
        <v>0</v>
      </c>
      <c r="M1379">
        <v>0</v>
      </c>
      <c r="N1379">
        <v>1650</v>
      </c>
    </row>
    <row r="1380" spans="1:14" x14ac:dyDescent="0.25">
      <c r="A1380">
        <v>1118.085636</v>
      </c>
      <c r="B1380" s="1">
        <f>DATE(2013,5,23) + TIME(2,3,18)</f>
        <v>41417.085625</v>
      </c>
      <c r="C1380">
        <v>80</v>
      </c>
      <c r="D1380">
        <v>79.941535950000002</v>
      </c>
      <c r="E1380">
        <v>50</v>
      </c>
      <c r="F1380">
        <v>48.427692413000003</v>
      </c>
      <c r="G1380">
        <v>1368.4520264</v>
      </c>
      <c r="H1380">
        <v>1358.0231934000001</v>
      </c>
      <c r="I1380">
        <v>1302.7900391000001</v>
      </c>
      <c r="J1380">
        <v>1289.6751709</v>
      </c>
      <c r="K1380">
        <v>1650</v>
      </c>
      <c r="L1380">
        <v>0</v>
      </c>
      <c r="M1380">
        <v>0</v>
      </c>
      <c r="N1380">
        <v>1650</v>
      </c>
    </row>
    <row r="1381" spans="1:14" x14ac:dyDescent="0.25">
      <c r="A1381">
        <v>1118.7080000000001</v>
      </c>
      <c r="B1381" s="1">
        <f>DATE(2013,5,23) + TIME(16,59,31)</f>
        <v>41417.707997685182</v>
      </c>
      <c r="C1381">
        <v>80</v>
      </c>
      <c r="D1381">
        <v>79.941513061999999</v>
      </c>
      <c r="E1381">
        <v>50</v>
      </c>
      <c r="F1381">
        <v>48.391662598000003</v>
      </c>
      <c r="G1381">
        <v>1368.4107666</v>
      </c>
      <c r="H1381">
        <v>1357.9920654</v>
      </c>
      <c r="I1381">
        <v>1302.7823486</v>
      </c>
      <c r="J1381">
        <v>1289.6640625</v>
      </c>
      <c r="K1381">
        <v>1650</v>
      </c>
      <c r="L1381">
        <v>0</v>
      </c>
      <c r="M1381">
        <v>0</v>
      </c>
      <c r="N1381">
        <v>1650</v>
      </c>
    </row>
    <row r="1382" spans="1:14" x14ac:dyDescent="0.25">
      <c r="A1382">
        <v>1119.3454300000001</v>
      </c>
      <c r="B1382" s="1">
        <f>DATE(2013,5,24) + TIME(8,17,25)</f>
        <v>41418.34542824074</v>
      </c>
      <c r="C1382">
        <v>80</v>
      </c>
      <c r="D1382">
        <v>79.941490173000005</v>
      </c>
      <c r="E1382">
        <v>50</v>
      </c>
      <c r="F1382">
        <v>48.355018616000002</v>
      </c>
      <c r="G1382">
        <v>1368.3695068</v>
      </c>
      <c r="H1382">
        <v>1357.9609375</v>
      </c>
      <c r="I1382">
        <v>1302.7742920000001</v>
      </c>
      <c r="J1382">
        <v>1289.6525879000001</v>
      </c>
      <c r="K1382">
        <v>1650</v>
      </c>
      <c r="L1382">
        <v>0</v>
      </c>
      <c r="M1382">
        <v>0</v>
      </c>
      <c r="N1382">
        <v>1650</v>
      </c>
    </row>
    <row r="1383" spans="1:14" x14ac:dyDescent="0.25">
      <c r="A1383">
        <v>1119.999955</v>
      </c>
      <c r="B1383" s="1">
        <f>DATE(2013,5,24) + TIME(23,59,56)</f>
        <v>41418.9999537037</v>
      </c>
      <c r="C1383">
        <v>80</v>
      </c>
      <c r="D1383">
        <v>79.941459656000006</v>
      </c>
      <c r="E1383">
        <v>50</v>
      </c>
      <c r="F1383">
        <v>48.317672729000002</v>
      </c>
      <c r="G1383">
        <v>1368.328125</v>
      </c>
      <c r="H1383">
        <v>1357.9298096</v>
      </c>
      <c r="I1383">
        <v>1302.7661132999999</v>
      </c>
      <c r="J1383">
        <v>1289.6407471</v>
      </c>
      <c r="K1383">
        <v>1650</v>
      </c>
      <c r="L1383">
        <v>0</v>
      </c>
      <c r="M1383">
        <v>0</v>
      </c>
      <c r="N1383">
        <v>1650</v>
      </c>
    </row>
    <row r="1384" spans="1:14" x14ac:dyDescent="0.25">
      <c r="A1384">
        <v>1120.673816</v>
      </c>
      <c r="B1384" s="1">
        <f>DATE(2013,5,25) + TIME(16,10,17)</f>
        <v>41419.673807870371</v>
      </c>
      <c r="C1384">
        <v>80</v>
      </c>
      <c r="D1384">
        <v>79.941436768000003</v>
      </c>
      <c r="E1384">
        <v>50</v>
      </c>
      <c r="F1384">
        <v>48.279518127000003</v>
      </c>
      <c r="G1384">
        <v>1368.2866211</v>
      </c>
      <c r="H1384">
        <v>1357.8984375</v>
      </c>
      <c r="I1384">
        <v>1302.7575684000001</v>
      </c>
      <c r="J1384">
        <v>1289.6285399999999</v>
      </c>
      <c r="K1384">
        <v>1650</v>
      </c>
      <c r="L1384">
        <v>0</v>
      </c>
      <c r="M1384">
        <v>0</v>
      </c>
      <c r="N1384">
        <v>1650</v>
      </c>
    </row>
    <row r="1385" spans="1:14" x14ac:dyDescent="0.25">
      <c r="A1385">
        <v>1121.3680830000001</v>
      </c>
      <c r="B1385" s="1">
        <f>DATE(2013,5,26) + TIME(8,50,2)</f>
        <v>41420.368078703701</v>
      </c>
      <c r="C1385">
        <v>80</v>
      </c>
      <c r="D1385">
        <v>79.941413878999995</v>
      </c>
      <c r="E1385">
        <v>50</v>
      </c>
      <c r="F1385">
        <v>48.240501404</v>
      </c>
      <c r="G1385">
        <v>1368.244751</v>
      </c>
      <c r="H1385">
        <v>1357.8668213000001</v>
      </c>
      <c r="I1385">
        <v>1302.7487793</v>
      </c>
      <c r="J1385">
        <v>1289.6157227000001</v>
      </c>
      <c r="K1385">
        <v>1650</v>
      </c>
      <c r="L1385">
        <v>0</v>
      </c>
      <c r="M1385">
        <v>0</v>
      </c>
      <c r="N1385">
        <v>1650</v>
      </c>
    </row>
    <row r="1386" spans="1:14" x14ac:dyDescent="0.25">
      <c r="A1386">
        <v>1122.0681959999999</v>
      </c>
      <c r="B1386" s="1">
        <f>DATE(2013,5,27) + TIME(1,38,12)</f>
        <v>41421.068194444444</v>
      </c>
      <c r="C1386">
        <v>80</v>
      </c>
      <c r="D1386">
        <v>79.941383361999996</v>
      </c>
      <c r="E1386">
        <v>50</v>
      </c>
      <c r="F1386">
        <v>48.201118469000001</v>
      </c>
      <c r="G1386">
        <v>1368.2023925999999</v>
      </c>
      <c r="H1386">
        <v>1357.8349608999999</v>
      </c>
      <c r="I1386">
        <v>1302.7395019999999</v>
      </c>
      <c r="J1386">
        <v>1289.6024170000001</v>
      </c>
      <c r="K1386">
        <v>1650</v>
      </c>
      <c r="L1386">
        <v>0</v>
      </c>
      <c r="M1386">
        <v>0</v>
      </c>
      <c r="N1386">
        <v>1650</v>
      </c>
    </row>
    <row r="1387" spans="1:14" x14ac:dyDescent="0.25">
      <c r="A1387">
        <v>1122.7738220000001</v>
      </c>
      <c r="B1387" s="1">
        <f>DATE(2013,5,27) + TIME(18,34,18)</f>
        <v>41421.773819444446</v>
      </c>
      <c r="C1387">
        <v>80</v>
      </c>
      <c r="D1387">
        <v>79.941360474000007</v>
      </c>
      <c r="E1387">
        <v>50</v>
      </c>
      <c r="F1387">
        <v>48.161472320999998</v>
      </c>
      <c r="G1387">
        <v>1368.1606445</v>
      </c>
      <c r="H1387">
        <v>1357.8035889</v>
      </c>
      <c r="I1387">
        <v>1302.7301024999999</v>
      </c>
      <c r="J1387">
        <v>1289.5888672000001</v>
      </c>
      <c r="K1387">
        <v>1650</v>
      </c>
      <c r="L1387">
        <v>0</v>
      </c>
      <c r="M1387">
        <v>0</v>
      </c>
      <c r="N1387">
        <v>1650</v>
      </c>
    </row>
    <row r="1388" spans="1:14" x14ac:dyDescent="0.25">
      <c r="A1388">
        <v>1123.486985</v>
      </c>
      <c r="B1388" s="1">
        <f>DATE(2013,5,28) + TIME(11,41,15)</f>
        <v>41422.486979166664</v>
      </c>
      <c r="C1388">
        <v>80</v>
      </c>
      <c r="D1388">
        <v>79.941337584999999</v>
      </c>
      <c r="E1388">
        <v>50</v>
      </c>
      <c r="F1388">
        <v>48.121551513999997</v>
      </c>
      <c r="G1388">
        <v>1368.1195068</v>
      </c>
      <c r="H1388">
        <v>1357.7724608999999</v>
      </c>
      <c r="I1388">
        <v>1302.7204589999999</v>
      </c>
      <c r="J1388">
        <v>1289.5749512</v>
      </c>
      <c r="K1388">
        <v>1650</v>
      </c>
      <c r="L1388">
        <v>0</v>
      </c>
      <c r="M1388">
        <v>0</v>
      </c>
      <c r="N1388">
        <v>1650</v>
      </c>
    </row>
    <row r="1389" spans="1:14" x14ac:dyDescent="0.25">
      <c r="A1389">
        <v>1124.209717</v>
      </c>
      <c r="B1389" s="1">
        <f>DATE(2013,5,29) + TIME(5,1,59)</f>
        <v>41423.209710648145</v>
      </c>
      <c r="C1389">
        <v>80</v>
      </c>
      <c r="D1389">
        <v>79.941307068</v>
      </c>
      <c r="E1389">
        <v>50</v>
      </c>
      <c r="F1389">
        <v>48.081306458</v>
      </c>
      <c r="G1389">
        <v>1368.0786132999999</v>
      </c>
      <c r="H1389">
        <v>1357.7418213000001</v>
      </c>
      <c r="I1389">
        <v>1302.7106934000001</v>
      </c>
      <c r="J1389">
        <v>1289.5607910000001</v>
      </c>
      <c r="K1389">
        <v>1650</v>
      </c>
      <c r="L1389">
        <v>0</v>
      </c>
      <c r="M1389">
        <v>0</v>
      </c>
      <c r="N1389">
        <v>1650</v>
      </c>
    </row>
    <row r="1390" spans="1:14" x14ac:dyDescent="0.25">
      <c r="A1390">
        <v>1124.9441200000001</v>
      </c>
      <c r="B1390" s="1">
        <f>DATE(2013,5,29) + TIME(22,39,31)</f>
        <v>41423.944108796299</v>
      </c>
      <c r="C1390">
        <v>80</v>
      </c>
      <c r="D1390">
        <v>79.941284179999997</v>
      </c>
      <c r="E1390">
        <v>50</v>
      </c>
      <c r="F1390">
        <v>48.040664673000002</v>
      </c>
      <c r="G1390">
        <v>1368.0380858999999</v>
      </c>
      <c r="H1390">
        <v>1357.7113036999999</v>
      </c>
      <c r="I1390">
        <v>1302.7006836</v>
      </c>
      <c r="J1390">
        <v>1289.5462646000001</v>
      </c>
      <c r="K1390">
        <v>1650</v>
      </c>
      <c r="L1390">
        <v>0</v>
      </c>
      <c r="M1390">
        <v>0</v>
      </c>
      <c r="N1390">
        <v>1650</v>
      </c>
    </row>
    <row r="1391" spans="1:14" x14ac:dyDescent="0.25">
      <c r="A1391">
        <v>1125.6924059999999</v>
      </c>
      <c r="B1391" s="1">
        <f>DATE(2013,5,30) + TIME(16,37,3)</f>
        <v>41424.692395833335</v>
      </c>
      <c r="C1391">
        <v>80</v>
      </c>
      <c r="D1391">
        <v>79.941261291999993</v>
      </c>
      <c r="E1391">
        <v>50</v>
      </c>
      <c r="F1391">
        <v>47.999542236000003</v>
      </c>
      <c r="G1391">
        <v>1367.9976807</v>
      </c>
      <c r="H1391">
        <v>1357.6807861</v>
      </c>
      <c r="I1391">
        <v>1302.6904297000001</v>
      </c>
      <c r="J1391">
        <v>1289.53125</v>
      </c>
      <c r="K1391">
        <v>1650</v>
      </c>
      <c r="L1391">
        <v>0</v>
      </c>
      <c r="M1391">
        <v>0</v>
      </c>
      <c r="N1391">
        <v>1650</v>
      </c>
    </row>
    <row r="1392" spans="1:14" x14ac:dyDescent="0.25">
      <c r="A1392">
        <v>1126.4569320000001</v>
      </c>
      <c r="B1392" s="1">
        <f>DATE(2013,5,31) + TIME(10,57,58)</f>
        <v>41425.456921296296</v>
      </c>
      <c r="C1392">
        <v>80</v>
      </c>
      <c r="D1392">
        <v>79.941238403</v>
      </c>
      <c r="E1392">
        <v>50</v>
      </c>
      <c r="F1392">
        <v>47.957836151000002</v>
      </c>
      <c r="G1392">
        <v>1367.9573975000001</v>
      </c>
      <c r="H1392">
        <v>1357.6503906</v>
      </c>
      <c r="I1392">
        <v>1302.6799315999999</v>
      </c>
      <c r="J1392">
        <v>1289.5158690999999</v>
      </c>
      <c r="K1392">
        <v>1650</v>
      </c>
      <c r="L1392">
        <v>0</v>
      </c>
      <c r="M1392">
        <v>0</v>
      </c>
      <c r="N1392">
        <v>1650</v>
      </c>
    </row>
    <row r="1393" spans="1:14" x14ac:dyDescent="0.25">
      <c r="A1393">
        <v>1127</v>
      </c>
      <c r="B1393" s="1">
        <f>DATE(2013,6,1) + TIME(0,0,0)</f>
        <v>41426</v>
      </c>
      <c r="C1393">
        <v>80</v>
      </c>
      <c r="D1393">
        <v>79.941215514999996</v>
      </c>
      <c r="E1393">
        <v>50</v>
      </c>
      <c r="F1393">
        <v>47.924518585000001</v>
      </c>
      <c r="G1393">
        <v>1367.9167480000001</v>
      </c>
      <c r="H1393">
        <v>1357.6198730000001</v>
      </c>
      <c r="I1393">
        <v>1302.6683350000001</v>
      </c>
      <c r="J1393">
        <v>1289.5006103999999</v>
      </c>
      <c r="K1393">
        <v>1650</v>
      </c>
      <c r="L1393">
        <v>0</v>
      </c>
      <c r="M1393">
        <v>0</v>
      </c>
      <c r="N1393">
        <v>1650</v>
      </c>
    </row>
    <row r="1394" spans="1:14" x14ac:dyDescent="0.25">
      <c r="A1394">
        <v>1127.7833109999999</v>
      </c>
      <c r="B1394" s="1">
        <f>DATE(2013,6,1) + TIME(18,47,58)</f>
        <v>41426.783310185187</v>
      </c>
      <c r="C1394">
        <v>80</v>
      </c>
      <c r="D1394">
        <v>79.941192627000007</v>
      </c>
      <c r="E1394">
        <v>50</v>
      </c>
      <c r="F1394">
        <v>47.883529662999997</v>
      </c>
      <c r="G1394">
        <v>1367.8885498</v>
      </c>
      <c r="H1394">
        <v>1357.5986327999999</v>
      </c>
      <c r="I1394">
        <v>1302.6611327999999</v>
      </c>
      <c r="J1394">
        <v>1289.4879149999999</v>
      </c>
      <c r="K1394">
        <v>1650</v>
      </c>
      <c r="L1394">
        <v>0</v>
      </c>
      <c r="M1394">
        <v>0</v>
      </c>
      <c r="N1394">
        <v>1650</v>
      </c>
    </row>
    <row r="1395" spans="1:14" x14ac:dyDescent="0.25">
      <c r="A1395">
        <v>1128.590119</v>
      </c>
      <c r="B1395" s="1">
        <f>DATE(2013,6,2) + TIME(14,9,46)</f>
        <v>41427.590115740742</v>
      </c>
      <c r="C1395">
        <v>80</v>
      </c>
      <c r="D1395">
        <v>79.941169739000003</v>
      </c>
      <c r="E1395">
        <v>50</v>
      </c>
      <c r="F1395">
        <v>47.841178894000002</v>
      </c>
      <c r="G1395">
        <v>1367.8485106999999</v>
      </c>
      <c r="H1395">
        <v>1357.5684814000001</v>
      </c>
      <c r="I1395">
        <v>1302.6497803</v>
      </c>
      <c r="J1395">
        <v>1289.4713135</v>
      </c>
      <c r="K1395">
        <v>1650</v>
      </c>
      <c r="L1395">
        <v>0</v>
      </c>
      <c r="M1395">
        <v>0</v>
      </c>
      <c r="N1395">
        <v>1650</v>
      </c>
    </row>
    <row r="1396" spans="1:14" x14ac:dyDescent="0.25">
      <c r="A1396">
        <v>1129.4119889999999</v>
      </c>
      <c r="B1396" s="1">
        <f>DATE(2013,6,3) + TIME(9,53,15)</f>
        <v>41428.411979166667</v>
      </c>
      <c r="C1396">
        <v>80</v>
      </c>
      <c r="D1396">
        <v>79.941154479999994</v>
      </c>
      <c r="E1396">
        <v>50</v>
      </c>
      <c r="F1396">
        <v>47.797855376999998</v>
      </c>
      <c r="G1396">
        <v>1367.8079834</v>
      </c>
      <c r="H1396">
        <v>1357.5378418</v>
      </c>
      <c r="I1396">
        <v>1302.6378173999999</v>
      </c>
      <c r="J1396">
        <v>1289.4538574000001</v>
      </c>
      <c r="K1396">
        <v>1650</v>
      </c>
      <c r="L1396">
        <v>0</v>
      </c>
      <c r="M1396">
        <v>0</v>
      </c>
      <c r="N1396">
        <v>1650</v>
      </c>
    </row>
    <row r="1397" spans="1:14" x14ac:dyDescent="0.25">
      <c r="A1397">
        <v>1130.251522</v>
      </c>
      <c r="B1397" s="1">
        <f>DATE(2013,6,4) + TIME(6,2,11)</f>
        <v>41429.251516203702</v>
      </c>
      <c r="C1397">
        <v>80</v>
      </c>
      <c r="D1397">
        <v>79.941131592000005</v>
      </c>
      <c r="E1397">
        <v>50</v>
      </c>
      <c r="F1397">
        <v>47.753616332999997</v>
      </c>
      <c r="G1397">
        <v>1367.7673339999999</v>
      </c>
      <c r="H1397">
        <v>1357.5073242000001</v>
      </c>
      <c r="I1397">
        <v>1302.6254882999999</v>
      </c>
      <c r="J1397">
        <v>1289.4357910000001</v>
      </c>
      <c r="K1397">
        <v>1650</v>
      </c>
      <c r="L1397">
        <v>0</v>
      </c>
      <c r="M1397">
        <v>0</v>
      </c>
      <c r="N1397">
        <v>1650</v>
      </c>
    </row>
    <row r="1398" spans="1:14" x14ac:dyDescent="0.25">
      <c r="A1398">
        <v>1131.1113760000001</v>
      </c>
      <c r="B1398" s="1">
        <f>DATE(2013,6,5) + TIME(2,40,22)</f>
        <v>41430.11136574074</v>
      </c>
      <c r="C1398">
        <v>80</v>
      </c>
      <c r="D1398">
        <v>79.941108704000001</v>
      </c>
      <c r="E1398">
        <v>50</v>
      </c>
      <c r="F1398">
        <v>47.708457946999999</v>
      </c>
      <c r="G1398">
        <v>1367.7266846</v>
      </c>
      <c r="H1398">
        <v>1357.4766846</v>
      </c>
      <c r="I1398">
        <v>1302.612793</v>
      </c>
      <c r="J1398">
        <v>1289.4169922000001</v>
      </c>
      <c r="K1398">
        <v>1650</v>
      </c>
      <c r="L1398">
        <v>0</v>
      </c>
      <c r="M1398">
        <v>0</v>
      </c>
      <c r="N1398">
        <v>1650</v>
      </c>
    </row>
    <row r="1399" spans="1:14" x14ac:dyDescent="0.25">
      <c r="A1399">
        <v>1131.9944849999999</v>
      </c>
      <c r="B1399" s="1">
        <f>DATE(2013,6,5) + TIME(23,52,3)</f>
        <v>41430.994479166664</v>
      </c>
      <c r="C1399">
        <v>80</v>
      </c>
      <c r="D1399">
        <v>79.941093445000007</v>
      </c>
      <c r="E1399">
        <v>50</v>
      </c>
      <c r="F1399">
        <v>47.662319183000001</v>
      </c>
      <c r="G1399">
        <v>1367.6857910000001</v>
      </c>
      <c r="H1399">
        <v>1357.4458007999999</v>
      </c>
      <c r="I1399">
        <v>1302.5996094</v>
      </c>
      <c r="J1399">
        <v>1289.3974608999999</v>
      </c>
      <c r="K1399">
        <v>1650</v>
      </c>
      <c r="L1399">
        <v>0</v>
      </c>
      <c r="M1399">
        <v>0</v>
      </c>
      <c r="N1399">
        <v>1650</v>
      </c>
    </row>
    <row r="1400" spans="1:14" x14ac:dyDescent="0.25">
      <c r="A1400">
        <v>1132.8918209999999</v>
      </c>
      <c r="B1400" s="1">
        <f>DATE(2013,6,6) + TIME(21,24,13)</f>
        <v>41431.891817129632</v>
      </c>
      <c r="C1400">
        <v>80</v>
      </c>
      <c r="D1400">
        <v>79.941070557000003</v>
      </c>
      <c r="E1400">
        <v>50</v>
      </c>
      <c r="F1400">
        <v>47.615467072000001</v>
      </c>
      <c r="G1400">
        <v>1367.6446533000001</v>
      </c>
      <c r="H1400">
        <v>1357.4147949000001</v>
      </c>
      <c r="I1400">
        <v>1302.5858154</v>
      </c>
      <c r="J1400">
        <v>1289.3770752</v>
      </c>
      <c r="K1400">
        <v>1650</v>
      </c>
      <c r="L1400">
        <v>0</v>
      </c>
      <c r="M1400">
        <v>0</v>
      </c>
      <c r="N1400">
        <v>1650</v>
      </c>
    </row>
    <row r="1401" spans="1:14" x14ac:dyDescent="0.25">
      <c r="A1401">
        <v>1133.796257</v>
      </c>
      <c r="B1401" s="1">
        <f>DATE(2013,6,7) + TIME(19,6,36)</f>
        <v>41432.796249999999</v>
      </c>
      <c r="C1401">
        <v>80</v>
      </c>
      <c r="D1401">
        <v>79.941047667999996</v>
      </c>
      <c r="E1401">
        <v>50</v>
      </c>
      <c r="F1401">
        <v>47.568195342999999</v>
      </c>
      <c r="G1401">
        <v>1367.6035156</v>
      </c>
      <c r="H1401">
        <v>1357.3836670000001</v>
      </c>
      <c r="I1401">
        <v>1302.5716553</v>
      </c>
      <c r="J1401">
        <v>1289.3560791</v>
      </c>
      <c r="K1401">
        <v>1650</v>
      </c>
      <c r="L1401">
        <v>0</v>
      </c>
      <c r="M1401">
        <v>0</v>
      </c>
      <c r="N1401">
        <v>1650</v>
      </c>
    </row>
    <row r="1402" spans="1:14" x14ac:dyDescent="0.25">
      <c r="A1402">
        <v>1134.7105369999999</v>
      </c>
      <c r="B1402" s="1">
        <f>DATE(2013,6,8) + TIME(17,3,10)</f>
        <v>41433.710532407407</v>
      </c>
      <c r="C1402">
        <v>80</v>
      </c>
      <c r="D1402">
        <v>79.941032410000005</v>
      </c>
      <c r="E1402">
        <v>50</v>
      </c>
      <c r="F1402">
        <v>47.520538330000001</v>
      </c>
      <c r="G1402">
        <v>1367.5627440999999</v>
      </c>
      <c r="H1402">
        <v>1357.3530272999999</v>
      </c>
      <c r="I1402">
        <v>1302.557251</v>
      </c>
      <c r="J1402">
        <v>1289.3344727000001</v>
      </c>
      <c r="K1402">
        <v>1650</v>
      </c>
      <c r="L1402">
        <v>0</v>
      </c>
      <c r="M1402">
        <v>0</v>
      </c>
      <c r="N1402">
        <v>1650</v>
      </c>
    </row>
    <row r="1403" spans="1:14" x14ac:dyDescent="0.25">
      <c r="A1403">
        <v>1135.6374029999999</v>
      </c>
      <c r="B1403" s="1">
        <f>DATE(2013,6,9) + TIME(15,17,51)</f>
        <v>41434.637395833335</v>
      </c>
      <c r="C1403">
        <v>80</v>
      </c>
      <c r="D1403">
        <v>79.941017150999997</v>
      </c>
      <c r="E1403">
        <v>50</v>
      </c>
      <c r="F1403">
        <v>47.472450256000002</v>
      </c>
      <c r="G1403">
        <v>1367.5223389</v>
      </c>
      <c r="H1403">
        <v>1357.3223877</v>
      </c>
      <c r="I1403">
        <v>1302.5423584</v>
      </c>
      <c r="J1403">
        <v>1289.3122559000001</v>
      </c>
      <c r="K1403">
        <v>1650</v>
      </c>
      <c r="L1403">
        <v>0</v>
      </c>
      <c r="M1403">
        <v>0</v>
      </c>
      <c r="N1403">
        <v>1650</v>
      </c>
    </row>
    <row r="1404" spans="1:14" x14ac:dyDescent="0.25">
      <c r="A1404">
        <v>1136.5797010000001</v>
      </c>
      <c r="B1404" s="1">
        <f>DATE(2013,6,10) + TIME(13,54,46)</f>
        <v>41435.579699074071</v>
      </c>
      <c r="C1404">
        <v>80</v>
      </c>
      <c r="D1404">
        <v>79.940994262999993</v>
      </c>
      <c r="E1404">
        <v>50</v>
      </c>
      <c r="F1404">
        <v>47.423843384000001</v>
      </c>
      <c r="G1404">
        <v>1367.4821777</v>
      </c>
      <c r="H1404">
        <v>1357.2919922000001</v>
      </c>
      <c r="I1404">
        <v>1302.5272216999999</v>
      </c>
      <c r="J1404">
        <v>1289.2893065999999</v>
      </c>
      <c r="K1404">
        <v>1650</v>
      </c>
      <c r="L1404">
        <v>0</v>
      </c>
      <c r="M1404">
        <v>0</v>
      </c>
      <c r="N1404">
        <v>1650</v>
      </c>
    </row>
    <row r="1405" spans="1:14" x14ac:dyDescent="0.25">
      <c r="A1405">
        <v>1137.540432</v>
      </c>
      <c r="B1405" s="1">
        <f>DATE(2013,6,11) + TIME(12,58,13)</f>
        <v>41436.54042824074</v>
      </c>
      <c r="C1405">
        <v>80</v>
      </c>
      <c r="D1405">
        <v>79.940979003999999</v>
      </c>
      <c r="E1405">
        <v>50</v>
      </c>
      <c r="F1405">
        <v>47.374610900999997</v>
      </c>
      <c r="G1405">
        <v>1367.4418945</v>
      </c>
      <c r="H1405">
        <v>1357.2615966999999</v>
      </c>
      <c r="I1405">
        <v>1302.5114745999999</v>
      </c>
      <c r="J1405">
        <v>1289.265625</v>
      </c>
      <c r="K1405">
        <v>1650</v>
      </c>
      <c r="L1405">
        <v>0</v>
      </c>
      <c r="M1405">
        <v>0</v>
      </c>
      <c r="N1405">
        <v>1650</v>
      </c>
    </row>
    <row r="1406" spans="1:14" x14ac:dyDescent="0.25">
      <c r="A1406">
        <v>1138.5219939999999</v>
      </c>
      <c r="B1406" s="1">
        <f>DATE(2013,6,12) + TIME(12,31,40)</f>
        <v>41437.521990740737</v>
      </c>
      <c r="C1406">
        <v>80</v>
      </c>
      <c r="D1406">
        <v>79.940963745000005</v>
      </c>
      <c r="E1406">
        <v>50</v>
      </c>
      <c r="F1406">
        <v>47.324645996000001</v>
      </c>
      <c r="G1406">
        <v>1367.4016113</v>
      </c>
      <c r="H1406">
        <v>1357.2310791</v>
      </c>
      <c r="I1406">
        <v>1302.4952393000001</v>
      </c>
      <c r="J1406">
        <v>1289.2410889</v>
      </c>
      <c r="K1406">
        <v>1650</v>
      </c>
      <c r="L1406">
        <v>0</v>
      </c>
      <c r="M1406">
        <v>0</v>
      </c>
      <c r="N1406">
        <v>1650</v>
      </c>
    </row>
    <row r="1407" spans="1:14" x14ac:dyDescent="0.25">
      <c r="A1407">
        <v>1139.519873</v>
      </c>
      <c r="B1407" s="1">
        <f>DATE(2013,6,13) + TIME(12,28,37)</f>
        <v>41438.519872685189</v>
      </c>
      <c r="C1407">
        <v>80</v>
      </c>
      <c r="D1407">
        <v>79.940948485999996</v>
      </c>
      <c r="E1407">
        <v>50</v>
      </c>
      <c r="F1407">
        <v>47.274024963000002</v>
      </c>
      <c r="G1407">
        <v>1367.3612060999999</v>
      </c>
      <c r="H1407">
        <v>1357.2004394999999</v>
      </c>
      <c r="I1407">
        <v>1302.4783935999999</v>
      </c>
      <c r="J1407">
        <v>1289.2155762</v>
      </c>
      <c r="K1407">
        <v>1650</v>
      </c>
      <c r="L1407">
        <v>0</v>
      </c>
      <c r="M1407">
        <v>0</v>
      </c>
      <c r="N1407">
        <v>1650</v>
      </c>
    </row>
    <row r="1408" spans="1:14" x14ac:dyDescent="0.25">
      <c r="A1408">
        <v>1140.537112</v>
      </c>
      <c r="B1408" s="1">
        <f>DATE(2013,6,14) + TIME(12,53,26)</f>
        <v>41439.537106481483</v>
      </c>
      <c r="C1408">
        <v>80</v>
      </c>
      <c r="D1408">
        <v>79.940933228000006</v>
      </c>
      <c r="E1408">
        <v>50</v>
      </c>
      <c r="F1408">
        <v>47.222686768000003</v>
      </c>
      <c r="G1408">
        <v>1367.3206786999999</v>
      </c>
      <c r="H1408">
        <v>1357.1697998</v>
      </c>
      <c r="I1408">
        <v>1302.4610596</v>
      </c>
      <c r="J1408">
        <v>1289.1892089999999</v>
      </c>
      <c r="K1408">
        <v>1650</v>
      </c>
      <c r="L1408">
        <v>0</v>
      </c>
      <c r="M1408">
        <v>0</v>
      </c>
      <c r="N1408">
        <v>1650</v>
      </c>
    </row>
    <row r="1409" spans="1:14" x14ac:dyDescent="0.25">
      <c r="A1409">
        <v>1141.5768499999999</v>
      </c>
      <c r="B1409" s="1">
        <f>DATE(2013,6,15) + TIME(13,50,39)</f>
        <v>41440.576840277776</v>
      </c>
      <c r="C1409">
        <v>80</v>
      </c>
      <c r="D1409">
        <v>79.940925598000007</v>
      </c>
      <c r="E1409">
        <v>50</v>
      </c>
      <c r="F1409">
        <v>47.170524596999996</v>
      </c>
      <c r="G1409">
        <v>1367.2801514</v>
      </c>
      <c r="H1409">
        <v>1357.1390381000001</v>
      </c>
      <c r="I1409">
        <v>1302.4431152</v>
      </c>
      <c r="J1409">
        <v>1289.1618652</v>
      </c>
      <c r="K1409">
        <v>1650</v>
      </c>
      <c r="L1409">
        <v>0</v>
      </c>
      <c r="M1409">
        <v>0</v>
      </c>
      <c r="N1409">
        <v>1650</v>
      </c>
    </row>
    <row r="1410" spans="1:14" x14ac:dyDescent="0.25">
      <c r="A1410">
        <v>1142.642499</v>
      </c>
      <c r="B1410" s="1">
        <f>DATE(2013,6,16) + TIME(15,25,11)</f>
        <v>41441.642488425925</v>
      </c>
      <c r="C1410">
        <v>80</v>
      </c>
      <c r="D1410">
        <v>79.940910338999998</v>
      </c>
      <c r="E1410">
        <v>50</v>
      </c>
      <c r="F1410">
        <v>47.117412567000002</v>
      </c>
      <c r="G1410">
        <v>1367.2395019999999</v>
      </c>
      <c r="H1410">
        <v>1357.1081543</v>
      </c>
      <c r="I1410">
        <v>1302.4244385</v>
      </c>
      <c r="J1410">
        <v>1289.1334228999999</v>
      </c>
      <c r="K1410">
        <v>1650</v>
      </c>
      <c r="L1410">
        <v>0</v>
      </c>
      <c r="M1410">
        <v>0</v>
      </c>
      <c r="N1410">
        <v>1650</v>
      </c>
    </row>
    <row r="1411" spans="1:14" x14ac:dyDescent="0.25">
      <c r="A1411">
        <v>1143.7319339999999</v>
      </c>
      <c r="B1411" s="1">
        <f>DATE(2013,6,17) + TIME(17,33,59)</f>
        <v>41442.731932870367</v>
      </c>
      <c r="C1411">
        <v>80</v>
      </c>
      <c r="D1411">
        <v>79.940895080999994</v>
      </c>
      <c r="E1411">
        <v>50</v>
      </c>
      <c r="F1411">
        <v>47.063354492000002</v>
      </c>
      <c r="G1411">
        <v>1367.1983643000001</v>
      </c>
      <c r="H1411">
        <v>1357.0769043</v>
      </c>
      <c r="I1411">
        <v>1302.4050293</v>
      </c>
      <c r="J1411">
        <v>1289.1036377</v>
      </c>
      <c r="K1411">
        <v>1650</v>
      </c>
      <c r="L1411">
        <v>0</v>
      </c>
      <c r="M1411">
        <v>0</v>
      </c>
      <c r="N1411">
        <v>1650</v>
      </c>
    </row>
    <row r="1412" spans="1:14" x14ac:dyDescent="0.25">
      <c r="A1412">
        <v>1144.8469889999999</v>
      </c>
      <c r="B1412" s="1">
        <f>DATE(2013,6,18) + TIME(20,19,39)</f>
        <v>41443.846979166665</v>
      </c>
      <c r="C1412">
        <v>80</v>
      </c>
      <c r="D1412">
        <v>79.940887450999995</v>
      </c>
      <c r="E1412">
        <v>50</v>
      </c>
      <c r="F1412">
        <v>47.008300781000003</v>
      </c>
      <c r="G1412">
        <v>1367.1571045000001</v>
      </c>
      <c r="H1412">
        <v>1357.0455322</v>
      </c>
      <c r="I1412">
        <v>1302.3850098</v>
      </c>
      <c r="J1412">
        <v>1289.0727539</v>
      </c>
      <c r="K1412">
        <v>1650</v>
      </c>
      <c r="L1412">
        <v>0</v>
      </c>
      <c r="M1412">
        <v>0</v>
      </c>
      <c r="N1412">
        <v>1650</v>
      </c>
    </row>
    <row r="1413" spans="1:14" x14ac:dyDescent="0.25">
      <c r="A1413">
        <v>1145.9703</v>
      </c>
      <c r="B1413" s="1">
        <f>DATE(2013,6,19) + TIME(23,17,13)</f>
        <v>41444.970289351855</v>
      </c>
      <c r="C1413">
        <v>80</v>
      </c>
      <c r="D1413">
        <v>79.940879821999999</v>
      </c>
      <c r="E1413">
        <v>50</v>
      </c>
      <c r="F1413">
        <v>46.952682494999998</v>
      </c>
      <c r="G1413">
        <v>1367.1156006000001</v>
      </c>
      <c r="H1413">
        <v>1357.0139160000001</v>
      </c>
      <c r="I1413">
        <v>1302.3640137</v>
      </c>
      <c r="J1413">
        <v>1289.0405272999999</v>
      </c>
      <c r="K1413">
        <v>1650</v>
      </c>
      <c r="L1413">
        <v>0</v>
      </c>
      <c r="M1413">
        <v>0</v>
      </c>
      <c r="N1413">
        <v>1650</v>
      </c>
    </row>
    <row r="1414" spans="1:14" x14ac:dyDescent="0.25">
      <c r="A1414">
        <v>1147.0978009999999</v>
      </c>
      <c r="B1414" s="1">
        <f>DATE(2013,6,21) + TIME(2,20,50)</f>
        <v>41446.097800925927</v>
      </c>
      <c r="C1414">
        <v>80</v>
      </c>
      <c r="D1414">
        <v>79.940864563000005</v>
      </c>
      <c r="E1414">
        <v>50</v>
      </c>
      <c r="F1414">
        <v>46.896789550999998</v>
      </c>
      <c r="G1414">
        <v>1367.0744629000001</v>
      </c>
      <c r="H1414">
        <v>1356.9825439000001</v>
      </c>
      <c r="I1414">
        <v>1302.3426514</v>
      </c>
      <c r="J1414">
        <v>1289.0074463000001</v>
      </c>
      <c r="K1414">
        <v>1650</v>
      </c>
      <c r="L1414">
        <v>0</v>
      </c>
      <c r="M1414">
        <v>0</v>
      </c>
      <c r="N1414">
        <v>1650</v>
      </c>
    </row>
    <row r="1415" spans="1:14" x14ac:dyDescent="0.25">
      <c r="A1415">
        <v>1148.232293</v>
      </c>
      <c r="B1415" s="1">
        <f>DATE(2013,6,22) + TIME(5,34,30)</f>
        <v>41447.232291666667</v>
      </c>
      <c r="C1415">
        <v>80</v>
      </c>
      <c r="D1415">
        <v>79.940856933999996</v>
      </c>
      <c r="E1415">
        <v>50</v>
      </c>
      <c r="F1415">
        <v>46.840686798</v>
      </c>
      <c r="G1415">
        <v>1367.0338135</v>
      </c>
      <c r="H1415">
        <v>1356.9515381000001</v>
      </c>
      <c r="I1415">
        <v>1302.3208007999999</v>
      </c>
      <c r="J1415">
        <v>1288.9736327999999</v>
      </c>
      <c r="K1415">
        <v>1650</v>
      </c>
      <c r="L1415">
        <v>0</v>
      </c>
      <c r="M1415">
        <v>0</v>
      </c>
      <c r="N1415">
        <v>1650</v>
      </c>
    </row>
    <row r="1416" spans="1:14" x14ac:dyDescent="0.25">
      <c r="A1416">
        <v>1149.3768990000001</v>
      </c>
      <c r="B1416" s="1">
        <f>DATE(2013,6,23) + TIME(9,2,44)</f>
        <v>41448.376898148148</v>
      </c>
      <c r="C1416">
        <v>80</v>
      </c>
      <c r="D1416">
        <v>79.940849303999997</v>
      </c>
      <c r="E1416">
        <v>50</v>
      </c>
      <c r="F1416">
        <v>46.784343718999999</v>
      </c>
      <c r="G1416">
        <v>1366.9935303</v>
      </c>
      <c r="H1416">
        <v>1356.9208983999999</v>
      </c>
      <c r="I1416">
        <v>1302.2985839999999</v>
      </c>
      <c r="J1416">
        <v>1288.9389647999999</v>
      </c>
      <c r="K1416">
        <v>1650</v>
      </c>
      <c r="L1416">
        <v>0</v>
      </c>
      <c r="M1416">
        <v>0</v>
      </c>
      <c r="N1416">
        <v>1650</v>
      </c>
    </row>
    <row r="1417" spans="1:14" x14ac:dyDescent="0.25">
      <c r="A1417">
        <v>1150.53478</v>
      </c>
      <c r="B1417" s="1">
        <f>DATE(2013,6,24) + TIME(12,50,4)</f>
        <v>41449.534768518519</v>
      </c>
      <c r="C1417">
        <v>80</v>
      </c>
      <c r="D1417">
        <v>79.940841675000001</v>
      </c>
      <c r="E1417">
        <v>50</v>
      </c>
      <c r="F1417">
        <v>46.727668762</v>
      </c>
      <c r="G1417">
        <v>1366.9534911999999</v>
      </c>
      <c r="H1417">
        <v>1356.8902588000001</v>
      </c>
      <c r="I1417">
        <v>1302.2757568</v>
      </c>
      <c r="J1417">
        <v>1288.9033202999999</v>
      </c>
      <c r="K1417">
        <v>1650</v>
      </c>
      <c r="L1417">
        <v>0</v>
      </c>
      <c r="M1417">
        <v>0</v>
      </c>
      <c r="N1417">
        <v>1650</v>
      </c>
    </row>
    <row r="1418" spans="1:14" x14ac:dyDescent="0.25">
      <c r="A1418">
        <v>1151.7091929999999</v>
      </c>
      <c r="B1418" s="1">
        <f>DATE(2013,6,25) + TIME(17,1,14)</f>
        <v>41450.709189814814</v>
      </c>
      <c r="C1418">
        <v>80</v>
      </c>
      <c r="D1418">
        <v>79.940834045000003</v>
      </c>
      <c r="E1418">
        <v>50</v>
      </c>
      <c r="F1418">
        <v>46.670536040999998</v>
      </c>
      <c r="G1418">
        <v>1366.9136963000001</v>
      </c>
      <c r="H1418">
        <v>1356.8598632999999</v>
      </c>
      <c r="I1418">
        <v>1302.2523193</v>
      </c>
      <c r="J1418">
        <v>1288.8665771000001</v>
      </c>
      <c r="K1418">
        <v>1650</v>
      </c>
      <c r="L1418">
        <v>0</v>
      </c>
      <c r="M1418">
        <v>0</v>
      </c>
      <c r="N1418">
        <v>1650</v>
      </c>
    </row>
    <row r="1419" spans="1:14" x14ac:dyDescent="0.25">
      <c r="A1419">
        <v>1152.90356</v>
      </c>
      <c r="B1419" s="1">
        <f>DATE(2013,6,26) + TIME(21,41,7)</f>
        <v>41451.903553240743</v>
      </c>
      <c r="C1419">
        <v>80</v>
      </c>
      <c r="D1419">
        <v>79.940834045000003</v>
      </c>
      <c r="E1419">
        <v>50</v>
      </c>
      <c r="F1419">
        <v>46.612815857000001</v>
      </c>
      <c r="G1419">
        <v>1366.8740233999999</v>
      </c>
      <c r="H1419">
        <v>1356.8293457</v>
      </c>
      <c r="I1419">
        <v>1302.2282714999999</v>
      </c>
      <c r="J1419">
        <v>1288.8287353999999</v>
      </c>
      <c r="K1419">
        <v>1650</v>
      </c>
      <c r="L1419">
        <v>0</v>
      </c>
      <c r="M1419">
        <v>0</v>
      </c>
      <c r="N1419">
        <v>1650</v>
      </c>
    </row>
    <row r="1420" spans="1:14" x14ac:dyDescent="0.25">
      <c r="A1420">
        <v>1154.121492</v>
      </c>
      <c r="B1420" s="1">
        <f>DATE(2013,6,28) + TIME(2,54,56)</f>
        <v>41453.121481481481</v>
      </c>
      <c r="C1420">
        <v>80</v>
      </c>
      <c r="D1420">
        <v>79.940826415999993</v>
      </c>
      <c r="E1420">
        <v>50</v>
      </c>
      <c r="F1420">
        <v>46.554355620999999</v>
      </c>
      <c r="G1420">
        <v>1366.8341064000001</v>
      </c>
      <c r="H1420">
        <v>1356.7988281</v>
      </c>
      <c r="I1420">
        <v>1302.2034911999999</v>
      </c>
      <c r="J1420">
        <v>1288.7895507999999</v>
      </c>
      <c r="K1420">
        <v>1650</v>
      </c>
      <c r="L1420">
        <v>0</v>
      </c>
      <c r="M1420">
        <v>0</v>
      </c>
      <c r="N1420">
        <v>1650</v>
      </c>
    </row>
    <row r="1421" spans="1:14" x14ac:dyDescent="0.25">
      <c r="A1421">
        <v>1155.366904</v>
      </c>
      <c r="B1421" s="1">
        <f>DATE(2013,6,29) + TIME(8,48,20)</f>
        <v>41454.366898148146</v>
      </c>
      <c r="C1421">
        <v>80</v>
      </c>
      <c r="D1421">
        <v>79.940826415999993</v>
      </c>
      <c r="E1421">
        <v>50</v>
      </c>
      <c r="F1421">
        <v>46.494998932000001</v>
      </c>
      <c r="G1421">
        <v>1366.7940673999999</v>
      </c>
      <c r="H1421">
        <v>1356.7680664</v>
      </c>
      <c r="I1421">
        <v>1302.1778564000001</v>
      </c>
      <c r="J1421">
        <v>1288.7489014</v>
      </c>
      <c r="K1421">
        <v>1650</v>
      </c>
      <c r="L1421">
        <v>0</v>
      </c>
      <c r="M1421">
        <v>0</v>
      </c>
      <c r="N1421">
        <v>1650</v>
      </c>
    </row>
    <row r="1422" spans="1:14" x14ac:dyDescent="0.25">
      <c r="A1422">
        <v>1156.644065</v>
      </c>
      <c r="B1422" s="1">
        <f>DATE(2013,6,30) + TIME(15,27,27)</f>
        <v>41455.644062500003</v>
      </c>
      <c r="C1422">
        <v>80</v>
      </c>
      <c r="D1422">
        <v>79.940818786999998</v>
      </c>
      <c r="E1422">
        <v>50</v>
      </c>
      <c r="F1422">
        <v>46.434570311999998</v>
      </c>
      <c r="G1422">
        <v>1366.7537841999999</v>
      </c>
      <c r="H1422">
        <v>1356.7370605000001</v>
      </c>
      <c r="I1422">
        <v>1302.1512451000001</v>
      </c>
      <c r="J1422">
        <v>1288.7066649999999</v>
      </c>
      <c r="K1422">
        <v>1650</v>
      </c>
      <c r="L1422">
        <v>0</v>
      </c>
      <c r="M1422">
        <v>0</v>
      </c>
      <c r="N1422">
        <v>1650</v>
      </c>
    </row>
    <row r="1423" spans="1:14" x14ac:dyDescent="0.25">
      <c r="A1423">
        <v>1157</v>
      </c>
      <c r="B1423" s="1">
        <f>DATE(2013,7,1) + TIME(0,0,0)</f>
        <v>41456</v>
      </c>
      <c r="C1423">
        <v>80</v>
      </c>
      <c r="D1423">
        <v>79.940811156999999</v>
      </c>
      <c r="E1423">
        <v>50</v>
      </c>
      <c r="F1423">
        <v>46.408000946000001</v>
      </c>
      <c r="G1423">
        <v>1366.7132568</v>
      </c>
      <c r="H1423">
        <v>1356.7058105000001</v>
      </c>
      <c r="I1423">
        <v>1302.1237793</v>
      </c>
      <c r="J1423">
        <v>1288.6702881000001</v>
      </c>
      <c r="K1423">
        <v>1650</v>
      </c>
      <c r="L1423">
        <v>0</v>
      </c>
      <c r="M1423">
        <v>0</v>
      </c>
      <c r="N1423">
        <v>1650</v>
      </c>
    </row>
    <row r="1424" spans="1:14" x14ac:dyDescent="0.25">
      <c r="A1424">
        <v>1158.3139430000001</v>
      </c>
      <c r="B1424" s="1">
        <f>DATE(2013,7,2) + TIME(7,32,4)</f>
        <v>41457.313935185186</v>
      </c>
      <c r="C1424">
        <v>80</v>
      </c>
      <c r="D1424">
        <v>79.940818786999998</v>
      </c>
      <c r="E1424">
        <v>50</v>
      </c>
      <c r="F1424">
        <v>46.351169585999997</v>
      </c>
      <c r="G1424">
        <v>1366.7017822</v>
      </c>
      <c r="H1424">
        <v>1356.6968993999999</v>
      </c>
      <c r="I1424">
        <v>1302.1152344</v>
      </c>
      <c r="J1424">
        <v>1288.6483154</v>
      </c>
      <c r="K1424">
        <v>1650</v>
      </c>
      <c r="L1424">
        <v>0</v>
      </c>
      <c r="M1424">
        <v>0</v>
      </c>
      <c r="N1424">
        <v>1650</v>
      </c>
    </row>
    <row r="1425" spans="1:14" x14ac:dyDescent="0.25">
      <c r="A1425">
        <v>1159.6504190000001</v>
      </c>
      <c r="B1425" s="1">
        <f>DATE(2013,7,3) + TIME(15,36,36)</f>
        <v>41458.650416666664</v>
      </c>
      <c r="C1425">
        <v>80</v>
      </c>
      <c r="D1425">
        <v>79.940818786999998</v>
      </c>
      <c r="E1425">
        <v>50</v>
      </c>
      <c r="F1425">
        <v>46.290893554999997</v>
      </c>
      <c r="G1425">
        <v>1366.6607666</v>
      </c>
      <c r="H1425">
        <v>1356.6654053</v>
      </c>
      <c r="I1425">
        <v>1302.0866699000001</v>
      </c>
      <c r="J1425">
        <v>1288.6031493999999</v>
      </c>
      <c r="K1425">
        <v>1650</v>
      </c>
      <c r="L1425">
        <v>0</v>
      </c>
      <c r="M1425">
        <v>0</v>
      </c>
      <c r="N1425">
        <v>1650</v>
      </c>
    </row>
    <row r="1426" spans="1:14" x14ac:dyDescent="0.25">
      <c r="A1426">
        <v>1160.990841</v>
      </c>
      <c r="B1426" s="1">
        <f>DATE(2013,7,4) + TIME(23,46,48)</f>
        <v>41459.990833333337</v>
      </c>
      <c r="C1426">
        <v>80</v>
      </c>
      <c r="D1426">
        <v>79.940818786999998</v>
      </c>
      <c r="E1426">
        <v>50</v>
      </c>
      <c r="F1426">
        <v>46.228950500000003</v>
      </c>
      <c r="G1426">
        <v>1366.6196289</v>
      </c>
      <c r="H1426">
        <v>1356.6335449000001</v>
      </c>
      <c r="I1426">
        <v>1302.0568848</v>
      </c>
      <c r="J1426">
        <v>1288.5557861</v>
      </c>
      <c r="K1426">
        <v>1650</v>
      </c>
      <c r="L1426">
        <v>0</v>
      </c>
      <c r="M1426">
        <v>0</v>
      </c>
      <c r="N1426">
        <v>1650</v>
      </c>
    </row>
    <row r="1427" spans="1:14" x14ac:dyDescent="0.25">
      <c r="A1427">
        <v>1162.338798</v>
      </c>
      <c r="B1427" s="1">
        <f>DATE(2013,7,6) + TIME(8,7,52)</f>
        <v>41461.338796296295</v>
      </c>
      <c r="C1427">
        <v>80</v>
      </c>
      <c r="D1427">
        <v>79.940818786999998</v>
      </c>
      <c r="E1427">
        <v>50</v>
      </c>
      <c r="F1427">
        <v>46.166191101000003</v>
      </c>
      <c r="G1427">
        <v>1366.5789795000001</v>
      </c>
      <c r="H1427">
        <v>1356.6020507999999</v>
      </c>
      <c r="I1427">
        <v>1302.0266113</v>
      </c>
      <c r="J1427">
        <v>1288.5072021000001</v>
      </c>
      <c r="K1427">
        <v>1650</v>
      </c>
      <c r="L1427">
        <v>0</v>
      </c>
      <c r="M1427">
        <v>0</v>
      </c>
      <c r="N1427">
        <v>1650</v>
      </c>
    </row>
    <row r="1428" spans="1:14" x14ac:dyDescent="0.25">
      <c r="A1428">
        <v>1163.6981029999999</v>
      </c>
      <c r="B1428" s="1">
        <f>DATE(2013,7,7) + TIME(16,45,16)</f>
        <v>41462.698101851849</v>
      </c>
      <c r="C1428">
        <v>80</v>
      </c>
      <c r="D1428">
        <v>79.940826415999993</v>
      </c>
      <c r="E1428">
        <v>50</v>
      </c>
      <c r="F1428">
        <v>46.102951050000001</v>
      </c>
      <c r="G1428">
        <v>1366.5385742000001</v>
      </c>
      <c r="H1428">
        <v>1356.5708007999999</v>
      </c>
      <c r="I1428">
        <v>1301.9958495999999</v>
      </c>
      <c r="J1428">
        <v>1288.4573975000001</v>
      </c>
      <c r="K1428">
        <v>1650</v>
      </c>
      <c r="L1428">
        <v>0</v>
      </c>
      <c r="M1428">
        <v>0</v>
      </c>
      <c r="N1428">
        <v>1650</v>
      </c>
    </row>
    <row r="1429" spans="1:14" x14ac:dyDescent="0.25">
      <c r="A1429">
        <v>1165.0726159999999</v>
      </c>
      <c r="B1429" s="1">
        <f>DATE(2013,7,9) + TIME(1,44,34)</f>
        <v>41464.072615740741</v>
      </c>
      <c r="C1429">
        <v>80</v>
      </c>
      <c r="D1429">
        <v>79.940826415999993</v>
      </c>
      <c r="E1429">
        <v>50</v>
      </c>
      <c r="F1429">
        <v>46.039310454999999</v>
      </c>
      <c r="G1429">
        <v>1366.4985352000001</v>
      </c>
      <c r="H1429">
        <v>1356.5396728999999</v>
      </c>
      <c r="I1429">
        <v>1301.9643555</v>
      </c>
      <c r="J1429">
        <v>1288.4063721</v>
      </c>
      <c r="K1429">
        <v>1650</v>
      </c>
      <c r="L1429">
        <v>0</v>
      </c>
      <c r="M1429">
        <v>0</v>
      </c>
      <c r="N1429">
        <v>1650</v>
      </c>
    </row>
    <row r="1430" spans="1:14" x14ac:dyDescent="0.25">
      <c r="A1430">
        <v>1166.466316</v>
      </c>
      <c r="B1430" s="1">
        <f>DATE(2013,7,10) + TIME(11,11,29)</f>
        <v>41465.466307870367</v>
      </c>
      <c r="C1430">
        <v>80</v>
      </c>
      <c r="D1430">
        <v>79.940826415999993</v>
      </c>
      <c r="E1430">
        <v>50</v>
      </c>
      <c r="F1430">
        <v>45.975227355999998</v>
      </c>
      <c r="G1430">
        <v>1366.4584961</v>
      </c>
      <c r="H1430">
        <v>1356.5086670000001</v>
      </c>
      <c r="I1430">
        <v>1301.9321289</v>
      </c>
      <c r="J1430">
        <v>1288.3540039</v>
      </c>
      <c r="K1430">
        <v>1650</v>
      </c>
      <c r="L1430">
        <v>0</v>
      </c>
      <c r="M1430">
        <v>0</v>
      </c>
      <c r="N1430">
        <v>1650</v>
      </c>
    </row>
    <row r="1431" spans="1:14" x14ac:dyDescent="0.25">
      <c r="A1431">
        <v>1167.8833770000001</v>
      </c>
      <c r="B1431" s="1">
        <f>DATE(2013,7,11) + TIME(21,12,3)</f>
        <v>41466.883368055554</v>
      </c>
      <c r="C1431">
        <v>80</v>
      </c>
      <c r="D1431">
        <v>79.940834045000003</v>
      </c>
      <c r="E1431">
        <v>50</v>
      </c>
      <c r="F1431">
        <v>45.910606383999998</v>
      </c>
      <c r="G1431">
        <v>1366.4185791</v>
      </c>
      <c r="H1431">
        <v>1356.4775391000001</v>
      </c>
      <c r="I1431">
        <v>1301.8991699000001</v>
      </c>
      <c r="J1431">
        <v>1288.3000488</v>
      </c>
      <c r="K1431">
        <v>1650</v>
      </c>
      <c r="L1431">
        <v>0</v>
      </c>
      <c r="M1431">
        <v>0</v>
      </c>
      <c r="N1431">
        <v>1650</v>
      </c>
    </row>
    <row r="1432" spans="1:14" x14ac:dyDescent="0.25">
      <c r="A1432">
        <v>1169.3282280000001</v>
      </c>
      <c r="B1432" s="1">
        <f>DATE(2013,7,13) + TIME(7,52,38)</f>
        <v>41468.328217592592</v>
      </c>
      <c r="C1432">
        <v>80</v>
      </c>
      <c r="D1432">
        <v>79.940841675000001</v>
      </c>
      <c r="E1432">
        <v>50</v>
      </c>
      <c r="F1432">
        <v>45.845314025999997</v>
      </c>
      <c r="G1432">
        <v>1366.3785399999999</v>
      </c>
      <c r="H1432">
        <v>1356.4462891000001</v>
      </c>
      <c r="I1432">
        <v>1301.8652344</v>
      </c>
      <c r="J1432">
        <v>1288.2443848</v>
      </c>
      <c r="K1432">
        <v>1650</v>
      </c>
      <c r="L1432">
        <v>0</v>
      </c>
      <c r="M1432">
        <v>0</v>
      </c>
      <c r="N1432">
        <v>1650</v>
      </c>
    </row>
    <row r="1433" spans="1:14" x14ac:dyDescent="0.25">
      <c r="A1433">
        <v>1170.8056489999999</v>
      </c>
      <c r="B1433" s="1">
        <f>DATE(2013,7,14) + TIME(19,20,8)</f>
        <v>41469.805648148147</v>
      </c>
      <c r="C1433">
        <v>80</v>
      </c>
      <c r="D1433">
        <v>79.940849303999997</v>
      </c>
      <c r="E1433">
        <v>50</v>
      </c>
      <c r="F1433">
        <v>45.779212952000002</v>
      </c>
      <c r="G1433">
        <v>1366.3381348</v>
      </c>
      <c r="H1433">
        <v>1356.4147949000001</v>
      </c>
      <c r="I1433">
        <v>1301.8303223</v>
      </c>
      <c r="J1433">
        <v>1288.1870117000001</v>
      </c>
      <c r="K1433">
        <v>1650</v>
      </c>
      <c r="L1433">
        <v>0</v>
      </c>
      <c r="M1433">
        <v>0</v>
      </c>
      <c r="N1433">
        <v>1650</v>
      </c>
    </row>
    <row r="1434" spans="1:14" x14ac:dyDescent="0.25">
      <c r="A1434">
        <v>1172.32089</v>
      </c>
      <c r="B1434" s="1">
        <f>DATE(2013,7,16) + TIME(7,42,4)</f>
        <v>41471.320879629631</v>
      </c>
      <c r="C1434">
        <v>80</v>
      </c>
      <c r="D1434">
        <v>79.940856933999996</v>
      </c>
      <c r="E1434">
        <v>50</v>
      </c>
      <c r="F1434">
        <v>45.712135314999998</v>
      </c>
      <c r="G1434">
        <v>1366.2974853999999</v>
      </c>
      <c r="H1434">
        <v>1356.3830565999999</v>
      </c>
      <c r="I1434">
        <v>1301.7943115</v>
      </c>
      <c r="J1434">
        <v>1288.1274414</v>
      </c>
      <c r="K1434">
        <v>1650</v>
      </c>
      <c r="L1434">
        <v>0</v>
      </c>
      <c r="M1434">
        <v>0</v>
      </c>
      <c r="N1434">
        <v>1650</v>
      </c>
    </row>
    <row r="1435" spans="1:14" x14ac:dyDescent="0.25">
      <c r="A1435">
        <v>1173.877933</v>
      </c>
      <c r="B1435" s="1">
        <f>DATE(2013,7,17) + TIME(21,4,13)</f>
        <v>41472.877928240741</v>
      </c>
      <c r="C1435">
        <v>80</v>
      </c>
      <c r="D1435">
        <v>79.940864563000005</v>
      </c>
      <c r="E1435">
        <v>50</v>
      </c>
      <c r="F1435">
        <v>45.643959045000003</v>
      </c>
      <c r="G1435">
        <v>1366.2564697</v>
      </c>
      <c r="H1435">
        <v>1356.3508300999999</v>
      </c>
      <c r="I1435">
        <v>1301.7570800999999</v>
      </c>
      <c r="J1435">
        <v>1288.0657959</v>
      </c>
      <c r="K1435">
        <v>1650</v>
      </c>
      <c r="L1435">
        <v>0</v>
      </c>
      <c r="M1435">
        <v>0</v>
      </c>
      <c r="N1435">
        <v>1650</v>
      </c>
    </row>
    <row r="1436" spans="1:14" x14ac:dyDescent="0.25">
      <c r="A1436">
        <v>1175.4579140000001</v>
      </c>
      <c r="B1436" s="1">
        <f>DATE(2013,7,19) + TIME(10,59,23)</f>
        <v>41474.457905092589</v>
      </c>
      <c r="C1436">
        <v>80</v>
      </c>
      <c r="D1436">
        <v>79.940872192</v>
      </c>
      <c r="E1436">
        <v>50</v>
      </c>
      <c r="F1436">
        <v>45.575004577999998</v>
      </c>
      <c r="G1436">
        <v>1366.2147216999999</v>
      </c>
      <c r="H1436">
        <v>1356.3181152</v>
      </c>
      <c r="I1436">
        <v>1301.7185059000001</v>
      </c>
      <c r="J1436">
        <v>1288.0017089999999</v>
      </c>
      <c r="K1436">
        <v>1650</v>
      </c>
      <c r="L1436">
        <v>0</v>
      </c>
      <c r="M1436">
        <v>0</v>
      </c>
      <c r="N1436">
        <v>1650</v>
      </c>
    </row>
    <row r="1437" spans="1:14" x14ac:dyDescent="0.25">
      <c r="A1437">
        <v>1177.042897</v>
      </c>
      <c r="B1437" s="1">
        <f>DATE(2013,7,21) + TIME(1,1,46)</f>
        <v>41476.042893518519</v>
      </c>
      <c r="C1437">
        <v>80</v>
      </c>
      <c r="D1437">
        <v>79.940887450999995</v>
      </c>
      <c r="E1437">
        <v>50</v>
      </c>
      <c r="F1437">
        <v>45.505905151</v>
      </c>
      <c r="G1437">
        <v>1366.1729736</v>
      </c>
      <c r="H1437">
        <v>1356.2852783000001</v>
      </c>
      <c r="I1437">
        <v>1301.6790771000001</v>
      </c>
      <c r="J1437">
        <v>1287.9359131000001</v>
      </c>
      <c r="K1437">
        <v>1650</v>
      </c>
      <c r="L1437">
        <v>0</v>
      </c>
      <c r="M1437">
        <v>0</v>
      </c>
      <c r="N1437">
        <v>1650</v>
      </c>
    </row>
    <row r="1438" spans="1:14" x14ac:dyDescent="0.25">
      <c r="A1438">
        <v>1178.637285</v>
      </c>
      <c r="B1438" s="1">
        <f>DATE(2013,7,22) + TIME(15,17,41)</f>
        <v>41477.637280092589</v>
      </c>
      <c r="C1438">
        <v>80</v>
      </c>
      <c r="D1438">
        <v>79.940895080999994</v>
      </c>
      <c r="E1438">
        <v>50</v>
      </c>
      <c r="F1438">
        <v>45.436977386000002</v>
      </c>
      <c r="G1438">
        <v>1366.1315918</v>
      </c>
      <c r="H1438">
        <v>1356.2528076000001</v>
      </c>
      <c r="I1438">
        <v>1301.6391602000001</v>
      </c>
      <c r="J1438">
        <v>1287.8690185999999</v>
      </c>
      <c r="K1438">
        <v>1650</v>
      </c>
      <c r="L1438">
        <v>0</v>
      </c>
      <c r="M1438">
        <v>0</v>
      </c>
      <c r="N1438">
        <v>1650</v>
      </c>
    </row>
    <row r="1439" spans="1:14" x14ac:dyDescent="0.25">
      <c r="A1439">
        <v>1180.245774</v>
      </c>
      <c r="B1439" s="1">
        <f>DATE(2013,7,24) + TIME(5,53,54)</f>
        <v>41479.245763888888</v>
      </c>
      <c r="C1439">
        <v>80</v>
      </c>
      <c r="D1439">
        <v>79.940910338999998</v>
      </c>
      <c r="E1439">
        <v>50</v>
      </c>
      <c r="F1439">
        <v>45.368286132999998</v>
      </c>
      <c r="G1439">
        <v>1366.0905762</v>
      </c>
      <c r="H1439">
        <v>1356.2204589999999</v>
      </c>
      <c r="I1439">
        <v>1301.5986327999999</v>
      </c>
      <c r="J1439">
        <v>1287.8010254000001</v>
      </c>
      <c r="K1439">
        <v>1650</v>
      </c>
      <c r="L1439">
        <v>0</v>
      </c>
      <c r="M1439">
        <v>0</v>
      </c>
      <c r="N1439">
        <v>1650</v>
      </c>
    </row>
    <row r="1440" spans="1:14" x14ac:dyDescent="0.25">
      <c r="A1440">
        <v>1181.8731419999999</v>
      </c>
      <c r="B1440" s="1">
        <f>DATE(2013,7,25) + TIME(20,57,19)</f>
        <v>41480.873136574075</v>
      </c>
      <c r="C1440">
        <v>80</v>
      </c>
      <c r="D1440">
        <v>79.940925598000007</v>
      </c>
      <c r="E1440">
        <v>50</v>
      </c>
      <c r="F1440">
        <v>45.299797058000003</v>
      </c>
      <c r="G1440">
        <v>1366.0498047000001</v>
      </c>
      <c r="H1440">
        <v>1356.1881103999999</v>
      </c>
      <c r="I1440">
        <v>1301.5577393000001</v>
      </c>
      <c r="J1440">
        <v>1287.7316894999999</v>
      </c>
      <c r="K1440">
        <v>1650</v>
      </c>
      <c r="L1440">
        <v>0</v>
      </c>
      <c r="M1440">
        <v>0</v>
      </c>
      <c r="N1440">
        <v>1650</v>
      </c>
    </row>
    <row r="1441" spans="1:14" x14ac:dyDescent="0.25">
      <c r="A1441">
        <v>1183.524316</v>
      </c>
      <c r="B1441" s="1">
        <f>DATE(2013,7,27) + TIME(12,35,0)</f>
        <v>41482.524305555555</v>
      </c>
      <c r="C1441">
        <v>80</v>
      </c>
      <c r="D1441">
        <v>79.940933228000006</v>
      </c>
      <c r="E1441">
        <v>50</v>
      </c>
      <c r="F1441">
        <v>45.231437683000003</v>
      </c>
      <c r="G1441">
        <v>1366.0090332</v>
      </c>
      <c r="H1441">
        <v>1356.1557617000001</v>
      </c>
      <c r="I1441">
        <v>1301.5159911999999</v>
      </c>
      <c r="J1441">
        <v>1287.6610106999999</v>
      </c>
      <c r="K1441">
        <v>1650</v>
      </c>
      <c r="L1441">
        <v>0</v>
      </c>
      <c r="M1441">
        <v>0</v>
      </c>
      <c r="N1441">
        <v>1650</v>
      </c>
    </row>
    <row r="1442" spans="1:14" x14ac:dyDescent="0.25">
      <c r="A1442">
        <v>1185.204487</v>
      </c>
      <c r="B1442" s="1">
        <f>DATE(2013,7,29) + TIME(4,54,27)</f>
        <v>41484.204479166663</v>
      </c>
      <c r="C1442">
        <v>80</v>
      </c>
      <c r="D1442">
        <v>79.940956115999995</v>
      </c>
      <c r="E1442">
        <v>50</v>
      </c>
      <c r="F1442">
        <v>45.16312027</v>
      </c>
      <c r="G1442">
        <v>1365.9681396000001</v>
      </c>
      <c r="H1442">
        <v>1356.1232910000001</v>
      </c>
      <c r="I1442">
        <v>1301.4736327999999</v>
      </c>
      <c r="J1442">
        <v>1287.5887451000001</v>
      </c>
      <c r="K1442">
        <v>1650</v>
      </c>
      <c r="L1442">
        <v>0</v>
      </c>
      <c r="M1442">
        <v>0</v>
      </c>
      <c r="N1442">
        <v>1650</v>
      </c>
    </row>
    <row r="1443" spans="1:14" x14ac:dyDescent="0.25">
      <c r="A1443">
        <v>1186.9191780000001</v>
      </c>
      <c r="B1443" s="1">
        <f>DATE(2013,7,30) + TIME(22,3,37)</f>
        <v>41485.919178240743</v>
      </c>
      <c r="C1443">
        <v>80</v>
      </c>
      <c r="D1443">
        <v>79.940971375000004</v>
      </c>
      <c r="E1443">
        <v>50</v>
      </c>
      <c r="F1443">
        <v>45.094760895</v>
      </c>
      <c r="G1443">
        <v>1365.9270019999999</v>
      </c>
      <c r="H1443">
        <v>1356.0906981999999</v>
      </c>
      <c r="I1443">
        <v>1301.4302978999999</v>
      </c>
      <c r="J1443">
        <v>1287.5146483999999</v>
      </c>
      <c r="K1443">
        <v>1650</v>
      </c>
      <c r="L1443">
        <v>0</v>
      </c>
      <c r="M1443">
        <v>0</v>
      </c>
      <c r="N1443">
        <v>1650</v>
      </c>
    </row>
    <row r="1444" spans="1:14" x14ac:dyDescent="0.25">
      <c r="A1444">
        <v>1188</v>
      </c>
      <c r="B1444" s="1">
        <f>DATE(2013,8,1) + TIME(0,0,0)</f>
        <v>41487</v>
      </c>
      <c r="C1444">
        <v>80</v>
      </c>
      <c r="D1444">
        <v>79.940971375000004</v>
      </c>
      <c r="E1444">
        <v>50</v>
      </c>
      <c r="F1444">
        <v>45.040443420000003</v>
      </c>
      <c r="G1444">
        <v>1365.8854980000001</v>
      </c>
      <c r="H1444">
        <v>1356.0576172000001</v>
      </c>
      <c r="I1444">
        <v>1301.3874512</v>
      </c>
      <c r="J1444">
        <v>1287.4442139</v>
      </c>
      <c r="K1444">
        <v>1650</v>
      </c>
      <c r="L1444">
        <v>0</v>
      </c>
      <c r="M1444">
        <v>0</v>
      </c>
      <c r="N1444">
        <v>1650</v>
      </c>
    </row>
    <row r="1445" spans="1:14" x14ac:dyDescent="0.25">
      <c r="A1445">
        <v>1189.7417620000001</v>
      </c>
      <c r="B1445" s="1">
        <f>DATE(2013,8,2) + TIME(17,48,8)</f>
        <v>41488.741759259261</v>
      </c>
      <c r="C1445">
        <v>80</v>
      </c>
      <c r="D1445">
        <v>79.940994262999993</v>
      </c>
      <c r="E1445">
        <v>50</v>
      </c>
      <c r="F1445">
        <v>44.979568481000001</v>
      </c>
      <c r="G1445">
        <v>1365.8597411999999</v>
      </c>
      <c r="H1445">
        <v>1356.0369873</v>
      </c>
      <c r="I1445">
        <v>1301.3568115</v>
      </c>
      <c r="J1445">
        <v>1287.3873291</v>
      </c>
      <c r="K1445">
        <v>1650</v>
      </c>
      <c r="L1445">
        <v>0</v>
      </c>
      <c r="M1445">
        <v>0</v>
      </c>
      <c r="N1445">
        <v>1650</v>
      </c>
    </row>
    <row r="1446" spans="1:14" x14ac:dyDescent="0.25">
      <c r="A1446">
        <v>1191.530587</v>
      </c>
      <c r="B1446" s="1">
        <f>DATE(2013,8,4) + TIME(12,44,2)</f>
        <v>41490.530578703707</v>
      </c>
      <c r="C1446">
        <v>80</v>
      </c>
      <c r="D1446">
        <v>79.941017150999997</v>
      </c>
      <c r="E1446">
        <v>50</v>
      </c>
      <c r="F1446">
        <v>44.91500473</v>
      </c>
      <c r="G1446">
        <v>1365.8184814000001</v>
      </c>
      <c r="H1446">
        <v>1356.0041504000001</v>
      </c>
      <c r="I1446">
        <v>1301.3126221</v>
      </c>
      <c r="J1446">
        <v>1287.3114014</v>
      </c>
      <c r="K1446">
        <v>1650</v>
      </c>
      <c r="L1446">
        <v>0</v>
      </c>
      <c r="M1446">
        <v>0</v>
      </c>
      <c r="N1446">
        <v>1650</v>
      </c>
    </row>
    <row r="1447" spans="1:14" x14ac:dyDescent="0.25">
      <c r="A1447">
        <v>1193.355018</v>
      </c>
      <c r="B1447" s="1">
        <f>DATE(2013,8,6) + TIME(8,31,13)</f>
        <v>41492.355011574073</v>
      </c>
      <c r="C1447">
        <v>80</v>
      </c>
      <c r="D1447">
        <v>79.941040039000001</v>
      </c>
      <c r="E1447">
        <v>50</v>
      </c>
      <c r="F1447">
        <v>44.849048615000001</v>
      </c>
      <c r="G1447">
        <v>1365.7766113</v>
      </c>
      <c r="H1447">
        <v>1355.9705810999999</v>
      </c>
      <c r="I1447">
        <v>1301.2669678</v>
      </c>
      <c r="J1447">
        <v>1287.2322998</v>
      </c>
      <c r="K1447">
        <v>1650</v>
      </c>
      <c r="L1447">
        <v>0</v>
      </c>
      <c r="M1447">
        <v>0</v>
      </c>
      <c r="N1447">
        <v>1650</v>
      </c>
    </row>
    <row r="1448" spans="1:14" x14ac:dyDescent="0.25">
      <c r="A1448">
        <v>1195.2213260000001</v>
      </c>
      <c r="B1448" s="1">
        <f>DATE(2013,8,8) + TIME(5,18,42)</f>
        <v>41494.221319444441</v>
      </c>
      <c r="C1448">
        <v>80</v>
      </c>
      <c r="D1448">
        <v>79.941062927000004</v>
      </c>
      <c r="E1448">
        <v>50</v>
      </c>
      <c r="F1448">
        <v>44.782817841000004</v>
      </c>
      <c r="G1448">
        <v>1365.734375</v>
      </c>
      <c r="H1448">
        <v>1355.9367675999999</v>
      </c>
      <c r="I1448">
        <v>1301.2202147999999</v>
      </c>
      <c r="J1448">
        <v>1287.1507568</v>
      </c>
      <c r="K1448">
        <v>1650</v>
      </c>
      <c r="L1448">
        <v>0</v>
      </c>
      <c r="M1448">
        <v>0</v>
      </c>
      <c r="N1448">
        <v>1650</v>
      </c>
    </row>
    <row r="1449" spans="1:14" x14ac:dyDescent="0.25">
      <c r="A1449">
        <v>1197.100414</v>
      </c>
      <c r="B1449" s="1">
        <f>DATE(2013,8,10) + TIME(2,24,35)</f>
        <v>41496.100405092591</v>
      </c>
      <c r="C1449">
        <v>80</v>
      </c>
      <c r="D1449">
        <v>79.941085814999994</v>
      </c>
      <c r="E1449">
        <v>50</v>
      </c>
      <c r="F1449">
        <v>44.717304230000003</v>
      </c>
      <c r="G1449">
        <v>1365.6917725000001</v>
      </c>
      <c r="H1449">
        <v>1355.9024658000001</v>
      </c>
      <c r="I1449">
        <v>1301.1726074000001</v>
      </c>
      <c r="J1449">
        <v>1287.0673827999999</v>
      </c>
      <c r="K1449">
        <v>1650</v>
      </c>
      <c r="L1449">
        <v>0</v>
      </c>
      <c r="M1449">
        <v>0</v>
      </c>
      <c r="N1449">
        <v>1650</v>
      </c>
    </row>
    <row r="1450" spans="1:14" x14ac:dyDescent="0.25">
      <c r="A1450">
        <v>1198.9980330000001</v>
      </c>
      <c r="B1450" s="1">
        <f>DATE(2013,8,11) + TIME(23,57,10)</f>
        <v>41497.998032407406</v>
      </c>
      <c r="C1450">
        <v>80</v>
      </c>
      <c r="D1450">
        <v>79.941108704000001</v>
      </c>
      <c r="E1450">
        <v>50</v>
      </c>
      <c r="F1450">
        <v>44.653179168999998</v>
      </c>
      <c r="G1450">
        <v>1365.6492920000001</v>
      </c>
      <c r="H1450">
        <v>1355.8681641000001</v>
      </c>
      <c r="I1450">
        <v>1301.1247559000001</v>
      </c>
      <c r="J1450">
        <v>1286.9831543</v>
      </c>
      <c r="K1450">
        <v>1650</v>
      </c>
      <c r="L1450">
        <v>0</v>
      </c>
      <c r="M1450">
        <v>0</v>
      </c>
      <c r="N1450">
        <v>1650</v>
      </c>
    </row>
    <row r="1451" spans="1:14" x14ac:dyDescent="0.25">
      <c r="A1451">
        <v>1200.9200900000001</v>
      </c>
      <c r="B1451" s="1">
        <f>DATE(2013,8,13) + TIME(22,4,55)</f>
        <v>41499.920081018521</v>
      </c>
      <c r="C1451">
        <v>80</v>
      </c>
      <c r="D1451">
        <v>79.941131592000005</v>
      </c>
      <c r="E1451">
        <v>50</v>
      </c>
      <c r="F1451">
        <v>44.590740203999999</v>
      </c>
      <c r="G1451">
        <v>1365.6069336</v>
      </c>
      <c r="H1451">
        <v>1355.8339844</v>
      </c>
      <c r="I1451">
        <v>1301.0766602000001</v>
      </c>
      <c r="J1451">
        <v>1286.8981934000001</v>
      </c>
      <c r="K1451">
        <v>1650</v>
      </c>
      <c r="L1451">
        <v>0</v>
      </c>
      <c r="M1451">
        <v>0</v>
      </c>
      <c r="N1451">
        <v>1650</v>
      </c>
    </row>
    <row r="1452" spans="1:14" x14ac:dyDescent="0.25">
      <c r="A1452">
        <v>1202.8718309999999</v>
      </c>
      <c r="B1452" s="1">
        <f>DATE(2013,8,15) + TIME(20,55,26)</f>
        <v>41501.871828703705</v>
      </c>
      <c r="C1452">
        <v>80</v>
      </c>
      <c r="D1452">
        <v>79.941154479999994</v>
      </c>
      <c r="E1452">
        <v>50</v>
      </c>
      <c r="F1452">
        <v>44.530189514</v>
      </c>
      <c r="G1452">
        <v>1365.5644531</v>
      </c>
      <c r="H1452">
        <v>1355.7996826000001</v>
      </c>
      <c r="I1452">
        <v>1301.0284423999999</v>
      </c>
      <c r="J1452">
        <v>1286.8123779</v>
      </c>
      <c r="K1452">
        <v>1650</v>
      </c>
      <c r="L1452">
        <v>0</v>
      </c>
      <c r="M1452">
        <v>0</v>
      </c>
      <c r="N1452">
        <v>1650</v>
      </c>
    </row>
    <row r="1453" spans="1:14" x14ac:dyDescent="0.25">
      <c r="A1453">
        <v>1204.8407440000001</v>
      </c>
      <c r="B1453" s="1">
        <f>DATE(2013,8,17) + TIME(20,10,40)</f>
        <v>41503.840740740743</v>
      </c>
      <c r="C1453">
        <v>80</v>
      </c>
      <c r="D1453">
        <v>79.941184997999997</v>
      </c>
      <c r="E1453">
        <v>50</v>
      </c>
      <c r="F1453">
        <v>44.471931458</v>
      </c>
      <c r="G1453">
        <v>1365.5218506000001</v>
      </c>
      <c r="H1453">
        <v>1355.7650146000001</v>
      </c>
      <c r="I1453">
        <v>1300.9799805</v>
      </c>
      <c r="J1453">
        <v>1286.7258300999999</v>
      </c>
      <c r="K1453">
        <v>1650</v>
      </c>
      <c r="L1453">
        <v>0</v>
      </c>
      <c r="M1453">
        <v>0</v>
      </c>
      <c r="N1453">
        <v>1650</v>
      </c>
    </row>
    <row r="1454" spans="1:14" x14ac:dyDescent="0.25">
      <c r="A1454">
        <v>1206.832238</v>
      </c>
      <c r="B1454" s="1">
        <f>DATE(2013,8,19) + TIME(19,58,25)</f>
        <v>41505.832233796296</v>
      </c>
      <c r="C1454">
        <v>80</v>
      </c>
      <c r="D1454">
        <v>79.941207886000001</v>
      </c>
      <c r="E1454">
        <v>50</v>
      </c>
      <c r="F1454">
        <v>44.416355133000003</v>
      </c>
      <c r="G1454">
        <v>1365.4792480000001</v>
      </c>
      <c r="H1454">
        <v>1355.7304687999999</v>
      </c>
      <c r="I1454">
        <v>1300.9317627</v>
      </c>
      <c r="J1454">
        <v>1286.6390381000001</v>
      </c>
      <c r="K1454">
        <v>1650</v>
      </c>
      <c r="L1454">
        <v>0</v>
      </c>
      <c r="M1454">
        <v>0</v>
      </c>
      <c r="N1454">
        <v>1650</v>
      </c>
    </row>
    <row r="1455" spans="1:14" x14ac:dyDescent="0.25">
      <c r="A1455">
        <v>1208.8520100000001</v>
      </c>
      <c r="B1455" s="1">
        <f>DATE(2013,8,21) + TIME(20,26,53)</f>
        <v>41507.852002314816</v>
      </c>
      <c r="C1455">
        <v>80</v>
      </c>
      <c r="D1455">
        <v>79.941238403</v>
      </c>
      <c r="E1455">
        <v>50</v>
      </c>
      <c r="F1455">
        <v>44.363735198999997</v>
      </c>
      <c r="G1455">
        <v>1365.4367675999999</v>
      </c>
      <c r="H1455">
        <v>1355.6958007999999</v>
      </c>
      <c r="I1455">
        <v>1300.8835449000001</v>
      </c>
      <c r="J1455">
        <v>1286.552124</v>
      </c>
      <c r="K1455">
        <v>1650</v>
      </c>
      <c r="L1455">
        <v>0</v>
      </c>
      <c r="M1455">
        <v>0</v>
      </c>
      <c r="N1455">
        <v>1650</v>
      </c>
    </row>
    <row r="1456" spans="1:14" x14ac:dyDescent="0.25">
      <c r="A1456">
        <v>1210.9061349999999</v>
      </c>
      <c r="B1456" s="1">
        <f>DATE(2013,8,23) + TIME(21,44,50)</f>
        <v>41509.906134259261</v>
      </c>
      <c r="C1456">
        <v>80</v>
      </c>
      <c r="D1456">
        <v>79.941268921000002</v>
      </c>
      <c r="E1456">
        <v>50</v>
      </c>
      <c r="F1456">
        <v>44.314365387000002</v>
      </c>
      <c r="G1456">
        <v>1365.394043</v>
      </c>
      <c r="H1456">
        <v>1355.6608887</v>
      </c>
      <c r="I1456">
        <v>1300.8355713000001</v>
      </c>
      <c r="J1456">
        <v>1286.4648437999999</v>
      </c>
      <c r="K1456">
        <v>1650</v>
      </c>
      <c r="L1456">
        <v>0</v>
      </c>
      <c r="M1456">
        <v>0</v>
      </c>
      <c r="N1456">
        <v>1650</v>
      </c>
    </row>
    <row r="1457" spans="1:14" x14ac:dyDescent="0.25">
      <c r="A1457">
        <v>1213.00118</v>
      </c>
      <c r="B1457" s="1">
        <f>DATE(2013,8,26) + TIME(0,1,41)</f>
        <v>41512.001168981478</v>
      </c>
      <c r="C1457">
        <v>80</v>
      </c>
      <c r="D1457">
        <v>79.941299438000001</v>
      </c>
      <c r="E1457">
        <v>50</v>
      </c>
      <c r="F1457">
        <v>44.268600464000002</v>
      </c>
      <c r="G1457">
        <v>1365.3509521000001</v>
      </c>
      <c r="H1457">
        <v>1355.6257324000001</v>
      </c>
      <c r="I1457">
        <v>1300.7875977000001</v>
      </c>
      <c r="J1457">
        <v>1286.3774414</v>
      </c>
      <c r="K1457">
        <v>1650</v>
      </c>
      <c r="L1457">
        <v>0</v>
      </c>
      <c r="M1457">
        <v>0</v>
      </c>
      <c r="N1457">
        <v>1650</v>
      </c>
    </row>
    <row r="1458" spans="1:14" x14ac:dyDescent="0.25">
      <c r="A1458">
        <v>1215.1393230000001</v>
      </c>
      <c r="B1458" s="1">
        <f>DATE(2013,8,28) + TIME(3,20,37)</f>
        <v>41514.139317129629</v>
      </c>
      <c r="C1458">
        <v>80</v>
      </c>
      <c r="D1458">
        <v>79.941329956000004</v>
      </c>
      <c r="E1458">
        <v>50</v>
      </c>
      <c r="F1458">
        <v>44.226894379000001</v>
      </c>
      <c r="G1458">
        <v>1365.3076172000001</v>
      </c>
      <c r="H1458">
        <v>1355.5900879000001</v>
      </c>
      <c r="I1458">
        <v>1300.7398682</v>
      </c>
      <c r="J1458">
        <v>1286.2896728999999</v>
      </c>
      <c r="K1458">
        <v>1650</v>
      </c>
      <c r="L1458">
        <v>0</v>
      </c>
      <c r="M1458">
        <v>0</v>
      </c>
      <c r="N1458">
        <v>1650</v>
      </c>
    </row>
    <row r="1459" spans="1:14" x14ac:dyDescent="0.25">
      <c r="A1459">
        <v>1217.304376</v>
      </c>
      <c r="B1459" s="1">
        <f>DATE(2013,8,30) + TIME(7,18,18)</f>
        <v>41516.304375</v>
      </c>
      <c r="C1459">
        <v>80</v>
      </c>
      <c r="D1459">
        <v>79.941368103000002</v>
      </c>
      <c r="E1459">
        <v>50</v>
      </c>
      <c r="F1459">
        <v>44.189926147000001</v>
      </c>
      <c r="G1459">
        <v>1365.2637939000001</v>
      </c>
      <c r="H1459">
        <v>1355.5540771000001</v>
      </c>
      <c r="I1459">
        <v>1300.6923827999999</v>
      </c>
      <c r="J1459">
        <v>1286.2021483999999</v>
      </c>
      <c r="K1459">
        <v>1650</v>
      </c>
      <c r="L1459">
        <v>0</v>
      </c>
      <c r="M1459">
        <v>0</v>
      </c>
      <c r="N1459">
        <v>1650</v>
      </c>
    </row>
    <row r="1460" spans="1:14" x14ac:dyDescent="0.25">
      <c r="A1460">
        <v>1219</v>
      </c>
      <c r="B1460" s="1">
        <f>DATE(2013,9,1) + TIME(0,0,0)</f>
        <v>41518</v>
      </c>
      <c r="C1460">
        <v>80</v>
      </c>
      <c r="D1460">
        <v>79.941383361999996</v>
      </c>
      <c r="E1460">
        <v>50</v>
      </c>
      <c r="F1460">
        <v>44.161418914999999</v>
      </c>
      <c r="G1460">
        <v>1365.2197266000001</v>
      </c>
      <c r="H1460">
        <v>1355.5178223</v>
      </c>
      <c r="I1460">
        <v>1300.6470947</v>
      </c>
      <c r="J1460">
        <v>1286.1186522999999</v>
      </c>
      <c r="K1460">
        <v>1650</v>
      </c>
      <c r="L1460">
        <v>0</v>
      </c>
      <c r="M1460">
        <v>0</v>
      </c>
      <c r="N1460">
        <v>1650</v>
      </c>
    </row>
    <row r="1461" spans="1:14" x14ac:dyDescent="0.25">
      <c r="A1461">
        <v>1221.181754</v>
      </c>
      <c r="B1461" s="1">
        <f>DATE(2013,9,3) + TIME(4,21,43)</f>
        <v>41520.181747685187</v>
      </c>
      <c r="C1461">
        <v>80</v>
      </c>
      <c r="D1461">
        <v>79.941429138000004</v>
      </c>
      <c r="E1461">
        <v>50</v>
      </c>
      <c r="F1461">
        <v>44.137378693000002</v>
      </c>
      <c r="G1461">
        <v>1365.1856689000001</v>
      </c>
      <c r="H1461">
        <v>1355.489624</v>
      </c>
      <c r="I1461">
        <v>1300.6085204999999</v>
      </c>
      <c r="J1461">
        <v>1286.0463867000001</v>
      </c>
      <c r="K1461">
        <v>1650</v>
      </c>
      <c r="L1461">
        <v>0</v>
      </c>
      <c r="M1461">
        <v>0</v>
      </c>
      <c r="N1461">
        <v>1650</v>
      </c>
    </row>
    <row r="1462" spans="1:14" x14ac:dyDescent="0.25">
      <c r="A1462">
        <v>1223.4141959999999</v>
      </c>
      <c r="B1462" s="1">
        <f>DATE(2013,9,5) + TIME(9,56,26)</f>
        <v>41522.414189814815</v>
      </c>
      <c r="C1462">
        <v>80</v>
      </c>
      <c r="D1462">
        <v>79.941459656000006</v>
      </c>
      <c r="E1462">
        <v>50</v>
      </c>
      <c r="F1462">
        <v>44.118267058999997</v>
      </c>
      <c r="G1462">
        <v>1365.1422118999999</v>
      </c>
      <c r="H1462">
        <v>1355.4536132999999</v>
      </c>
      <c r="I1462">
        <v>1300.5649414</v>
      </c>
      <c r="J1462">
        <v>1285.9647216999999</v>
      </c>
      <c r="K1462">
        <v>1650</v>
      </c>
      <c r="L1462">
        <v>0</v>
      </c>
      <c r="M1462">
        <v>0</v>
      </c>
      <c r="N1462">
        <v>1650</v>
      </c>
    </row>
    <row r="1463" spans="1:14" x14ac:dyDescent="0.25">
      <c r="A1463">
        <v>1225.6863169999999</v>
      </c>
      <c r="B1463" s="1">
        <f>DATE(2013,9,7) + TIME(16,28,17)</f>
        <v>41524.686307870368</v>
      </c>
      <c r="C1463">
        <v>80</v>
      </c>
      <c r="D1463">
        <v>79.941497803000004</v>
      </c>
      <c r="E1463">
        <v>50</v>
      </c>
      <c r="F1463">
        <v>44.105766295999999</v>
      </c>
      <c r="G1463">
        <v>1365.0980225000001</v>
      </c>
      <c r="H1463">
        <v>1355.4169922000001</v>
      </c>
      <c r="I1463">
        <v>1300.5214844</v>
      </c>
      <c r="J1463">
        <v>1285.8830565999999</v>
      </c>
      <c r="K1463">
        <v>1650</v>
      </c>
      <c r="L1463">
        <v>0</v>
      </c>
      <c r="M1463">
        <v>0</v>
      </c>
      <c r="N1463">
        <v>1650</v>
      </c>
    </row>
    <row r="1464" spans="1:14" x14ac:dyDescent="0.25">
      <c r="A1464">
        <v>1227.9872230000001</v>
      </c>
      <c r="B1464" s="1">
        <f>DATE(2013,9,9) + TIME(23,41,36)</f>
        <v>41526.987222222226</v>
      </c>
      <c r="C1464">
        <v>80</v>
      </c>
      <c r="D1464">
        <v>79.941535950000002</v>
      </c>
      <c r="E1464">
        <v>50</v>
      </c>
      <c r="F1464">
        <v>44.101097107000001</v>
      </c>
      <c r="G1464">
        <v>1365.0535889</v>
      </c>
      <c r="H1464">
        <v>1355.3800048999999</v>
      </c>
      <c r="I1464">
        <v>1300.4790039</v>
      </c>
      <c r="J1464">
        <v>1285.8028564000001</v>
      </c>
      <c r="K1464">
        <v>1650</v>
      </c>
      <c r="L1464">
        <v>0</v>
      </c>
      <c r="M1464">
        <v>0</v>
      </c>
      <c r="N1464">
        <v>1650</v>
      </c>
    </row>
    <row r="1465" spans="1:14" x14ac:dyDescent="0.25">
      <c r="A1465">
        <v>1230.3206929999999</v>
      </c>
      <c r="B1465" s="1">
        <f>DATE(2013,9,12) + TIME(7,41,47)</f>
        <v>41529.32068287037</v>
      </c>
      <c r="C1465">
        <v>80</v>
      </c>
      <c r="D1465">
        <v>79.941581725999995</v>
      </c>
      <c r="E1465">
        <v>50</v>
      </c>
      <c r="F1465">
        <v>44.105228424000003</v>
      </c>
      <c r="G1465">
        <v>1365.0090332</v>
      </c>
      <c r="H1465">
        <v>1355.3428954999999</v>
      </c>
      <c r="I1465">
        <v>1300.4378661999999</v>
      </c>
      <c r="J1465">
        <v>1285.7248535000001</v>
      </c>
      <c r="K1465">
        <v>1650</v>
      </c>
      <c r="L1465">
        <v>0</v>
      </c>
      <c r="M1465">
        <v>0</v>
      </c>
      <c r="N1465">
        <v>1650</v>
      </c>
    </row>
    <row r="1466" spans="1:14" x14ac:dyDescent="0.25">
      <c r="A1466">
        <v>1232.6937849999999</v>
      </c>
      <c r="B1466" s="1">
        <f>DATE(2013,9,14) + TIME(16,39,3)</f>
        <v>41531.693784722222</v>
      </c>
      <c r="C1466">
        <v>80</v>
      </c>
      <c r="D1466">
        <v>79.941619872999993</v>
      </c>
      <c r="E1466">
        <v>50</v>
      </c>
      <c r="F1466">
        <v>44.119083404999998</v>
      </c>
      <c r="G1466">
        <v>1364.9642334</v>
      </c>
      <c r="H1466">
        <v>1355.3054199000001</v>
      </c>
      <c r="I1466">
        <v>1300.3984375</v>
      </c>
      <c r="J1466">
        <v>1285.6496582</v>
      </c>
      <c r="K1466">
        <v>1650</v>
      </c>
      <c r="L1466">
        <v>0</v>
      </c>
      <c r="M1466">
        <v>0</v>
      </c>
      <c r="N1466">
        <v>1650</v>
      </c>
    </row>
    <row r="1467" spans="1:14" x14ac:dyDescent="0.25">
      <c r="A1467">
        <v>1235.1116750000001</v>
      </c>
      <c r="B1467" s="1">
        <f>DATE(2013,9,17) + TIME(2,40,48)</f>
        <v>41534.111666666664</v>
      </c>
      <c r="C1467">
        <v>80</v>
      </c>
      <c r="D1467">
        <v>79.941665649000001</v>
      </c>
      <c r="E1467">
        <v>50</v>
      </c>
      <c r="F1467">
        <v>44.143638611</v>
      </c>
      <c r="G1467">
        <v>1364.9190673999999</v>
      </c>
      <c r="H1467">
        <v>1355.2677002</v>
      </c>
      <c r="I1467">
        <v>1300.3605957</v>
      </c>
      <c r="J1467">
        <v>1285.5775146000001</v>
      </c>
      <c r="K1467">
        <v>1650</v>
      </c>
      <c r="L1467">
        <v>0</v>
      </c>
      <c r="M1467">
        <v>0</v>
      </c>
      <c r="N1467">
        <v>1650</v>
      </c>
    </row>
    <row r="1468" spans="1:14" x14ac:dyDescent="0.25">
      <c r="A1468">
        <v>1237.5693530000001</v>
      </c>
      <c r="B1468" s="1">
        <f>DATE(2013,9,19) + TIME(13,39,52)</f>
        <v>41536.569351851853</v>
      </c>
      <c r="C1468">
        <v>80</v>
      </c>
      <c r="D1468">
        <v>79.941703795999999</v>
      </c>
      <c r="E1468">
        <v>50</v>
      </c>
      <c r="F1468">
        <v>44.179908752000003</v>
      </c>
      <c r="G1468">
        <v>1364.8735352000001</v>
      </c>
      <c r="H1468">
        <v>1355.2293701000001</v>
      </c>
      <c r="I1468">
        <v>1300.324707</v>
      </c>
      <c r="J1468">
        <v>1285.5089111</v>
      </c>
      <c r="K1468">
        <v>1650</v>
      </c>
      <c r="L1468">
        <v>0</v>
      </c>
      <c r="M1468">
        <v>0</v>
      </c>
      <c r="N1468">
        <v>1650</v>
      </c>
    </row>
    <row r="1469" spans="1:14" x14ac:dyDescent="0.25">
      <c r="A1469">
        <v>1240.062091</v>
      </c>
      <c r="B1469" s="1">
        <f>DATE(2013,9,22) + TIME(1,29,24)</f>
        <v>41539.062083333331</v>
      </c>
      <c r="C1469">
        <v>80</v>
      </c>
      <c r="D1469">
        <v>79.941749572999996</v>
      </c>
      <c r="E1469">
        <v>50</v>
      </c>
      <c r="F1469">
        <v>44.228866576999998</v>
      </c>
      <c r="G1469">
        <v>1364.8277588000001</v>
      </c>
      <c r="H1469">
        <v>1355.1907959</v>
      </c>
      <c r="I1469">
        <v>1300.2908935999999</v>
      </c>
      <c r="J1469">
        <v>1285.4443358999999</v>
      </c>
      <c r="K1469">
        <v>1650</v>
      </c>
      <c r="L1469">
        <v>0</v>
      </c>
      <c r="M1469">
        <v>0</v>
      </c>
      <c r="N1469">
        <v>1650</v>
      </c>
    </row>
    <row r="1470" spans="1:14" x14ac:dyDescent="0.25">
      <c r="A1470">
        <v>1242.581553</v>
      </c>
      <c r="B1470" s="1">
        <f>DATE(2013,9,24) + TIME(13,57,26)</f>
        <v>41541.581550925926</v>
      </c>
      <c r="C1470">
        <v>80</v>
      </c>
      <c r="D1470">
        <v>79.941795349000003</v>
      </c>
      <c r="E1470">
        <v>50</v>
      </c>
      <c r="F1470">
        <v>44.291297913000001</v>
      </c>
      <c r="G1470">
        <v>1364.7816161999999</v>
      </c>
      <c r="H1470">
        <v>1355.1519774999999</v>
      </c>
      <c r="I1470">
        <v>1300.2596435999999</v>
      </c>
      <c r="J1470">
        <v>1285.3843993999999</v>
      </c>
      <c r="K1470">
        <v>1650</v>
      </c>
      <c r="L1470">
        <v>0</v>
      </c>
      <c r="M1470">
        <v>0</v>
      </c>
      <c r="N1470">
        <v>1650</v>
      </c>
    </row>
    <row r="1471" spans="1:14" x14ac:dyDescent="0.25">
      <c r="A1471">
        <v>1245.1124580000001</v>
      </c>
      <c r="B1471" s="1">
        <f>DATE(2013,9,27) + TIME(2,41,56)</f>
        <v>41544.112453703703</v>
      </c>
      <c r="C1471">
        <v>80</v>
      </c>
      <c r="D1471">
        <v>79.941841124999996</v>
      </c>
      <c r="E1471">
        <v>50</v>
      </c>
      <c r="F1471">
        <v>44.367706298999998</v>
      </c>
      <c r="G1471">
        <v>1364.7355957</v>
      </c>
      <c r="H1471">
        <v>1355.1130370999999</v>
      </c>
      <c r="I1471">
        <v>1300.230957</v>
      </c>
      <c r="J1471">
        <v>1285.3298339999999</v>
      </c>
      <c r="K1471">
        <v>1650</v>
      </c>
      <c r="L1471">
        <v>0</v>
      </c>
      <c r="M1471">
        <v>0</v>
      </c>
      <c r="N1471">
        <v>1650</v>
      </c>
    </row>
    <row r="1472" spans="1:14" x14ac:dyDescent="0.25">
      <c r="A1472">
        <v>1247.648993</v>
      </c>
      <c r="B1472" s="1">
        <f>DATE(2013,9,29) + TIME(15,34,33)</f>
        <v>41546.648993055554</v>
      </c>
      <c r="C1472">
        <v>80</v>
      </c>
      <c r="D1472">
        <v>79.941886901999993</v>
      </c>
      <c r="E1472">
        <v>50</v>
      </c>
      <c r="F1472">
        <v>44.458278655999997</v>
      </c>
      <c r="G1472">
        <v>1364.6898193</v>
      </c>
      <c r="H1472">
        <v>1355.0743408000001</v>
      </c>
      <c r="I1472">
        <v>1300.2053223</v>
      </c>
      <c r="J1472">
        <v>1285.2811279</v>
      </c>
      <c r="K1472">
        <v>1650</v>
      </c>
      <c r="L1472">
        <v>0</v>
      </c>
      <c r="M1472">
        <v>0</v>
      </c>
      <c r="N1472">
        <v>1650</v>
      </c>
    </row>
    <row r="1473" spans="1:14" x14ac:dyDescent="0.25">
      <c r="A1473">
        <v>1249</v>
      </c>
      <c r="B1473" s="1">
        <f>DATE(2013,10,1) + TIME(0,0,0)</f>
        <v>41548</v>
      </c>
      <c r="C1473">
        <v>80</v>
      </c>
      <c r="D1473">
        <v>79.941902161000002</v>
      </c>
      <c r="E1473">
        <v>50</v>
      </c>
      <c r="F1473">
        <v>44.540199280000003</v>
      </c>
      <c r="G1473">
        <v>1364.6442870999999</v>
      </c>
      <c r="H1473">
        <v>1355.0357666</v>
      </c>
      <c r="I1473">
        <v>1300.1892089999999</v>
      </c>
      <c r="J1473">
        <v>1285.2437743999999</v>
      </c>
      <c r="K1473">
        <v>1650</v>
      </c>
      <c r="L1473">
        <v>0</v>
      </c>
      <c r="M1473">
        <v>0</v>
      </c>
      <c r="N1473">
        <v>1650</v>
      </c>
    </row>
    <row r="1474" spans="1:14" x14ac:dyDescent="0.25">
      <c r="A1474">
        <v>1251.5669049999999</v>
      </c>
      <c r="B1474" s="1">
        <f>DATE(2013,10,3) + TIME(13,36,20)</f>
        <v>41550.56689814815</v>
      </c>
      <c r="C1474">
        <v>80</v>
      </c>
      <c r="D1474">
        <v>79.941955566000004</v>
      </c>
      <c r="E1474">
        <v>50</v>
      </c>
      <c r="F1474">
        <v>44.634819030999999</v>
      </c>
      <c r="G1474">
        <v>1364.6202393000001</v>
      </c>
      <c r="H1474">
        <v>1355.0151367000001</v>
      </c>
      <c r="I1474">
        <v>1300.1696777</v>
      </c>
      <c r="J1474">
        <v>1285.2177733999999</v>
      </c>
      <c r="K1474">
        <v>1650</v>
      </c>
      <c r="L1474">
        <v>0</v>
      </c>
      <c r="M1474">
        <v>0</v>
      </c>
      <c r="N1474">
        <v>1650</v>
      </c>
    </row>
    <row r="1475" spans="1:14" x14ac:dyDescent="0.25">
      <c r="A1475">
        <v>1254.2048870000001</v>
      </c>
      <c r="B1475" s="1">
        <f>DATE(2013,10,6) + TIME(4,55,2)</f>
        <v>41553.204884259256</v>
      </c>
      <c r="C1475">
        <v>80</v>
      </c>
      <c r="D1475">
        <v>79.942008971999996</v>
      </c>
      <c r="E1475">
        <v>50</v>
      </c>
      <c r="F1475">
        <v>44.757476807000003</v>
      </c>
      <c r="G1475">
        <v>1364.5750731999999</v>
      </c>
      <c r="H1475">
        <v>1354.9768065999999</v>
      </c>
      <c r="I1475">
        <v>1300.1531981999999</v>
      </c>
      <c r="J1475">
        <v>1285.1861572</v>
      </c>
      <c r="K1475">
        <v>1650</v>
      </c>
      <c r="L1475">
        <v>0</v>
      </c>
      <c r="M1475">
        <v>0</v>
      </c>
      <c r="N1475">
        <v>1650</v>
      </c>
    </row>
    <row r="1476" spans="1:14" x14ac:dyDescent="0.25">
      <c r="A1476">
        <v>1256.903961</v>
      </c>
      <c r="B1476" s="1">
        <f>DATE(2013,10,8) + TIME(21,41,42)</f>
        <v>41555.903958333336</v>
      </c>
      <c r="C1476">
        <v>80</v>
      </c>
      <c r="D1476">
        <v>79.942062378000003</v>
      </c>
      <c r="E1476">
        <v>50</v>
      </c>
      <c r="F1476">
        <v>44.901287078999999</v>
      </c>
      <c r="G1476">
        <v>1364.5291748</v>
      </c>
      <c r="H1476">
        <v>1354.9376221</v>
      </c>
      <c r="I1476">
        <v>1300.1384277</v>
      </c>
      <c r="J1476">
        <v>1285.1599120999999</v>
      </c>
      <c r="K1476">
        <v>1650</v>
      </c>
      <c r="L1476">
        <v>0</v>
      </c>
      <c r="M1476">
        <v>0</v>
      </c>
      <c r="N1476">
        <v>1650</v>
      </c>
    </row>
    <row r="1477" spans="1:14" x14ac:dyDescent="0.25">
      <c r="A1477">
        <v>1259.660965</v>
      </c>
      <c r="B1477" s="1">
        <f>DATE(2013,10,11) + TIME(15,51,47)</f>
        <v>41558.660960648151</v>
      </c>
      <c r="C1477">
        <v>80</v>
      </c>
      <c r="D1477">
        <v>79.942115783999995</v>
      </c>
      <c r="E1477">
        <v>50</v>
      </c>
      <c r="F1477">
        <v>45.064037323000001</v>
      </c>
      <c r="G1477">
        <v>1364.4826660000001</v>
      </c>
      <c r="H1477">
        <v>1354.8978271000001</v>
      </c>
      <c r="I1477">
        <v>1300.1264647999999</v>
      </c>
      <c r="J1477">
        <v>1285.1400146000001</v>
      </c>
      <c r="K1477">
        <v>1650</v>
      </c>
      <c r="L1477">
        <v>0</v>
      </c>
      <c r="M1477">
        <v>0</v>
      </c>
      <c r="N1477">
        <v>1650</v>
      </c>
    </row>
    <row r="1478" spans="1:14" x14ac:dyDescent="0.25">
      <c r="A1478">
        <v>1262.4571470000001</v>
      </c>
      <c r="B1478" s="1">
        <f>DATE(2013,10,14) + TIME(10,58,17)</f>
        <v>41561.457141203704</v>
      </c>
      <c r="C1478">
        <v>80</v>
      </c>
      <c r="D1478">
        <v>79.942169188999998</v>
      </c>
      <c r="E1478">
        <v>50</v>
      </c>
      <c r="F1478">
        <v>45.244647980000003</v>
      </c>
      <c r="G1478">
        <v>1364.4357910000001</v>
      </c>
      <c r="H1478">
        <v>1354.8577881000001</v>
      </c>
      <c r="I1478">
        <v>1300.1175536999999</v>
      </c>
      <c r="J1478">
        <v>1285.1269531</v>
      </c>
      <c r="K1478">
        <v>1650</v>
      </c>
      <c r="L1478">
        <v>0</v>
      </c>
      <c r="M1478">
        <v>0</v>
      </c>
      <c r="N1478">
        <v>1650</v>
      </c>
    </row>
    <row r="1479" spans="1:14" x14ac:dyDescent="0.25">
      <c r="A1479">
        <v>1265.2773709999999</v>
      </c>
      <c r="B1479" s="1">
        <f>DATE(2013,10,17) + TIME(6,39,24)</f>
        <v>41564.277361111112</v>
      </c>
      <c r="C1479">
        <v>80</v>
      </c>
      <c r="D1479">
        <v>79.942222595000004</v>
      </c>
      <c r="E1479">
        <v>50</v>
      </c>
      <c r="F1479">
        <v>45.441658019999998</v>
      </c>
      <c r="G1479">
        <v>1364.3887939000001</v>
      </c>
      <c r="H1479">
        <v>1354.8175048999999</v>
      </c>
      <c r="I1479">
        <v>1300.1119385</v>
      </c>
      <c r="J1479">
        <v>1285.1209716999999</v>
      </c>
      <c r="K1479">
        <v>1650</v>
      </c>
      <c r="L1479">
        <v>0</v>
      </c>
      <c r="M1479">
        <v>0</v>
      </c>
      <c r="N1479">
        <v>1650</v>
      </c>
    </row>
    <row r="1480" spans="1:14" x14ac:dyDescent="0.25">
      <c r="A1480">
        <v>1268.1327369999999</v>
      </c>
      <c r="B1480" s="1">
        <f>DATE(2013,10,20) + TIME(3,11,8)</f>
        <v>41567.132731481484</v>
      </c>
      <c r="C1480">
        <v>80</v>
      </c>
      <c r="D1480">
        <v>79.942283630000006</v>
      </c>
      <c r="E1480">
        <v>50</v>
      </c>
      <c r="F1480">
        <v>45.653778076000002</v>
      </c>
      <c r="G1480">
        <v>1364.3420410000001</v>
      </c>
      <c r="H1480">
        <v>1354.7774658000001</v>
      </c>
      <c r="I1480">
        <v>1300.1094971</v>
      </c>
      <c r="J1480">
        <v>1285.1223144999999</v>
      </c>
      <c r="K1480">
        <v>1650</v>
      </c>
      <c r="L1480">
        <v>0</v>
      </c>
      <c r="M1480">
        <v>0</v>
      </c>
      <c r="N1480">
        <v>1650</v>
      </c>
    </row>
    <row r="1481" spans="1:14" x14ac:dyDescent="0.25">
      <c r="A1481">
        <v>1271.0316640000001</v>
      </c>
      <c r="B1481" s="1">
        <f>DATE(2013,10,23) + TIME(0,45,35)</f>
        <v>41570.031655092593</v>
      </c>
      <c r="C1481">
        <v>80</v>
      </c>
      <c r="D1481">
        <v>79.942337035999998</v>
      </c>
      <c r="E1481">
        <v>50</v>
      </c>
      <c r="F1481">
        <v>45.880386352999999</v>
      </c>
      <c r="G1481">
        <v>1364.2954102000001</v>
      </c>
      <c r="H1481">
        <v>1354.7373047000001</v>
      </c>
      <c r="I1481">
        <v>1300.1103516000001</v>
      </c>
      <c r="J1481">
        <v>1285.1307373</v>
      </c>
      <c r="K1481">
        <v>1650</v>
      </c>
      <c r="L1481">
        <v>0</v>
      </c>
      <c r="M1481">
        <v>0</v>
      </c>
      <c r="N1481">
        <v>1650</v>
      </c>
    </row>
    <row r="1482" spans="1:14" x14ac:dyDescent="0.25">
      <c r="A1482">
        <v>1273.983342</v>
      </c>
      <c r="B1482" s="1">
        <f>DATE(2013,10,25) + TIME(23,36,0)</f>
        <v>41572.98333333333</v>
      </c>
      <c r="C1482">
        <v>80</v>
      </c>
      <c r="D1482">
        <v>79.942398071</v>
      </c>
      <c r="E1482">
        <v>50</v>
      </c>
      <c r="F1482">
        <v>46.120922088999997</v>
      </c>
      <c r="G1482">
        <v>1364.2487793</v>
      </c>
      <c r="H1482">
        <v>1354.6972656</v>
      </c>
      <c r="I1482">
        <v>1300.1143798999999</v>
      </c>
      <c r="J1482">
        <v>1285.1461182</v>
      </c>
      <c r="K1482">
        <v>1650</v>
      </c>
      <c r="L1482">
        <v>0</v>
      </c>
      <c r="M1482">
        <v>0</v>
      </c>
      <c r="N1482">
        <v>1650</v>
      </c>
    </row>
    <row r="1483" spans="1:14" x14ac:dyDescent="0.25">
      <c r="A1483">
        <v>1276.997752</v>
      </c>
      <c r="B1483" s="1">
        <f>DATE(2013,10,28) + TIME(23,56,45)</f>
        <v>41575.997743055559</v>
      </c>
      <c r="C1483">
        <v>80</v>
      </c>
      <c r="D1483">
        <v>79.942459106000001</v>
      </c>
      <c r="E1483">
        <v>50</v>
      </c>
      <c r="F1483">
        <v>46.374839782999999</v>
      </c>
      <c r="G1483">
        <v>1364.2021483999999</v>
      </c>
      <c r="H1483">
        <v>1354.6569824000001</v>
      </c>
      <c r="I1483">
        <v>1300.121582</v>
      </c>
      <c r="J1483">
        <v>1285.1683350000001</v>
      </c>
      <c r="K1483">
        <v>1650</v>
      </c>
      <c r="L1483">
        <v>0</v>
      </c>
      <c r="M1483">
        <v>0</v>
      </c>
      <c r="N1483">
        <v>1650</v>
      </c>
    </row>
    <row r="1484" spans="1:14" x14ac:dyDescent="0.25">
      <c r="A1484">
        <v>1280</v>
      </c>
      <c r="B1484" s="1">
        <f>DATE(2013,11,1) + TIME(0,0,0)</f>
        <v>41579</v>
      </c>
      <c r="C1484">
        <v>80</v>
      </c>
      <c r="D1484">
        <v>79.942512511999993</v>
      </c>
      <c r="E1484">
        <v>50</v>
      </c>
      <c r="F1484">
        <v>46.639553069999998</v>
      </c>
      <c r="G1484">
        <v>1364.1551514</v>
      </c>
      <c r="H1484">
        <v>1354.6165771000001</v>
      </c>
      <c r="I1484">
        <v>1300.1322021000001</v>
      </c>
      <c r="J1484">
        <v>1285.1970214999999</v>
      </c>
      <c r="K1484">
        <v>1650</v>
      </c>
      <c r="L1484">
        <v>0</v>
      </c>
      <c r="M1484">
        <v>0</v>
      </c>
      <c r="N1484">
        <v>1650</v>
      </c>
    </row>
    <row r="1485" spans="1:14" x14ac:dyDescent="0.25">
      <c r="A1485">
        <v>1280.0000010000001</v>
      </c>
      <c r="B1485" s="1">
        <f>DATE(2013,11,1) + TIME(0,0,0)</f>
        <v>41579</v>
      </c>
      <c r="C1485">
        <v>80</v>
      </c>
      <c r="D1485">
        <v>79.942428589000002</v>
      </c>
      <c r="E1485">
        <v>50</v>
      </c>
      <c r="F1485">
        <v>46.639636993000003</v>
      </c>
      <c r="G1485">
        <v>1354.0172118999999</v>
      </c>
      <c r="H1485">
        <v>1346.1517334</v>
      </c>
      <c r="I1485">
        <v>1315.7775879000001</v>
      </c>
      <c r="J1485">
        <v>1300.7802733999999</v>
      </c>
      <c r="K1485">
        <v>0</v>
      </c>
      <c r="L1485">
        <v>1650</v>
      </c>
      <c r="M1485">
        <v>1650</v>
      </c>
      <c r="N1485">
        <v>0</v>
      </c>
    </row>
    <row r="1486" spans="1:14" x14ac:dyDescent="0.25">
      <c r="A1486">
        <v>1280.000004</v>
      </c>
      <c r="B1486" s="1">
        <f>DATE(2013,11,1) + TIME(0,0,0)</f>
        <v>41579</v>
      </c>
      <c r="C1486">
        <v>80</v>
      </c>
      <c r="D1486">
        <v>79.942214965999995</v>
      </c>
      <c r="E1486">
        <v>50</v>
      </c>
      <c r="F1486">
        <v>46.639862061000002</v>
      </c>
      <c r="G1486">
        <v>1352.5030518000001</v>
      </c>
      <c r="H1486">
        <v>1344.6370850000001</v>
      </c>
      <c r="I1486">
        <v>1317.4224853999999</v>
      </c>
      <c r="J1486">
        <v>1302.5175781</v>
      </c>
      <c r="K1486">
        <v>0</v>
      </c>
      <c r="L1486">
        <v>1650</v>
      </c>
      <c r="M1486">
        <v>1650</v>
      </c>
      <c r="N1486">
        <v>0</v>
      </c>
    </row>
    <row r="1487" spans="1:14" x14ac:dyDescent="0.25">
      <c r="A1487">
        <v>1280.0000130000001</v>
      </c>
      <c r="B1487" s="1">
        <f>DATE(2013,11,1) + TIME(0,0,1)</f>
        <v>41579.000011574077</v>
      </c>
      <c r="C1487">
        <v>80</v>
      </c>
      <c r="D1487">
        <v>79.941780089999995</v>
      </c>
      <c r="E1487">
        <v>50</v>
      </c>
      <c r="F1487">
        <v>46.640380858999997</v>
      </c>
      <c r="G1487">
        <v>1349.4464111</v>
      </c>
      <c r="H1487">
        <v>1341.5798339999999</v>
      </c>
      <c r="I1487">
        <v>1321.2141113</v>
      </c>
      <c r="J1487">
        <v>1306.4597168</v>
      </c>
      <c r="K1487">
        <v>0</v>
      </c>
      <c r="L1487">
        <v>1650</v>
      </c>
      <c r="M1487">
        <v>1650</v>
      </c>
      <c r="N1487">
        <v>0</v>
      </c>
    </row>
    <row r="1488" spans="1:14" x14ac:dyDescent="0.25">
      <c r="A1488">
        <v>1280.0000399999999</v>
      </c>
      <c r="B1488" s="1">
        <f>DATE(2013,11,1) + TIME(0,0,3)</f>
        <v>41579.000034722223</v>
      </c>
      <c r="C1488">
        <v>80</v>
      </c>
      <c r="D1488">
        <v>79.941139221</v>
      </c>
      <c r="E1488">
        <v>50</v>
      </c>
      <c r="F1488">
        <v>46.641284943000002</v>
      </c>
      <c r="G1488">
        <v>1344.9798584</v>
      </c>
      <c r="H1488">
        <v>1337.1148682</v>
      </c>
      <c r="I1488">
        <v>1327.7818603999999</v>
      </c>
      <c r="J1488">
        <v>1313.1212158000001</v>
      </c>
      <c r="K1488">
        <v>0</v>
      </c>
      <c r="L1488">
        <v>1650</v>
      </c>
      <c r="M1488">
        <v>1650</v>
      </c>
      <c r="N1488">
        <v>0</v>
      </c>
    </row>
    <row r="1489" spans="1:14" x14ac:dyDescent="0.25">
      <c r="A1489">
        <v>1280.000121</v>
      </c>
      <c r="B1489" s="1">
        <f>DATE(2013,11,1) + TIME(0,0,10)</f>
        <v>41579.000115740739</v>
      </c>
      <c r="C1489">
        <v>80</v>
      </c>
      <c r="D1489">
        <v>79.940422057999996</v>
      </c>
      <c r="E1489">
        <v>50</v>
      </c>
      <c r="F1489">
        <v>46.642547606999997</v>
      </c>
      <c r="G1489">
        <v>1340.0075684000001</v>
      </c>
      <c r="H1489">
        <v>1332.1463623</v>
      </c>
      <c r="I1489">
        <v>1336.0917969</v>
      </c>
      <c r="J1489">
        <v>1321.4256591999999</v>
      </c>
      <c r="K1489">
        <v>0</v>
      </c>
      <c r="L1489">
        <v>1650</v>
      </c>
      <c r="M1489">
        <v>1650</v>
      </c>
      <c r="N1489">
        <v>0</v>
      </c>
    </row>
    <row r="1490" spans="1:14" x14ac:dyDescent="0.25">
      <c r="A1490">
        <v>1280.000364</v>
      </c>
      <c r="B1490" s="1">
        <f>DATE(2013,11,1) + TIME(0,0,31)</f>
        <v>41579.000358796293</v>
      </c>
      <c r="C1490">
        <v>80</v>
      </c>
      <c r="D1490">
        <v>79.939666747999993</v>
      </c>
      <c r="E1490">
        <v>50</v>
      </c>
      <c r="F1490">
        <v>46.644329071000001</v>
      </c>
      <c r="G1490">
        <v>1334.9991454999999</v>
      </c>
      <c r="H1490">
        <v>1327.1361084</v>
      </c>
      <c r="I1490">
        <v>1344.8470459</v>
      </c>
      <c r="J1490">
        <v>1330.1556396000001</v>
      </c>
      <c r="K1490">
        <v>0</v>
      </c>
      <c r="L1490">
        <v>1650</v>
      </c>
      <c r="M1490">
        <v>1650</v>
      </c>
      <c r="N1490">
        <v>0</v>
      </c>
    </row>
    <row r="1491" spans="1:14" x14ac:dyDescent="0.25">
      <c r="A1491">
        <v>1280.0010930000001</v>
      </c>
      <c r="B1491" s="1">
        <f>DATE(2013,11,1) + TIME(0,1,34)</f>
        <v>41579.001087962963</v>
      </c>
      <c r="C1491">
        <v>80</v>
      </c>
      <c r="D1491">
        <v>79.938812256000006</v>
      </c>
      <c r="E1491">
        <v>50</v>
      </c>
      <c r="F1491">
        <v>46.647533416999998</v>
      </c>
      <c r="G1491">
        <v>1329.9094238</v>
      </c>
      <c r="H1491">
        <v>1321.9899902</v>
      </c>
      <c r="I1491">
        <v>1353.7573242000001</v>
      </c>
      <c r="J1491">
        <v>1339.0281981999999</v>
      </c>
      <c r="K1491">
        <v>0</v>
      </c>
      <c r="L1491">
        <v>1650</v>
      </c>
      <c r="M1491">
        <v>1650</v>
      </c>
      <c r="N1491">
        <v>0</v>
      </c>
    </row>
    <row r="1492" spans="1:14" x14ac:dyDescent="0.25">
      <c r="A1492">
        <v>1280.0032799999999</v>
      </c>
      <c r="B1492" s="1">
        <f>DATE(2013,11,1) + TIME(0,4,43)</f>
        <v>41579.003275462965</v>
      </c>
      <c r="C1492">
        <v>80</v>
      </c>
      <c r="D1492">
        <v>79.937667847</v>
      </c>
      <c r="E1492">
        <v>50</v>
      </c>
      <c r="F1492">
        <v>46.654949188000003</v>
      </c>
      <c r="G1492">
        <v>1324.6448975000001</v>
      </c>
      <c r="H1492">
        <v>1316.5718993999999</v>
      </c>
      <c r="I1492">
        <v>1362.5960693</v>
      </c>
      <c r="J1492">
        <v>1347.7779541</v>
      </c>
      <c r="K1492">
        <v>0</v>
      </c>
      <c r="L1492">
        <v>1650</v>
      </c>
      <c r="M1492">
        <v>1650</v>
      </c>
      <c r="N1492">
        <v>0</v>
      </c>
    </row>
    <row r="1493" spans="1:14" x14ac:dyDescent="0.25">
      <c r="A1493">
        <v>1280.0098410000001</v>
      </c>
      <c r="B1493" s="1">
        <f>DATE(2013,11,1) + TIME(0,14,10)</f>
        <v>41579.009837962964</v>
      </c>
      <c r="C1493">
        <v>80</v>
      </c>
      <c r="D1493">
        <v>79.935737610000004</v>
      </c>
      <c r="E1493">
        <v>50</v>
      </c>
      <c r="F1493">
        <v>46.674922942999999</v>
      </c>
      <c r="G1493">
        <v>1319.6568603999999</v>
      </c>
      <c r="H1493">
        <v>1311.4354248</v>
      </c>
      <c r="I1493">
        <v>1370.2174072</v>
      </c>
      <c r="J1493">
        <v>1355.2752685999999</v>
      </c>
      <c r="K1493">
        <v>0</v>
      </c>
      <c r="L1493">
        <v>1650</v>
      </c>
      <c r="M1493">
        <v>1650</v>
      </c>
      <c r="N1493">
        <v>0</v>
      </c>
    </row>
    <row r="1494" spans="1:14" x14ac:dyDescent="0.25">
      <c r="A1494">
        <v>1280.029524</v>
      </c>
      <c r="B1494" s="1">
        <f>DATE(2013,11,1) + TIME(0,42,30)</f>
        <v>41579.029513888891</v>
      </c>
      <c r="C1494">
        <v>80</v>
      </c>
      <c r="D1494">
        <v>79.931564331000004</v>
      </c>
      <c r="E1494">
        <v>50</v>
      </c>
      <c r="F1494">
        <v>46.732021332000002</v>
      </c>
      <c r="G1494">
        <v>1315.9285889</v>
      </c>
      <c r="H1494">
        <v>1307.6468506000001</v>
      </c>
      <c r="I1494">
        <v>1375.0895995999999</v>
      </c>
      <c r="J1494">
        <v>1360.0662841999999</v>
      </c>
      <c r="K1494">
        <v>0</v>
      </c>
      <c r="L1494">
        <v>1650</v>
      </c>
      <c r="M1494">
        <v>1650</v>
      </c>
      <c r="N1494">
        <v>0</v>
      </c>
    </row>
    <row r="1495" spans="1:14" x14ac:dyDescent="0.25">
      <c r="A1495">
        <v>1280.088573</v>
      </c>
      <c r="B1495" s="1">
        <f>DATE(2013,11,1) + TIME(2,7,32)</f>
        <v>41579.088564814818</v>
      </c>
      <c r="C1495">
        <v>80</v>
      </c>
      <c r="D1495">
        <v>79.920738220000004</v>
      </c>
      <c r="E1495">
        <v>50</v>
      </c>
      <c r="F1495">
        <v>46.893543243000003</v>
      </c>
      <c r="G1495">
        <v>1314.0563964999999</v>
      </c>
      <c r="H1495">
        <v>1305.7611084</v>
      </c>
      <c r="I1495">
        <v>1376.8334961</v>
      </c>
      <c r="J1495">
        <v>1361.8238524999999</v>
      </c>
      <c r="K1495">
        <v>0</v>
      </c>
      <c r="L1495">
        <v>1650</v>
      </c>
      <c r="M1495">
        <v>1650</v>
      </c>
      <c r="N1495">
        <v>0</v>
      </c>
    </row>
    <row r="1496" spans="1:14" x14ac:dyDescent="0.25">
      <c r="A1496">
        <v>1280.175356</v>
      </c>
      <c r="B1496" s="1">
        <f>DATE(2013,11,1) + TIME(4,12,30)</f>
        <v>41579.175347222219</v>
      </c>
      <c r="C1496">
        <v>80</v>
      </c>
      <c r="D1496">
        <v>79.905677795000003</v>
      </c>
      <c r="E1496">
        <v>50</v>
      </c>
      <c r="F1496">
        <v>47.113479613999999</v>
      </c>
      <c r="G1496">
        <v>1313.5911865</v>
      </c>
      <c r="H1496">
        <v>1305.2935791</v>
      </c>
      <c r="I1496">
        <v>1376.9348144999999</v>
      </c>
      <c r="J1496">
        <v>1361.9898682</v>
      </c>
      <c r="K1496">
        <v>0</v>
      </c>
      <c r="L1496">
        <v>1650</v>
      </c>
      <c r="M1496">
        <v>1650</v>
      </c>
      <c r="N1496">
        <v>0</v>
      </c>
    </row>
    <row r="1497" spans="1:14" x14ac:dyDescent="0.25">
      <c r="A1497">
        <v>1280.2664420000001</v>
      </c>
      <c r="B1497" s="1">
        <f>DATE(2013,11,1) + TIME(6,23,40)</f>
        <v>41579.266435185185</v>
      </c>
      <c r="C1497">
        <v>80</v>
      </c>
      <c r="D1497">
        <v>79.890251160000005</v>
      </c>
      <c r="E1497">
        <v>50</v>
      </c>
      <c r="F1497">
        <v>47.3268013</v>
      </c>
      <c r="G1497">
        <v>1313.4904785000001</v>
      </c>
      <c r="H1497">
        <v>1305.1921387</v>
      </c>
      <c r="I1497">
        <v>1376.7979736</v>
      </c>
      <c r="J1497">
        <v>1361.9194336</v>
      </c>
      <c r="K1497">
        <v>0</v>
      </c>
      <c r="L1497">
        <v>1650</v>
      </c>
      <c r="M1497">
        <v>1650</v>
      </c>
      <c r="N1497">
        <v>0</v>
      </c>
    </row>
    <row r="1498" spans="1:14" x14ac:dyDescent="0.25">
      <c r="A1498">
        <v>1280.3622780000001</v>
      </c>
      <c r="B1498" s="1">
        <f>DATE(2013,11,1) + TIME(8,41,40)</f>
        <v>41579.362268518518</v>
      </c>
      <c r="C1498">
        <v>80</v>
      </c>
      <c r="D1498">
        <v>79.874382018999995</v>
      </c>
      <c r="E1498">
        <v>50</v>
      </c>
      <c r="F1498">
        <v>47.533428192000002</v>
      </c>
      <c r="G1498">
        <v>1313.4641113</v>
      </c>
      <c r="H1498">
        <v>1305.1654053</v>
      </c>
      <c r="I1498">
        <v>1376.6505127</v>
      </c>
      <c r="J1498">
        <v>1361.8371582</v>
      </c>
      <c r="K1498">
        <v>0</v>
      </c>
      <c r="L1498">
        <v>1650</v>
      </c>
      <c r="M1498">
        <v>1650</v>
      </c>
      <c r="N1498">
        <v>0</v>
      </c>
    </row>
    <row r="1499" spans="1:14" x14ac:dyDescent="0.25">
      <c r="A1499">
        <v>1280.463456</v>
      </c>
      <c r="B1499" s="1">
        <f>DATE(2013,11,1) + TIME(11,7,22)</f>
        <v>41579.463449074072</v>
      </c>
      <c r="C1499">
        <v>80</v>
      </c>
      <c r="D1499">
        <v>79.858001709000007</v>
      </c>
      <c r="E1499">
        <v>50</v>
      </c>
      <c r="F1499">
        <v>47.733409881999997</v>
      </c>
      <c r="G1499">
        <v>1313.4550781</v>
      </c>
      <c r="H1499">
        <v>1305.1558838000001</v>
      </c>
      <c r="I1499">
        <v>1376.5111084</v>
      </c>
      <c r="J1499">
        <v>1361.7609863</v>
      </c>
      <c r="K1499">
        <v>0</v>
      </c>
      <c r="L1499">
        <v>1650</v>
      </c>
      <c r="M1499">
        <v>1650</v>
      </c>
      <c r="N1499">
        <v>0</v>
      </c>
    </row>
    <row r="1500" spans="1:14" x14ac:dyDescent="0.25">
      <c r="A1500">
        <v>1280.570694</v>
      </c>
      <c r="B1500" s="1">
        <f>DATE(2013,11,1) + TIME(13,41,47)</f>
        <v>41579.57068287037</v>
      </c>
      <c r="C1500">
        <v>80</v>
      </c>
      <c r="D1500">
        <v>79.841026306000003</v>
      </c>
      <c r="E1500">
        <v>50</v>
      </c>
      <c r="F1500">
        <v>47.926776885999999</v>
      </c>
      <c r="G1500">
        <v>1313.4501952999999</v>
      </c>
      <c r="H1500">
        <v>1305.1506348</v>
      </c>
      <c r="I1500">
        <v>1376.3780518000001</v>
      </c>
      <c r="J1500">
        <v>1361.6888428</v>
      </c>
      <c r="K1500">
        <v>0</v>
      </c>
      <c r="L1500">
        <v>1650</v>
      </c>
      <c r="M1500">
        <v>1650</v>
      </c>
      <c r="N1500">
        <v>0</v>
      </c>
    </row>
    <row r="1501" spans="1:14" x14ac:dyDescent="0.25">
      <c r="A1501">
        <v>1280.684855</v>
      </c>
      <c r="B1501" s="1">
        <f>DATE(2013,11,1) + TIME(16,26,11)</f>
        <v>41579.684849537036</v>
      </c>
      <c r="C1501">
        <v>80</v>
      </c>
      <c r="D1501">
        <v>79.823364257999998</v>
      </c>
      <c r="E1501">
        <v>50</v>
      </c>
      <c r="F1501">
        <v>48.113529204999999</v>
      </c>
      <c r="G1501">
        <v>1313.4462891000001</v>
      </c>
      <c r="H1501">
        <v>1305.1462402</v>
      </c>
      <c r="I1501">
        <v>1376.2491454999999</v>
      </c>
      <c r="J1501">
        <v>1361.6191406</v>
      </c>
      <c r="K1501">
        <v>0</v>
      </c>
      <c r="L1501">
        <v>1650</v>
      </c>
      <c r="M1501">
        <v>1650</v>
      </c>
      <c r="N1501">
        <v>0</v>
      </c>
    </row>
    <row r="1502" spans="1:14" x14ac:dyDescent="0.25">
      <c r="A1502">
        <v>1280.8069909999999</v>
      </c>
      <c r="B1502" s="1">
        <f>DATE(2013,11,1) + TIME(19,22,3)</f>
        <v>41579.806979166664</v>
      </c>
      <c r="C1502">
        <v>80</v>
      </c>
      <c r="D1502">
        <v>79.804908752000003</v>
      </c>
      <c r="E1502">
        <v>50</v>
      </c>
      <c r="F1502">
        <v>48.293647765999999</v>
      </c>
      <c r="G1502">
        <v>1313.4425048999999</v>
      </c>
      <c r="H1502">
        <v>1305.1419678</v>
      </c>
      <c r="I1502">
        <v>1376.1240233999999</v>
      </c>
      <c r="J1502">
        <v>1361.5510254000001</v>
      </c>
      <c r="K1502">
        <v>0</v>
      </c>
      <c r="L1502">
        <v>1650</v>
      </c>
      <c r="M1502">
        <v>1650</v>
      </c>
      <c r="N1502">
        <v>0</v>
      </c>
    </row>
    <row r="1503" spans="1:14" x14ac:dyDescent="0.25">
      <c r="A1503">
        <v>1280.938396</v>
      </c>
      <c r="B1503" s="1">
        <f>DATE(2013,11,1) + TIME(22,31,17)</f>
        <v>41579.938391203701</v>
      </c>
      <c r="C1503">
        <v>80</v>
      </c>
      <c r="D1503">
        <v>79.785530089999995</v>
      </c>
      <c r="E1503">
        <v>50</v>
      </c>
      <c r="F1503">
        <v>48.467075348000002</v>
      </c>
      <c r="G1503">
        <v>1313.4384766000001</v>
      </c>
      <c r="H1503">
        <v>1305.1374512</v>
      </c>
      <c r="I1503">
        <v>1376.0019531</v>
      </c>
      <c r="J1503">
        <v>1361.4842529</v>
      </c>
      <c r="K1503">
        <v>0</v>
      </c>
      <c r="L1503">
        <v>1650</v>
      </c>
      <c r="M1503">
        <v>1650</v>
      </c>
      <c r="N1503">
        <v>0</v>
      </c>
    </row>
    <row r="1504" spans="1:14" x14ac:dyDescent="0.25">
      <c r="A1504">
        <v>1281.0806930000001</v>
      </c>
      <c r="B1504" s="1">
        <f>DATE(2013,11,2) + TIME(1,56,11)</f>
        <v>41580.080682870372</v>
      </c>
      <c r="C1504">
        <v>80</v>
      </c>
      <c r="D1504">
        <v>79.765052795000003</v>
      </c>
      <c r="E1504">
        <v>50</v>
      </c>
      <c r="F1504">
        <v>48.633720398000001</v>
      </c>
      <c r="G1504">
        <v>1313.4342041</v>
      </c>
      <c r="H1504">
        <v>1305.1326904</v>
      </c>
      <c r="I1504">
        <v>1375.8829346</v>
      </c>
      <c r="J1504">
        <v>1361.4185791</v>
      </c>
      <c r="K1504">
        <v>0</v>
      </c>
      <c r="L1504">
        <v>1650</v>
      </c>
      <c r="M1504">
        <v>1650</v>
      </c>
      <c r="N1504">
        <v>0</v>
      </c>
    </row>
    <row r="1505" spans="1:14" x14ac:dyDescent="0.25">
      <c r="A1505">
        <v>1281.2359220000001</v>
      </c>
      <c r="B1505" s="1">
        <f>DATE(2013,11,2) + TIME(5,39,43)</f>
        <v>41580.235914351855</v>
      </c>
      <c r="C1505">
        <v>80</v>
      </c>
      <c r="D1505">
        <v>79.743278502999999</v>
      </c>
      <c r="E1505">
        <v>50</v>
      </c>
      <c r="F1505">
        <v>48.793418883999998</v>
      </c>
      <c r="G1505">
        <v>1313.4296875</v>
      </c>
      <c r="H1505">
        <v>1305.1274414</v>
      </c>
      <c r="I1505">
        <v>1375.7668457</v>
      </c>
      <c r="J1505">
        <v>1361.3540039</v>
      </c>
      <c r="K1505">
        <v>0</v>
      </c>
      <c r="L1505">
        <v>1650</v>
      </c>
      <c r="M1505">
        <v>1650</v>
      </c>
      <c r="N1505">
        <v>0</v>
      </c>
    </row>
    <row r="1506" spans="1:14" x14ac:dyDescent="0.25">
      <c r="A1506">
        <v>1281.4067640000001</v>
      </c>
      <c r="B1506" s="1">
        <f>DATE(2013,11,2) + TIME(9,45,44)</f>
        <v>41580.406759259262</v>
      </c>
      <c r="C1506">
        <v>80</v>
      </c>
      <c r="D1506">
        <v>79.719955443999993</v>
      </c>
      <c r="E1506">
        <v>50</v>
      </c>
      <c r="F1506">
        <v>48.945991515999999</v>
      </c>
      <c r="G1506">
        <v>1313.4246826000001</v>
      </c>
      <c r="H1506">
        <v>1305.1218262</v>
      </c>
      <c r="I1506">
        <v>1375.6533202999999</v>
      </c>
      <c r="J1506">
        <v>1361.2904053</v>
      </c>
      <c r="K1506">
        <v>0</v>
      </c>
      <c r="L1506">
        <v>1650</v>
      </c>
      <c r="M1506">
        <v>1650</v>
      </c>
      <c r="N1506">
        <v>0</v>
      </c>
    </row>
    <row r="1507" spans="1:14" x14ac:dyDescent="0.25">
      <c r="A1507">
        <v>1281.5967880000001</v>
      </c>
      <c r="B1507" s="1">
        <f>DATE(2013,11,2) + TIME(14,19,22)</f>
        <v>41580.596782407411</v>
      </c>
      <c r="C1507">
        <v>80</v>
      </c>
      <c r="D1507">
        <v>79.694740295000003</v>
      </c>
      <c r="E1507">
        <v>50</v>
      </c>
      <c r="F1507">
        <v>49.091182709000002</v>
      </c>
      <c r="G1507">
        <v>1313.4193115</v>
      </c>
      <c r="H1507">
        <v>1305.1157227000001</v>
      </c>
      <c r="I1507">
        <v>1375.5422363</v>
      </c>
      <c r="J1507">
        <v>1361.2274170000001</v>
      </c>
      <c r="K1507">
        <v>0</v>
      </c>
      <c r="L1507">
        <v>1650</v>
      </c>
      <c r="M1507">
        <v>1650</v>
      </c>
      <c r="N1507">
        <v>0</v>
      </c>
    </row>
    <row r="1508" spans="1:14" x14ac:dyDescent="0.25">
      <c r="A1508">
        <v>1281.8108460000001</v>
      </c>
      <c r="B1508" s="1">
        <f>DATE(2013,11,2) + TIME(19,27,37)</f>
        <v>41580.810844907406</v>
      </c>
      <c r="C1508">
        <v>80</v>
      </c>
      <c r="D1508">
        <v>79.667175293</v>
      </c>
      <c r="E1508">
        <v>50</v>
      </c>
      <c r="F1508">
        <v>49.228641510000003</v>
      </c>
      <c r="G1508">
        <v>1313.4133300999999</v>
      </c>
      <c r="H1508">
        <v>1305.1088867000001</v>
      </c>
      <c r="I1508">
        <v>1375.4334716999999</v>
      </c>
      <c r="J1508">
        <v>1361.1649170000001</v>
      </c>
      <c r="K1508">
        <v>0</v>
      </c>
      <c r="L1508">
        <v>1650</v>
      </c>
      <c r="M1508">
        <v>1650</v>
      </c>
      <c r="N1508">
        <v>0</v>
      </c>
    </row>
    <row r="1509" spans="1:14" x14ac:dyDescent="0.25">
      <c r="A1509">
        <v>1282.055781</v>
      </c>
      <c r="B1509" s="1">
        <f>DATE(2013,11,3) + TIME(1,20,19)</f>
        <v>41581.055775462963</v>
      </c>
      <c r="C1509">
        <v>80</v>
      </c>
      <c r="D1509">
        <v>79.636650084999999</v>
      </c>
      <c r="E1509">
        <v>50</v>
      </c>
      <c r="F1509">
        <v>49.357902527</v>
      </c>
      <c r="G1509">
        <v>1313.4066161999999</v>
      </c>
      <c r="H1509">
        <v>1305.1011963000001</v>
      </c>
      <c r="I1509">
        <v>1375.3269043</v>
      </c>
      <c r="J1509">
        <v>1361.1027832</v>
      </c>
      <c r="K1509">
        <v>0</v>
      </c>
      <c r="L1509">
        <v>1650</v>
      </c>
      <c r="M1509">
        <v>1650</v>
      </c>
      <c r="N1509">
        <v>0</v>
      </c>
    </row>
    <row r="1510" spans="1:14" x14ac:dyDescent="0.25">
      <c r="A1510">
        <v>1282.3416199999999</v>
      </c>
      <c r="B1510" s="1">
        <f>DATE(2013,11,3) + TIME(8,11,55)</f>
        <v>41581.341608796298</v>
      </c>
      <c r="C1510">
        <v>80</v>
      </c>
      <c r="D1510">
        <v>79.602302550999994</v>
      </c>
      <c r="E1510">
        <v>50</v>
      </c>
      <c r="F1510">
        <v>49.478336333999998</v>
      </c>
      <c r="G1510">
        <v>1313.3990478999999</v>
      </c>
      <c r="H1510">
        <v>1305.0925293</v>
      </c>
      <c r="I1510">
        <v>1375.2220459</v>
      </c>
      <c r="J1510">
        <v>1361.0407714999999</v>
      </c>
      <c r="K1510">
        <v>0</v>
      </c>
      <c r="L1510">
        <v>1650</v>
      </c>
      <c r="M1510">
        <v>1650</v>
      </c>
      <c r="N1510">
        <v>0</v>
      </c>
    </row>
    <row r="1511" spans="1:14" x14ac:dyDescent="0.25">
      <c r="A1511">
        <v>1282.6716329999999</v>
      </c>
      <c r="B1511" s="1">
        <f>DATE(2013,11,3) + TIME(16,7,9)</f>
        <v>41581.671631944446</v>
      </c>
      <c r="C1511">
        <v>80</v>
      </c>
      <c r="D1511">
        <v>79.563957213999998</v>
      </c>
      <c r="E1511">
        <v>50</v>
      </c>
      <c r="F1511">
        <v>49.586059570000003</v>
      </c>
      <c r="G1511">
        <v>1313.3902588000001</v>
      </c>
      <c r="H1511">
        <v>1305.0825195</v>
      </c>
      <c r="I1511">
        <v>1375.1214600000001</v>
      </c>
      <c r="J1511">
        <v>1360.9799805</v>
      </c>
      <c r="K1511">
        <v>0</v>
      </c>
      <c r="L1511">
        <v>1650</v>
      </c>
      <c r="M1511">
        <v>1650</v>
      </c>
      <c r="N1511">
        <v>0</v>
      </c>
    </row>
    <row r="1512" spans="1:14" x14ac:dyDescent="0.25">
      <c r="A1512">
        <v>1283.002131</v>
      </c>
      <c r="B1512" s="1">
        <f>DATE(2013,11,4) + TIME(0,3,4)</f>
        <v>41582.002129629633</v>
      </c>
      <c r="C1512">
        <v>80</v>
      </c>
      <c r="D1512">
        <v>79.525596618999998</v>
      </c>
      <c r="E1512">
        <v>50</v>
      </c>
      <c r="F1512">
        <v>49.669654846</v>
      </c>
      <c r="G1512">
        <v>1313.3801269999999</v>
      </c>
      <c r="H1512">
        <v>1305.0711670000001</v>
      </c>
      <c r="I1512">
        <v>1375.0349120999999</v>
      </c>
      <c r="J1512">
        <v>1360.9257812000001</v>
      </c>
      <c r="K1512">
        <v>0</v>
      </c>
      <c r="L1512">
        <v>1650</v>
      </c>
      <c r="M1512">
        <v>1650</v>
      </c>
      <c r="N1512">
        <v>0</v>
      </c>
    </row>
    <row r="1513" spans="1:14" x14ac:dyDescent="0.25">
      <c r="A1513">
        <v>1283.341426</v>
      </c>
      <c r="B1513" s="1">
        <f>DATE(2013,11,4) + TIME(8,11,39)</f>
        <v>41582.341423611113</v>
      </c>
      <c r="C1513">
        <v>80</v>
      </c>
      <c r="D1513">
        <v>79.486526488999999</v>
      </c>
      <c r="E1513">
        <v>50</v>
      </c>
      <c r="F1513">
        <v>49.735801696999999</v>
      </c>
      <c r="G1513">
        <v>1313.3698730000001</v>
      </c>
      <c r="H1513">
        <v>1305.0598144999999</v>
      </c>
      <c r="I1513">
        <v>1374.9594727000001</v>
      </c>
      <c r="J1513">
        <v>1360.8776855000001</v>
      </c>
      <c r="K1513">
        <v>0</v>
      </c>
      <c r="L1513">
        <v>1650</v>
      </c>
      <c r="M1513">
        <v>1650</v>
      </c>
      <c r="N1513">
        <v>0</v>
      </c>
    </row>
    <row r="1514" spans="1:14" x14ac:dyDescent="0.25">
      <c r="A1514">
        <v>1283.693049</v>
      </c>
      <c r="B1514" s="1">
        <f>DATE(2013,11,4) + TIME(16,37,59)</f>
        <v>41582.693043981482</v>
      </c>
      <c r="C1514">
        <v>80</v>
      </c>
      <c r="D1514">
        <v>79.446464539000004</v>
      </c>
      <c r="E1514">
        <v>50</v>
      </c>
      <c r="F1514">
        <v>49.788234711000001</v>
      </c>
      <c r="G1514">
        <v>1313.3596190999999</v>
      </c>
      <c r="H1514">
        <v>1305.0480957</v>
      </c>
      <c r="I1514">
        <v>1374.8925781</v>
      </c>
      <c r="J1514">
        <v>1360.8342285000001</v>
      </c>
      <c r="K1514">
        <v>0</v>
      </c>
      <c r="L1514">
        <v>1650</v>
      </c>
      <c r="M1514">
        <v>1650</v>
      </c>
      <c r="N1514">
        <v>0</v>
      </c>
    </row>
    <row r="1515" spans="1:14" x14ac:dyDescent="0.25">
      <c r="A1515">
        <v>1284.061097</v>
      </c>
      <c r="B1515" s="1">
        <f>DATE(2013,11,5) + TIME(1,27,58)</f>
        <v>41583.06108796296</v>
      </c>
      <c r="C1515">
        <v>80</v>
      </c>
      <c r="D1515">
        <v>79.405067443999997</v>
      </c>
      <c r="E1515">
        <v>50</v>
      </c>
      <c r="F1515">
        <v>49.829795836999999</v>
      </c>
      <c r="G1515">
        <v>1313.3488769999999</v>
      </c>
      <c r="H1515">
        <v>1305.0360106999999</v>
      </c>
      <c r="I1515">
        <v>1374.8326416</v>
      </c>
      <c r="J1515">
        <v>1360.7944336</v>
      </c>
      <c r="K1515">
        <v>0</v>
      </c>
      <c r="L1515">
        <v>1650</v>
      </c>
      <c r="M1515">
        <v>1650</v>
      </c>
      <c r="N1515">
        <v>0</v>
      </c>
    </row>
    <row r="1516" spans="1:14" x14ac:dyDescent="0.25">
      <c r="A1516">
        <v>1284.4500909999999</v>
      </c>
      <c r="B1516" s="1">
        <f>DATE(2013,11,5) + TIME(10,48,7)</f>
        <v>41583.45008101852</v>
      </c>
      <c r="C1516">
        <v>80</v>
      </c>
      <c r="D1516">
        <v>79.361961364999999</v>
      </c>
      <c r="E1516">
        <v>50</v>
      </c>
      <c r="F1516">
        <v>49.862636565999999</v>
      </c>
      <c r="G1516">
        <v>1313.3377685999999</v>
      </c>
      <c r="H1516">
        <v>1305.0234375</v>
      </c>
      <c r="I1516">
        <v>1374.7781981999999</v>
      </c>
      <c r="J1516">
        <v>1360.7574463000001</v>
      </c>
      <c r="K1516">
        <v>0</v>
      </c>
      <c r="L1516">
        <v>1650</v>
      </c>
      <c r="M1516">
        <v>1650</v>
      </c>
      <c r="N1516">
        <v>0</v>
      </c>
    </row>
    <row r="1517" spans="1:14" x14ac:dyDescent="0.25">
      <c r="A1517">
        <v>1284.865284</v>
      </c>
      <c r="B1517" s="1">
        <f>DATE(2013,11,5) + TIME(20,46,0)</f>
        <v>41583.865277777775</v>
      </c>
      <c r="C1517">
        <v>80</v>
      </c>
      <c r="D1517">
        <v>79.316711425999998</v>
      </c>
      <c r="E1517">
        <v>50</v>
      </c>
      <c r="F1517">
        <v>49.888442992999998</v>
      </c>
      <c r="G1517">
        <v>1313.3261719</v>
      </c>
      <c r="H1517">
        <v>1305.0101318</v>
      </c>
      <c r="I1517">
        <v>1374.7279053</v>
      </c>
      <c r="J1517">
        <v>1360.7227783000001</v>
      </c>
      <c r="K1517">
        <v>0</v>
      </c>
      <c r="L1517">
        <v>1650</v>
      </c>
      <c r="M1517">
        <v>1650</v>
      </c>
      <c r="N1517">
        <v>0</v>
      </c>
    </row>
    <row r="1518" spans="1:14" x14ac:dyDescent="0.25">
      <c r="A1518">
        <v>1285.313157</v>
      </c>
      <c r="B1518" s="1">
        <f>DATE(2013,11,6) + TIME(7,30,56)</f>
        <v>41584.313148148147</v>
      </c>
      <c r="C1518">
        <v>80</v>
      </c>
      <c r="D1518">
        <v>79.268798828000001</v>
      </c>
      <c r="E1518">
        <v>50</v>
      </c>
      <c r="F1518">
        <v>49.908546448000003</v>
      </c>
      <c r="G1518">
        <v>1313.3137207</v>
      </c>
      <c r="H1518">
        <v>1304.9958495999999</v>
      </c>
      <c r="I1518">
        <v>1374.6809082</v>
      </c>
      <c r="J1518">
        <v>1360.6896973</v>
      </c>
      <c r="K1518">
        <v>0</v>
      </c>
      <c r="L1518">
        <v>1650</v>
      </c>
      <c r="M1518">
        <v>1650</v>
      </c>
      <c r="N1518">
        <v>0</v>
      </c>
    </row>
    <row r="1519" spans="1:14" x14ac:dyDescent="0.25">
      <c r="A1519">
        <v>1285.791616</v>
      </c>
      <c r="B1519" s="1">
        <f>DATE(2013,11,6) + TIME(18,59,55)</f>
        <v>41584.791608796295</v>
      </c>
      <c r="C1519">
        <v>80</v>
      </c>
      <c r="D1519">
        <v>79.218360900999997</v>
      </c>
      <c r="E1519">
        <v>50</v>
      </c>
      <c r="F1519">
        <v>49.923805237000003</v>
      </c>
      <c r="G1519">
        <v>1313.300293</v>
      </c>
      <c r="H1519">
        <v>1304.9805908000001</v>
      </c>
      <c r="I1519">
        <v>1374.6365966999999</v>
      </c>
      <c r="J1519">
        <v>1360.6579589999999</v>
      </c>
      <c r="K1519">
        <v>0</v>
      </c>
      <c r="L1519">
        <v>1650</v>
      </c>
      <c r="M1519">
        <v>1650</v>
      </c>
      <c r="N1519">
        <v>0</v>
      </c>
    </row>
    <row r="1520" spans="1:14" x14ac:dyDescent="0.25">
      <c r="A1520">
        <v>1286.3070339999999</v>
      </c>
      <c r="B1520" s="1">
        <f>DATE(2013,11,7) + TIME(7,22,7)</f>
        <v>41585.307025462964</v>
      </c>
      <c r="C1520">
        <v>80</v>
      </c>
      <c r="D1520">
        <v>79.164916992000002</v>
      </c>
      <c r="E1520">
        <v>50</v>
      </c>
      <c r="F1520">
        <v>49.935260773000003</v>
      </c>
      <c r="G1520">
        <v>1313.2860106999999</v>
      </c>
      <c r="H1520">
        <v>1304.9642334</v>
      </c>
      <c r="I1520">
        <v>1374.5946045000001</v>
      </c>
      <c r="J1520">
        <v>1360.6274414</v>
      </c>
      <c r="K1520">
        <v>0</v>
      </c>
      <c r="L1520">
        <v>1650</v>
      </c>
      <c r="M1520">
        <v>1650</v>
      </c>
      <c r="N1520">
        <v>0</v>
      </c>
    </row>
    <row r="1521" spans="1:14" x14ac:dyDescent="0.25">
      <c r="A1521">
        <v>1286.867821</v>
      </c>
      <c r="B1521" s="1">
        <f>DATE(2013,11,7) + TIME(20,49,39)</f>
        <v>41585.867812500001</v>
      </c>
      <c r="C1521">
        <v>80</v>
      </c>
      <c r="D1521">
        <v>79.107856749999996</v>
      </c>
      <c r="E1521">
        <v>50</v>
      </c>
      <c r="F1521">
        <v>49.943756104000002</v>
      </c>
      <c r="G1521">
        <v>1313.2706298999999</v>
      </c>
      <c r="H1521">
        <v>1304.9465332</v>
      </c>
      <c r="I1521">
        <v>1374.5541992000001</v>
      </c>
      <c r="J1521">
        <v>1360.5976562000001</v>
      </c>
      <c r="K1521">
        <v>0</v>
      </c>
      <c r="L1521">
        <v>1650</v>
      </c>
      <c r="M1521">
        <v>1650</v>
      </c>
      <c r="N1521">
        <v>0</v>
      </c>
    </row>
    <row r="1522" spans="1:14" x14ac:dyDescent="0.25">
      <c r="A1522">
        <v>1287.4847930000001</v>
      </c>
      <c r="B1522" s="1">
        <f>DATE(2013,11,8) + TIME(11,38,6)</f>
        <v>41586.484791666669</v>
      </c>
      <c r="C1522">
        <v>80</v>
      </c>
      <c r="D1522">
        <v>79.046394348000007</v>
      </c>
      <c r="E1522">
        <v>50</v>
      </c>
      <c r="F1522">
        <v>49.949962616000001</v>
      </c>
      <c r="G1522">
        <v>1313.2539062000001</v>
      </c>
      <c r="H1522">
        <v>1304.9272461</v>
      </c>
      <c r="I1522">
        <v>1374.5146483999999</v>
      </c>
      <c r="J1522">
        <v>1360.5682373</v>
      </c>
      <c r="K1522">
        <v>0</v>
      </c>
      <c r="L1522">
        <v>1650</v>
      </c>
      <c r="M1522">
        <v>1650</v>
      </c>
      <c r="N1522">
        <v>0</v>
      </c>
    </row>
    <row r="1523" spans="1:14" x14ac:dyDescent="0.25">
      <c r="A1523">
        <v>1288.1723910000001</v>
      </c>
      <c r="B1523" s="1">
        <f>DATE(2013,11,9) + TIME(4,8,14)</f>
        <v>41587.172384259262</v>
      </c>
      <c r="C1523">
        <v>80</v>
      </c>
      <c r="D1523">
        <v>78.979515075999998</v>
      </c>
      <c r="E1523">
        <v>50</v>
      </c>
      <c r="F1523">
        <v>49.954425811999997</v>
      </c>
      <c r="G1523">
        <v>1313.2354736</v>
      </c>
      <c r="H1523">
        <v>1304.9061279</v>
      </c>
      <c r="I1523">
        <v>1374.4754639</v>
      </c>
      <c r="J1523">
        <v>1360.5389404</v>
      </c>
      <c r="K1523">
        <v>0</v>
      </c>
      <c r="L1523">
        <v>1650</v>
      </c>
      <c r="M1523">
        <v>1650</v>
      </c>
      <c r="N1523">
        <v>0</v>
      </c>
    </row>
    <row r="1524" spans="1:14" x14ac:dyDescent="0.25">
      <c r="A1524">
        <v>1288.882912</v>
      </c>
      <c r="B1524" s="1">
        <f>DATE(2013,11,9) + TIME(21,11,23)</f>
        <v>41587.882905092592</v>
      </c>
      <c r="C1524">
        <v>80</v>
      </c>
      <c r="D1524">
        <v>78.909950256000002</v>
      </c>
      <c r="E1524">
        <v>50</v>
      </c>
      <c r="F1524">
        <v>49.957393646</v>
      </c>
      <c r="G1524">
        <v>1313.2147216999999</v>
      </c>
      <c r="H1524">
        <v>1304.8824463000001</v>
      </c>
      <c r="I1524">
        <v>1374.4360352000001</v>
      </c>
      <c r="J1524">
        <v>1360.5091553</v>
      </c>
      <c r="K1524">
        <v>0</v>
      </c>
      <c r="L1524">
        <v>1650</v>
      </c>
      <c r="M1524">
        <v>1650</v>
      </c>
      <c r="N1524">
        <v>0</v>
      </c>
    </row>
    <row r="1525" spans="1:14" x14ac:dyDescent="0.25">
      <c r="A1525">
        <v>1289.6160130000001</v>
      </c>
      <c r="B1525" s="1">
        <f>DATE(2013,11,10) + TIME(14,47,3)</f>
        <v>41588.616006944445</v>
      </c>
      <c r="C1525">
        <v>80</v>
      </c>
      <c r="D1525">
        <v>78.838180542000003</v>
      </c>
      <c r="E1525">
        <v>50</v>
      </c>
      <c r="F1525">
        <v>49.959369658999996</v>
      </c>
      <c r="G1525">
        <v>1313.1932373</v>
      </c>
      <c r="H1525">
        <v>1304.8577881000001</v>
      </c>
      <c r="I1525">
        <v>1374.3988036999999</v>
      </c>
      <c r="J1525">
        <v>1360.4810791</v>
      </c>
      <c r="K1525">
        <v>0</v>
      </c>
      <c r="L1525">
        <v>1650</v>
      </c>
      <c r="M1525">
        <v>1650</v>
      </c>
      <c r="N1525">
        <v>0</v>
      </c>
    </row>
    <row r="1526" spans="1:14" x14ac:dyDescent="0.25">
      <c r="A1526">
        <v>1290.3648880000001</v>
      </c>
      <c r="B1526" s="1">
        <f>DATE(2013,11,11) + TIME(8,45,26)</f>
        <v>41589.364884259259</v>
      </c>
      <c r="C1526">
        <v>80</v>
      </c>
      <c r="D1526">
        <v>78.764961243000002</v>
      </c>
      <c r="E1526">
        <v>50</v>
      </c>
      <c r="F1526">
        <v>49.960681915000002</v>
      </c>
      <c r="G1526">
        <v>1313.1710204999999</v>
      </c>
      <c r="H1526">
        <v>1304.8321533000001</v>
      </c>
      <c r="I1526">
        <v>1374.3635254000001</v>
      </c>
      <c r="J1526">
        <v>1360.4543457</v>
      </c>
      <c r="K1526">
        <v>0</v>
      </c>
      <c r="L1526">
        <v>1650</v>
      </c>
      <c r="M1526">
        <v>1650</v>
      </c>
      <c r="N1526">
        <v>0</v>
      </c>
    </row>
    <row r="1527" spans="1:14" x14ac:dyDescent="0.25">
      <c r="A1527">
        <v>1291.1382229999999</v>
      </c>
      <c r="B1527" s="1">
        <f>DATE(2013,11,12) + TIME(3,19,2)</f>
        <v>41590.13821759259</v>
      </c>
      <c r="C1527">
        <v>80</v>
      </c>
      <c r="D1527">
        <v>78.690078735</v>
      </c>
      <c r="E1527">
        <v>50</v>
      </c>
      <c r="F1527">
        <v>49.961566925</v>
      </c>
      <c r="G1527">
        <v>1313.1483154</v>
      </c>
      <c r="H1527">
        <v>1304.8057861</v>
      </c>
      <c r="I1527">
        <v>1374.3302002</v>
      </c>
      <c r="J1527">
        <v>1360.4291992000001</v>
      </c>
      <c r="K1527">
        <v>0</v>
      </c>
      <c r="L1527">
        <v>1650</v>
      </c>
      <c r="M1527">
        <v>1650</v>
      </c>
      <c r="N1527">
        <v>0</v>
      </c>
    </row>
    <row r="1528" spans="1:14" x14ac:dyDescent="0.25">
      <c r="A1528">
        <v>1291.9446929999999</v>
      </c>
      <c r="B1528" s="1">
        <f>DATE(2013,11,12) + TIME(22,40,21)</f>
        <v>41590.944687499999</v>
      </c>
      <c r="C1528">
        <v>80</v>
      </c>
      <c r="D1528">
        <v>78.613143921000002</v>
      </c>
      <c r="E1528">
        <v>50</v>
      </c>
      <c r="F1528">
        <v>49.962181090999998</v>
      </c>
      <c r="G1528">
        <v>1313.1246338000001</v>
      </c>
      <c r="H1528">
        <v>1304.7783202999999</v>
      </c>
      <c r="I1528">
        <v>1374.2982178</v>
      </c>
      <c r="J1528">
        <v>1360.4050293</v>
      </c>
      <c r="K1528">
        <v>0</v>
      </c>
      <c r="L1528">
        <v>1650</v>
      </c>
      <c r="M1528">
        <v>1650</v>
      </c>
      <c r="N1528">
        <v>0</v>
      </c>
    </row>
    <row r="1529" spans="1:14" x14ac:dyDescent="0.25">
      <c r="A1529">
        <v>1292.7938389999999</v>
      </c>
      <c r="B1529" s="1">
        <f>DATE(2013,11,13) + TIME(19,3,7)</f>
        <v>41591.79383101852</v>
      </c>
      <c r="C1529">
        <v>80</v>
      </c>
      <c r="D1529">
        <v>78.533615112000007</v>
      </c>
      <c r="E1529">
        <v>50</v>
      </c>
      <c r="F1529">
        <v>49.962608336999999</v>
      </c>
      <c r="G1529">
        <v>1313.0998535000001</v>
      </c>
      <c r="H1529">
        <v>1304.7492675999999</v>
      </c>
      <c r="I1529">
        <v>1374.2672118999999</v>
      </c>
      <c r="J1529">
        <v>1360.3815918</v>
      </c>
      <c r="K1529">
        <v>0</v>
      </c>
      <c r="L1529">
        <v>1650</v>
      </c>
      <c r="M1529">
        <v>1650</v>
      </c>
      <c r="N1529">
        <v>0</v>
      </c>
    </row>
    <row r="1530" spans="1:14" x14ac:dyDescent="0.25">
      <c r="A1530">
        <v>1293.696694</v>
      </c>
      <c r="B1530" s="1">
        <f>DATE(2013,11,14) + TIME(16,43,14)</f>
        <v>41592.696689814817</v>
      </c>
      <c r="C1530">
        <v>80</v>
      </c>
      <c r="D1530">
        <v>78.450790405000006</v>
      </c>
      <c r="E1530">
        <v>50</v>
      </c>
      <c r="F1530">
        <v>49.962917328000003</v>
      </c>
      <c r="G1530">
        <v>1313.0734863</v>
      </c>
      <c r="H1530">
        <v>1304.7185059000001</v>
      </c>
      <c r="I1530">
        <v>1374.2365723</v>
      </c>
      <c r="J1530">
        <v>1360.3586425999999</v>
      </c>
      <c r="K1530">
        <v>0</v>
      </c>
      <c r="L1530">
        <v>1650</v>
      </c>
      <c r="M1530">
        <v>1650</v>
      </c>
      <c r="N1530">
        <v>0</v>
      </c>
    </row>
    <row r="1531" spans="1:14" x14ac:dyDescent="0.25">
      <c r="A1531">
        <v>1294.6669549999999</v>
      </c>
      <c r="B1531" s="1">
        <f>DATE(2013,11,15) + TIME(16,0,24)</f>
        <v>41593.666944444441</v>
      </c>
      <c r="C1531">
        <v>80</v>
      </c>
      <c r="D1531">
        <v>78.363792419000006</v>
      </c>
      <c r="E1531">
        <v>50</v>
      </c>
      <c r="F1531">
        <v>49.963142394999998</v>
      </c>
      <c r="G1531">
        <v>1313.0454102000001</v>
      </c>
      <c r="H1531">
        <v>1304.6854248</v>
      </c>
      <c r="I1531">
        <v>1374.2062988</v>
      </c>
      <c r="J1531">
        <v>1360.3359375</v>
      </c>
      <c r="K1531">
        <v>0</v>
      </c>
      <c r="L1531">
        <v>1650</v>
      </c>
      <c r="M1531">
        <v>1650</v>
      </c>
      <c r="N1531">
        <v>0</v>
      </c>
    </row>
    <row r="1532" spans="1:14" x14ac:dyDescent="0.25">
      <c r="A1532">
        <v>1295.7156789999999</v>
      </c>
      <c r="B1532" s="1">
        <f>DATE(2013,11,16) + TIME(17,10,34)</f>
        <v>41594.715671296297</v>
      </c>
      <c r="C1532">
        <v>80</v>
      </c>
      <c r="D1532">
        <v>78.271850585999999</v>
      </c>
      <c r="E1532">
        <v>50</v>
      </c>
      <c r="F1532">
        <v>49.963314056000002</v>
      </c>
      <c r="G1532">
        <v>1313.0148925999999</v>
      </c>
      <c r="H1532">
        <v>1304.6494141000001</v>
      </c>
      <c r="I1532">
        <v>1374.1757812000001</v>
      </c>
      <c r="J1532">
        <v>1360.3131103999999</v>
      </c>
      <c r="K1532">
        <v>0</v>
      </c>
      <c r="L1532">
        <v>1650</v>
      </c>
      <c r="M1532">
        <v>1650</v>
      </c>
      <c r="N1532">
        <v>0</v>
      </c>
    </row>
    <row r="1533" spans="1:14" x14ac:dyDescent="0.25">
      <c r="A1533">
        <v>1296.807945</v>
      </c>
      <c r="B1533" s="1">
        <f>DATE(2013,11,17) + TIME(19,23,26)</f>
        <v>41595.807939814818</v>
      </c>
      <c r="C1533">
        <v>80</v>
      </c>
      <c r="D1533">
        <v>78.176284789999997</v>
      </c>
      <c r="E1533">
        <v>50</v>
      </c>
      <c r="F1533">
        <v>49.963436127000001</v>
      </c>
      <c r="G1533">
        <v>1312.9814452999999</v>
      </c>
      <c r="H1533">
        <v>1304.6099853999999</v>
      </c>
      <c r="I1533">
        <v>1374.1448975000001</v>
      </c>
      <c r="J1533">
        <v>1360.2900391000001</v>
      </c>
      <c r="K1533">
        <v>0</v>
      </c>
      <c r="L1533">
        <v>1650</v>
      </c>
      <c r="M1533">
        <v>1650</v>
      </c>
      <c r="N1533">
        <v>0</v>
      </c>
    </row>
    <row r="1534" spans="1:14" x14ac:dyDescent="0.25">
      <c r="A1534">
        <v>1297.941288</v>
      </c>
      <c r="B1534" s="1">
        <f>DATE(2013,11,18) + TIME(22,35,27)</f>
        <v>41596.941284722219</v>
      </c>
      <c r="C1534">
        <v>80</v>
      </c>
      <c r="D1534">
        <v>78.077758789000001</v>
      </c>
      <c r="E1534">
        <v>50</v>
      </c>
      <c r="F1534">
        <v>49.963527679000002</v>
      </c>
      <c r="G1534">
        <v>1312.9462891000001</v>
      </c>
      <c r="H1534">
        <v>1304.5682373</v>
      </c>
      <c r="I1534">
        <v>1374.1148682</v>
      </c>
      <c r="J1534">
        <v>1360.2677002</v>
      </c>
      <c r="K1534">
        <v>0</v>
      </c>
      <c r="L1534">
        <v>1650</v>
      </c>
      <c r="M1534">
        <v>1650</v>
      </c>
      <c r="N1534">
        <v>0</v>
      </c>
    </row>
    <row r="1535" spans="1:14" x14ac:dyDescent="0.25">
      <c r="A1535">
        <v>1299.1330909999999</v>
      </c>
      <c r="B1535" s="1">
        <f>DATE(2013,11,20) + TIME(3,11,39)</f>
        <v>41598.133090277777</v>
      </c>
      <c r="C1535">
        <v>80</v>
      </c>
      <c r="D1535">
        <v>77.975906371999997</v>
      </c>
      <c r="E1535">
        <v>50</v>
      </c>
      <c r="F1535">
        <v>49.963600159000002</v>
      </c>
      <c r="G1535">
        <v>1312.9093018000001</v>
      </c>
      <c r="H1535">
        <v>1304.5241699000001</v>
      </c>
      <c r="I1535">
        <v>1374.0856934000001</v>
      </c>
      <c r="J1535">
        <v>1360.2459716999999</v>
      </c>
      <c r="K1535">
        <v>0</v>
      </c>
      <c r="L1535">
        <v>1650</v>
      </c>
      <c r="M1535">
        <v>1650</v>
      </c>
      <c r="N1535">
        <v>0</v>
      </c>
    </row>
    <row r="1536" spans="1:14" x14ac:dyDescent="0.25">
      <c r="A1536">
        <v>1300.3543609999999</v>
      </c>
      <c r="B1536" s="1">
        <f>DATE(2013,11,21) + TIME(8,30,16)</f>
        <v>41599.354351851849</v>
      </c>
      <c r="C1536">
        <v>80</v>
      </c>
      <c r="D1536">
        <v>77.871925353999998</v>
      </c>
      <c r="E1536">
        <v>50</v>
      </c>
      <c r="F1536">
        <v>49.963653563999998</v>
      </c>
      <c r="G1536">
        <v>1312.8698730000001</v>
      </c>
      <c r="H1536">
        <v>1304.4770507999999</v>
      </c>
      <c r="I1536">
        <v>1374.0570068</v>
      </c>
      <c r="J1536">
        <v>1360.2247314000001</v>
      </c>
      <c r="K1536">
        <v>0</v>
      </c>
      <c r="L1536">
        <v>1650</v>
      </c>
      <c r="M1536">
        <v>1650</v>
      </c>
      <c r="N1536">
        <v>0</v>
      </c>
    </row>
    <row r="1537" spans="1:14" x14ac:dyDescent="0.25">
      <c r="A1537">
        <v>1301.608698</v>
      </c>
      <c r="B1537" s="1">
        <f>DATE(2013,11,22) + TIME(14,36,31)</f>
        <v>41600.60869212963</v>
      </c>
      <c r="C1537">
        <v>80</v>
      </c>
      <c r="D1537">
        <v>77.76625061</v>
      </c>
      <c r="E1537">
        <v>50</v>
      </c>
      <c r="F1537">
        <v>49.963699341000002</v>
      </c>
      <c r="G1537">
        <v>1312.8288574000001</v>
      </c>
      <c r="H1537">
        <v>1304.4277344</v>
      </c>
      <c r="I1537">
        <v>1374.0292969</v>
      </c>
      <c r="J1537">
        <v>1360.2042236</v>
      </c>
      <c r="K1537">
        <v>0</v>
      </c>
      <c r="L1537">
        <v>1650</v>
      </c>
      <c r="M1537">
        <v>1650</v>
      </c>
      <c r="N1537">
        <v>0</v>
      </c>
    </row>
    <row r="1538" spans="1:14" x14ac:dyDescent="0.25">
      <c r="A1538">
        <v>1302.910163</v>
      </c>
      <c r="B1538" s="1">
        <f>DATE(2013,11,23) + TIME(21,50,38)</f>
        <v>41601.910162037035</v>
      </c>
      <c r="C1538">
        <v>80</v>
      </c>
      <c r="D1538">
        <v>77.658576964999995</v>
      </c>
      <c r="E1538">
        <v>50</v>
      </c>
      <c r="F1538">
        <v>49.963737488</v>
      </c>
      <c r="G1538">
        <v>1312.7860106999999</v>
      </c>
      <c r="H1538">
        <v>1304.3759766000001</v>
      </c>
      <c r="I1538">
        <v>1374.0025635</v>
      </c>
      <c r="J1538">
        <v>1360.1844481999999</v>
      </c>
      <c r="K1538">
        <v>0</v>
      </c>
      <c r="L1538">
        <v>1650</v>
      </c>
      <c r="M1538">
        <v>1650</v>
      </c>
      <c r="N1538">
        <v>0</v>
      </c>
    </row>
    <row r="1539" spans="1:14" x14ac:dyDescent="0.25">
      <c r="A1539">
        <v>1304.2739770000001</v>
      </c>
      <c r="B1539" s="1">
        <f>DATE(2013,11,25) + TIME(6,34,31)</f>
        <v>41603.273969907408</v>
      </c>
      <c r="C1539">
        <v>80</v>
      </c>
      <c r="D1539">
        <v>77.548217773000005</v>
      </c>
      <c r="E1539">
        <v>50</v>
      </c>
      <c r="F1539">
        <v>49.963771819999998</v>
      </c>
      <c r="G1539">
        <v>1312.7409668</v>
      </c>
      <c r="H1539">
        <v>1304.3211670000001</v>
      </c>
      <c r="I1539">
        <v>1373.9763184000001</v>
      </c>
      <c r="J1539">
        <v>1360.1651611</v>
      </c>
      <c r="K1539">
        <v>0</v>
      </c>
      <c r="L1539">
        <v>1650</v>
      </c>
      <c r="M1539">
        <v>1650</v>
      </c>
      <c r="N1539">
        <v>0</v>
      </c>
    </row>
    <row r="1540" spans="1:14" x14ac:dyDescent="0.25">
      <c r="A1540">
        <v>1305.7177449999999</v>
      </c>
      <c r="B1540" s="1">
        <f>DATE(2013,11,26) + TIME(17,13,33)</f>
        <v>41604.717743055553</v>
      </c>
      <c r="C1540">
        <v>80</v>
      </c>
      <c r="D1540">
        <v>77.43421936</v>
      </c>
      <c r="E1540">
        <v>50</v>
      </c>
      <c r="F1540">
        <v>49.963802338000001</v>
      </c>
      <c r="G1540">
        <v>1312.6929932</v>
      </c>
      <c r="H1540">
        <v>1304.2625731999999</v>
      </c>
      <c r="I1540">
        <v>1373.9505615</v>
      </c>
      <c r="J1540">
        <v>1360.1462402</v>
      </c>
      <c r="K1540">
        <v>0</v>
      </c>
      <c r="L1540">
        <v>1650</v>
      </c>
      <c r="M1540">
        <v>1650</v>
      </c>
      <c r="N1540">
        <v>0</v>
      </c>
    </row>
    <row r="1541" spans="1:14" x14ac:dyDescent="0.25">
      <c r="A1541">
        <v>1307.2100250000001</v>
      </c>
      <c r="B1541" s="1">
        <f>DATE(2013,11,28) + TIME(5,2,26)</f>
        <v>41606.210023148145</v>
      </c>
      <c r="C1541">
        <v>80</v>
      </c>
      <c r="D1541">
        <v>77.317253113000007</v>
      </c>
      <c r="E1541">
        <v>50</v>
      </c>
      <c r="F1541">
        <v>49.963829040999997</v>
      </c>
      <c r="G1541">
        <v>1312.6413574000001</v>
      </c>
      <c r="H1541">
        <v>1304.1992187999999</v>
      </c>
      <c r="I1541">
        <v>1373.9245605000001</v>
      </c>
      <c r="J1541">
        <v>1360.1271973</v>
      </c>
      <c r="K1541">
        <v>0</v>
      </c>
      <c r="L1541">
        <v>1650</v>
      </c>
      <c r="M1541">
        <v>1650</v>
      </c>
      <c r="N1541">
        <v>0</v>
      </c>
    </row>
    <row r="1542" spans="1:14" x14ac:dyDescent="0.25">
      <c r="A1542">
        <v>1308.7325800000001</v>
      </c>
      <c r="B1542" s="1">
        <f>DATE(2013,11,29) + TIME(17,34,54)</f>
        <v>41607.732569444444</v>
      </c>
      <c r="C1542">
        <v>80</v>
      </c>
      <c r="D1542">
        <v>77.198516846000004</v>
      </c>
      <c r="E1542">
        <v>50</v>
      </c>
      <c r="F1542">
        <v>49.963855743000003</v>
      </c>
      <c r="G1542">
        <v>1312.5869141000001</v>
      </c>
      <c r="H1542">
        <v>1304.1322021000001</v>
      </c>
      <c r="I1542">
        <v>1373.8992920000001</v>
      </c>
      <c r="J1542">
        <v>1360.1086425999999</v>
      </c>
      <c r="K1542">
        <v>0</v>
      </c>
      <c r="L1542">
        <v>1650</v>
      </c>
      <c r="M1542">
        <v>1650</v>
      </c>
      <c r="N1542">
        <v>0</v>
      </c>
    </row>
    <row r="1543" spans="1:14" x14ac:dyDescent="0.25">
      <c r="A1543">
        <v>1310</v>
      </c>
      <c r="B1543" s="1">
        <f>DATE(2013,12,1) + TIME(0,0,0)</f>
        <v>41609</v>
      </c>
      <c r="C1543">
        <v>80</v>
      </c>
      <c r="D1543">
        <v>77.089714049999998</v>
      </c>
      <c r="E1543">
        <v>50</v>
      </c>
      <c r="F1543">
        <v>49.963878631999997</v>
      </c>
      <c r="G1543">
        <v>1312.5302733999999</v>
      </c>
      <c r="H1543">
        <v>1304.0629882999999</v>
      </c>
      <c r="I1543">
        <v>1373.8747559000001</v>
      </c>
      <c r="J1543">
        <v>1360.0906981999999</v>
      </c>
      <c r="K1543">
        <v>0</v>
      </c>
      <c r="L1543">
        <v>1650</v>
      </c>
      <c r="M1543">
        <v>1650</v>
      </c>
      <c r="N1543">
        <v>0</v>
      </c>
    </row>
    <row r="1544" spans="1:14" x14ac:dyDescent="0.25">
      <c r="A1544">
        <v>1311.5511939999999</v>
      </c>
      <c r="B1544" s="1">
        <f>DATE(2013,12,2) + TIME(13,13,43)</f>
        <v>41610.551192129627</v>
      </c>
      <c r="C1544">
        <v>80</v>
      </c>
      <c r="D1544">
        <v>76.976287842000005</v>
      </c>
      <c r="E1544">
        <v>50</v>
      </c>
      <c r="F1544">
        <v>49.963905334000003</v>
      </c>
      <c r="G1544">
        <v>1312.4818115</v>
      </c>
      <c r="H1544">
        <v>1304.0010986</v>
      </c>
      <c r="I1544">
        <v>1373.8555908000001</v>
      </c>
      <c r="J1544">
        <v>1360.0767822</v>
      </c>
      <c r="K1544">
        <v>0</v>
      </c>
      <c r="L1544">
        <v>1650</v>
      </c>
      <c r="M1544">
        <v>1650</v>
      </c>
      <c r="N1544">
        <v>0</v>
      </c>
    </row>
    <row r="1545" spans="1:14" x14ac:dyDescent="0.25">
      <c r="A1545">
        <v>1313.1586600000001</v>
      </c>
      <c r="B1545" s="1">
        <f>DATE(2013,12,4) + TIME(3,48,28)</f>
        <v>41612.15865740741</v>
      </c>
      <c r="C1545">
        <v>80</v>
      </c>
      <c r="D1545">
        <v>76.858718871999997</v>
      </c>
      <c r="E1545">
        <v>50</v>
      </c>
      <c r="F1545">
        <v>49.963932036999999</v>
      </c>
      <c r="G1545">
        <v>1312.4222411999999</v>
      </c>
      <c r="H1545">
        <v>1303.9268798999999</v>
      </c>
      <c r="I1545">
        <v>1373.8330077999999</v>
      </c>
      <c r="J1545">
        <v>1360.0603027</v>
      </c>
      <c r="K1545">
        <v>0</v>
      </c>
      <c r="L1545">
        <v>1650</v>
      </c>
      <c r="M1545">
        <v>1650</v>
      </c>
      <c r="N1545">
        <v>0</v>
      </c>
    </row>
    <row r="1546" spans="1:14" x14ac:dyDescent="0.25">
      <c r="A1546">
        <v>1314.7998700000001</v>
      </c>
      <c r="B1546" s="1">
        <f>DATE(2013,12,5) + TIME(19,11,48)</f>
        <v>41613.799861111111</v>
      </c>
      <c r="C1546">
        <v>80</v>
      </c>
      <c r="D1546">
        <v>76.738693237000007</v>
      </c>
      <c r="E1546">
        <v>50</v>
      </c>
      <c r="F1546">
        <v>49.963958740000002</v>
      </c>
      <c r="G1546">
        <v>1312.3592529</v>
      </c>
      <c r="H1546">
        <v>1303.8479004000001</v>
      </c>
      <c r="I1546">
        <v>1373.8107910000001</v>
      </c>
      <c r="J1546">
        <v>1360.0440673999999</v>
      </c>
      <c r="K1546">
        <v>0</v>
      </c>
      <c r="L1546">
        <v>1650</v>
      </c>
      <c r="M1546">
        <v>1650</v>
      </c>
      <c r="N1546">
        <v>0</v>
      </c>
    </row>
    <row r="1547" spans="1:14" x14ac:dyDescent="0.25">
      <c r="A1547">
        <v>1316.47909</v>
      </c>
      <c r="B1547" s="1">
        <f>DATE(2013,12,7) + TIME(11,29,53)</f>
        <v>41615.479085648149</v>
      </c>
      <c r="C1547">
        <v>80</v>
      </c>
      <c r="D1547">
        <v>76.617095946999996</v>
      </c>
      <c r="E1547">
        <v>50</v>
      </c>
      <c r="F1547">
        <v>49.963989257999998</v>
      </c>
      <c r="G1547">
        <v>1312.293457</v>
      </c>
      <c r="H1547">
        <v>1303.7650146000001</v>
      </c>
      <c r="I1547">
        <v>1373.7890625</v>
      </c>
      <c r="J1547">
        <v>1360.0283202999999</v>
      </c>
      <c r="K1547">
        <v>0</v>
      </c>
      <c r="L1547">
        <v>1650</v>
      </c>
      <c r="M1547">
        <v>1650</v>
      </c>
      <c r="N1547">
        <v>0</v>
      </c>
    </row>
    <row r="1548" spans="1:14" x14ac:dyDescent="0.25">
      <c r="A1548">
        <v>1318.183935</v>
      </c>
      <c r="B1548" s="1">
        <f>DATE(2013,12,9) + TIME(4,24,51)</f>
        <v>41617.183923611112</v>
      </c>
      <c r="C1548">
        <v>80</v>
      </c>
      <c r="D1548">
        <v>76.494682311999995</v>
      </c>
      <c r="E1548">
        <v>50</v>
      </c>
      <c r="F1548">
        <v>49.964019774999997</v>
      </c>
      <c r="G1548">
        <v>1312.2249756000001</v>
      </c>
      <c r="H1548">
        <v>1303.6781006000001</v>
      </c>
      <c r="I1548">
        <v>1373.7679443</v>
      </c>
      <c r="J1548">
        <v>1360.0129394999999</v>
      </c>
      <c r="K1548">
        <v>0</v>
      </c>
      <c r="L1548">
        <v>1650</v>
      </c>
      <c r="M1548">
        <v>1650</v>
      </c>
      <c r="N1548">
        <v>0</v>
      </c>
    </row>
    <row r="1549" spans="1:14" x14ac:dyDescent="0.25">
      <c r="A1549">
        <v>1319.9174310000001</v>
      </c>
      <c r="B1549" s="1">
        <f>DATE(2013,12,10) + TIME(22,1,6)</f>
        <v>41618.917430555557</v>
      </c>
      <c r="C1549">
        <v>80</v>
      </c>
      <c r="D1549">
        <v>76.371803283999995</v>
      </c>
      <c r="E1549">
        <v>50</v>
      </c>
      <c r="F1549">
        <v>49.964046478</v>
      </c>
      <c r="G1549">
        <v>1312.1538086</v>
      </c>
      <c r="H1549">
        <v>1303.5875243999999</v>
      </c>
      <c r="I1549">
        <v>1373.7474365</v>
      </c>
      <c r="J1549">
        <v>1359.9980469</v>
      </c>
      <c r="K1549">
        <v>0</v>
      </c>
      <c r="L1549">
        <v>1650</v>
      </c>
      <c r="M1549">
        <v>1650</v>
      </c>
      <c r="N1549">
        <v>0</v>
      </c>
    </row>
    <row r="1550" spans="1:14" x14ac:dyDescent="0.25">
      <c r="A1550">
        <v>1321.684033</v>
      </c>
      <c r="B1550" s="1">
        <f>DATE(2013,12,12) + TIME(16,25,0)</f>
        <v>41620.684027777781</v>
      </c>
      <c r="C1550">
        <v>80</v>
      </c>
      <c r="D1550">
        <v>76.248466492000006</v>
      </c>
      <c r="E1550">
        <v>50</v>
      </c>
      <c r="F1550">
        <v>49.964076996000003</v>
      </c>
      <c r="G1550">
        <v>1312.0802002</v>
      </c>
      <c r="H1550">
        <v>1303.4931641000001</v>
      </c>
      <c r="I1550">
        <v>1373.7275391000001</v>
      </c>
      <c r="J1550">
        <v>1359.9835204999999</v>
      </c>
      <c r="K1550">
        <v>0</v>
      </c>
      <c r="L1550">
        <v>1650</v>
      </c>
      <c r="M1550">
        <v>1650</v>
      </c>
      <c r="N1550">
        <v>0</v>
      </c>
    </row>
    <row r="1551" spans="1:14" x14ac:dyDescent="0.25">
      <c r="A1551">
        <v>1323.4879739999999</v>
      </c>
      <c r="B1551" s="1">
        <f>DATE(2013,12,14) + TIME(11,42,40)</f>
        <v>41622.487962962965</v>
      </c>
      <c r="C1551">
        <v>80</v>
      </c>
      <c r="D1551">
        <v>76.124488830999994</v>
      </c>
      <c r="E1551">
        <v>50</v>
      </c>
      <c r="F1551">
        <v>49.964111328000001</v>
      </c>
      <c r="G1551">
        <v>1312.0035399999999</v>
      </c>
      <c r="H1551">
        <v>1303.3946533000001</v>
      </c>
      <c r="I1551">
        <v>1373.7081298999999</v>
      </c>
      <c r="J1551">
        <v>1359.9694824000001</v>
      </c>
      <c r="K1551">
        <v>0</v>
      </c>
      <c r="L1551">
        <v>1650</v>
      </c>
      <c r="M1551">
        <v>1650</v>
      </c>
      <c r="N1551">
        <v>0</v>
      </c>
    </row>
    <row r="1552" spans="1:14" x14ac:dyDescent="0.25">
      <c r="A1552">
        <v>1325.333543</v>
      </c>
      <c r="B1552" s="1">
        <f>DATE(2013,12,16) + TIME(8,0,18)</f>
        <v>41624.333541666667</v>
      </c>
      <c r="C1552">
        <v>80</v>
      </c>
      <c r="D1552">
        <v>75.999641417999996</v>
      </c>
      <c r="E1552">
        <v>50</v>
      </c>
      <c r="F1552">
        <v>49.964141845999997</v>
      </c>
      <c r="G1552">
        <v>1311.9237060999999</v>
      </c>
      <c r="H1552">
        <v>1303.2917480000001</v>
      </c>
      <c r="I1552">
        <v>1373.6892089999999</v>
      </c>
      <c r="J1552">
        <v>1359.9556885</v>
      </c>
      <c r="K1552">
        <v>0</v>
      </c>
      <c r="L1552">
        <v>1650</v>
      </c>
      <c r="M1552">
        <v>1650</v>
      </c>
      <c r="N1552">
        <v>0</v>
      </c>
    </row>
    <row r="1553" spans="1:14" x14ac:dyDescent="0.25">
      <c r="A1553">
        <v>1327.2251719999999</v>
      </c>
      <c r="B1553" s="1">
        <f>DATE(2013,12,18) + TIME(5,24,14)</f>
        <v>41626.225162037037</v>
      </c>
      <c r="C1553">
        <v>80</v>
      </c>
      <c r="D1553">
        <v>75.873641968000001</v>
      </c>
      <c r="E1553">
        <v>50</v>
      </c>
      <c r="F1553">
        <v>49.964176178000002</v>
      </c>
      <c r="G1553">
        <v>1311.8405762</v>
      </c>
      <c r="H1553">
        <v>1303.1839600000001</v>
      </c>
      <c r="I1553">
        <v>1373.6705322</v>
      </c>
      <c r="J1553">
        <v>1359.9421387</v>
      </c>
      <c r="K1553">
        <v>0</v>
      </c>
      <c r="L1553">
        <v>1650</v>
      </c>
      <c r="M1553">
        <v>1650</v>
      </c>
      <c r="N1553">
        <v>0</v>
      </c>
    </row>
    <row r="1554" spans="1:14" x14ac:dyDescent="0.25">
      <c r="A1554">
        <v>1329.1674800000001</v>
      </c>
      <c r="B1554" s="1">
        <f>DATE(2013,12,20) + TIME(4,1,10)</f>
        <v>41628.16747685185</v>
      </c>
      <c r="C1554">
        <v>80</v>
      </c>
      <c r="D1554">
        <v>75.746223450000002</v>
      </c>
      <c r="E1554">
        <v>50</v>
      </c>
      <c r="F1554">
        <v>49.964214325</v>
      </c>
      <c r="G1554">
        <v>1311.7536620999999</v>
      </c>
      <c r="H1554">
        <v>1303.0708007999999</v>
      </c>
      <c r="I1554">
        <v>1373.6522216999999</v>
      </c>
      <c r="J1554">
        <v>1359.9289550999999</v>
      </c>
      <c r="K1554">
        <v>0</v>
      </c>
      <c r="L1554">
        <v>1650</v>
      </c>
      <c r="M1554">
        <v>1650</v>
      </c>
      <c r="N1554">
        <v>0</v>
      </c>
    </row>
    <row r="1555" spans="1:14" x14ac:dyDescent="0.25">
      <c r="A1555">
        <v>1331.165311</v>
      </c>
      <c r="B1555" s="1">
        <f>DATE(2013,12,22) + TIME(3,58,2)</f>
        <v>41630.165300925924</v>
      </c>
      <c r="C1555">
        <v>80</v>
      </c>
      <c r="D1555">
        <v>75.617095946999996</v>
      </c>
      <c r="E1555">
        <v>50</v>
      </c>
      <c r="F1555">
        <v>49.964248656999999</v>
      </c>
      <c r="G1555">
        <v>1311.6625977000001</v>
      </c>
      <c r="H1555">
        <v>1302.9520264</v>
      </c>
      <c r="I1555">
        <v>1373.6340332</v>
      </c>
      <c r="J1555">
        <v>1359.9157714999999</v>
      </c>
      <c r="K1555">
        <v>0</v>
      </c>
      <c r="L1555">
        <v>1650</v>
      </c>
      <c r="M1555">
        <v>1650</v>
      </c>
      <c r="N1555">
        <v>0</v>
      </c>
    </row>
    <row r="1556" spans="1:14" x14ac:dyDescent="0.25">
      <c r="A1556">
        <v>1333.20496</v>
      </c>
      <c r="B1556" s="1">
        <f>DATE(2013,12,24) + TIME(4,55,8)</f>
        <v>41632.204953703702</v>
      </c>
      <c r="C1556">
        <v>80</v>
      </c>
      <c r="D1556">
        <v>75.486396790000001</v>
      </c>
      <c r="E1556">
        <v>50</v>
      </c>
      <c r="F1556">
        <v>49.964286803999997</v>
      </c>
      <c r="G1556">
        <v>1311.5672606999999</v>
      </c>
      <c r="H1556">
        <v>1302.8271483999999</v>
      </c>
      <c r="I1556">
        <v>1373.6162108999999</v>
      </c>
      <c r="J1556">
        <v>1359.902832</v>
      </c>
      <c r="K1556">
        <v>0</v>
      </c>
      <c r="L1556">
        <v>1650</v>
      </c>
      <c r="M1556">
        <v>1650</v>
      </c>
      <c r="N1556">
        <v>0</v>
      </c>
    </row>
    <row r="1557" spans="1:14" x14ac:dyDescent="0.25">
      <c r="A1557">
        <v>1335.2828549999999</v>
      </c>
      <c r="B1557" s="1">
        <f>DATE(2013,12,26) + TIME(6,47,18)</f>
        <v>41634.282847222225</v>
      </c>
      <c r="C1557">
        <v>80</v>
      </c>
      <c r="D1557">
        <v>75.354469299000002</v>
      </c>
      <c r="E1557">
        <v>50</v>
      </c>
      <c r="F1557">
        <v>49.964324951000002</v>
      </c>
      <c r="G1557">
        <v>1311.4680175999999</v>
      </c>
      <c r="H1557">
        <v>1302.6965332</v>
      </c>
      <c r="I1557">
        <v>1373.5986327999999</v>
      </c>
      <c r="J1557">
        <v>1359.8901367000001</v>
      </c>
      <c r="K1557">
        <v>0</v>
      </c>
      <c r="L1557">
        <v>1650</v>
      </c>
      <c r="M1557">
        <v>1650</v>
      </c>
      <c r="N1557">
        <v>0</v>
      </c>
    </row>
    <row r="1558" spans="1:14" x14ac:dyDescent="0.25">
      <c r="A1558">
        <v>1337.387311</v>
      </c>
      <c r="B1558" s="1">
        <f>DATE(2013,12,28) + TIME(9,17,43)</f>
        <v>41636.387303240743</v>
      </c>
      <c r="C1558">
        <v>80</v>
      </c>
      <c r="D1558">
        <v>75.221748352000006</v>
      </c>
      <c r="E1558">
        <v>50</v>
      </c>
      <c r="F1558">
        <v>49.964363098</v>
      </c>
      <c r="G1558">
        <v>1311.3648682</v>
      </c>
      <c r="H1558">
        <v>1302.5604248</v>
      </c>
      <c r="I1558">
        <v>1373.5814209</v>
      </c>
      <c r="J1558">
        <v>1359.8776855000001</v>
      </c>
      <c r="K1558">
        <v>0</v>
      </c>
      <c r="L1558">
        <v>1650</v>
      </c>
      <c r="M1558">
        <v>1650</v>
      </c>
      <c r="N1558">
        <v>0</v>
      </c>
    </row>
    <row r="1559" spans="1:14" x14ac:dyDescent="0.25">
      <c r="A1559">
        <v>1339.519495</v>
      </c>
      <c r="B1559" s="1">
        <f>DATE(2013,12,30) + TIME(12,28,4)</f>
        <v>41638.519490740742</v>
      </c>
      <c r="C1559">
        <v>80</v>
      </c>
      <c r="D1559">
        <v>75.088516235</v>
      </c>
      <c r="E1559">
        <v>50</v>
      </c>
      <c r="F1559">
        <v>49.964405059999997</v>
      </c>
      <c r="G1559">
        <v>1311.2583007999999</v>
      </c>
      <c r="H1559">
        <v>1302.4193115</v>
      </c>
      <c r="I1559">
        <v>1373.5645752</v>
      </c>
      <c r="J1559">
        <v>1359.8654785000001</v>
      </c>
      <c r="K1559">
        <v>0</v>
      </c>
      <c r="L1559">
        <v>1650</v>
      </c>
      <c r="M1559">
        <v>1650</v>
      </c>
      <c r="N1559">
        <v>0</v>
      </c>
    </row>
    <row r="1560" spans="1:14" x14ac:dyDescent="0.25">
      <c r="A1560">
        <v>1341</v>
      </c>
      <c r="B1560" s="1">
        <f>DATE(2014,1,1) + TIME(0,0,0)</f>
        <v>41640</v>
      </c>
      <c r="C1560">
        <v>80</v>
      </c>
      <c r="D1560">
        <v>74.973983765</v>
      </c>
      <c r="E1560">
        <v>50</v>
      </c>
      <c r="F1560">
        <v>49.964431763</v>
      </c>
      <c r="G1560">
        <v>1311.1499022999999</v>
      </c>
      <c r="H1560">
        <v>1302.2777100000001</v>
      </c>
      <c r="I1560">
        <v>1373.5477295000001</v>
      </c>
      <c r="J1560">
        <v>1359.8532714999999</v>
      </c>
      <c r="K1560">
        <v>0</v>
      </c>
      <c r="L1560">
        <v>1650</v>
      </c>
      <c r="M1560">
        <v>1650</v>
      </c>
      <c r="N1560">
        <v>0</v>
      </c>
    </row>
    <row r="1561" spans="1:14" x14ac:dyDescent="0.25">
      <c r="A1561">
        <v>1343.1651890000001</v>
      </c>
      <c r="B1561" s="1">
        <f>DATE(2014,1,3) + TIME(3,57,52)</f>
        <v>41642.165185185186</v>
      </c>
      <c r="C1561">
        <v>80</v>
      </c>
      <c r="D1561">
        <v>74.854545592999997</v>
      </c>
      <c r="E1561">
        <v>50</v>
      </c>
      <c r="F1561">
        <v>49.964473724000001</v>
      </c>
      <c r="G1561">
        <v>1311.0675048999999</v>
      </c>
      <c r="H1561">
        <v>1302.1636963000001</v>
      </c>
      <c r="I1561">
        <v>1373.5371094</v>
      </c>
      <c r="J1561">
        <v>1359.8455810999999</v>
      </c>
      <c r="K1561">
        <v>0</v>
      </c>
      <c r="L1561">
        <v>1650</v>
      </c>
      <c r="M1561">
        <v>1650</v>
      </c>
      <c r="N1561">
        <v>0</v>
      </c>
    </row>
    <row r="1562" spans="1:14" x14ac:dyDescent="0.25">
      <c r="A1562">
        <v>1345.3969199999999</v>
      </c>
      <c r="B1562" s="1">
        <f>DATE(2014,1,5) + TIME(9,31,33)</f>
        <v>41644.396909722222</v>
      </c>
      <c r="C1562">
        <v>80</v>
      </c>
      <c r="D1562">
        <v>74.724800110000004</v>
      </c>
      <c r="E1562">
        <v>50</v>
      </c>
      <c r="F1562">
        <v>49.964515685999999</v>
      </c>
      <c r="G1562">
        <v>1310.9543457</v>
      </c>
      <c r="H1562">
        <v>1302.0133057</v>
      </c>
      <c r="I1562">
        <v>1373.5212402</v>
      </c>
      <c r="J1562">
        <v>1359.8341064000001</v>
      </c>
      <c r="K1562">
        <v>0</v>
      </c>
      <c r="L1562">
        <v>1650</v>
      </c>
      <c r="M1562">
        <v>1650</v>
      </c>
      <c r="N1562">
        <v>0</v>
      </c>
    </row>
    <row r="1563" spans="1:14" x14ac:dyDescent="0.25">
      <c r="A1563">
        <v>1347.673053</v>
      </c>
      <c r="B1563" s="1">
        <f>DATE(2014,1,7) + TIME(16,9,11)</f>
        <v>41646.673043981478</v>
      </c>
      <c r="C1563">
        <v>80</v>
      </c>
      <c r="D1563">
        <v>74.589683532999999</v>
      </c>
      <c r="E1563">
        <v>50</v>
      </c>
      <c r="F1563">
        <v>49.964557648000003</v>
      </c>
      <c r="G1563">
        <v>1310.8344727000001</v>
      </c>
      <c r="H1563">
        <v>1301.8530272999999</v>
      </c>
      <c r="I1563">
        <v>1373.5054932</v>
      </c>
      <c r="J1563">
        <v>1359.8227539</v>
      </c>
      <c r="K1563">
        <v>0</v>
      </c>
      <c r="L1563">
        <v>1650</v>
      </c>
      <c r="M1563">
        <v>1650</v>
      </c>
      <c r="N1563">
        <v>0</v>
      </c>
    </row>
    <row r="1564" spans="1:14" x14ac:dyDescent="0.25">
      <c r="A1564">
        <v>1349.998818</v>
      </c>
      <c r="B1564" s="1">
        <f>DATE(2014,1,9) + TIME(23,58,17)</f>
        <v>41648.998807870368</v>
      </c>
      <c r="C1564">
        <v>80</v>
      </c>
      <c r="D1564">
        <v>74.451278686999999</v>
      </c>
      <c r="E1564">
        <v>50</v>
      </c>
      <c r="F1564">
        <v>49.964603424000003</v>
      </c>
      <c r="G1564">
        <v>1310.7094727000001</v>
      </c>
      <c r="H1564">
        <v>1301.6851807</v>
      </c>
      <c r="I1564">
        <v>1373.4899902</v>
      </c>
      <c r="J1564">
        <v>1359.8115233999999</v>
      </c>
      <c r="K1564">
        <v>0</v>
      </c>
      <c r="L1564">
        <v>1650</v>
      </c>
      <c r="M1564">
        <v>1650</v>
      </c>
      <c r="N1564">
        <v>0</v>
      </c>
    </row>
    <row r="1565" spans="1:14" x14ac:dyDescent="0.25">
      <c r="A1565">
        <v>1352.3741030000001</v>
      </c>
      <c r="B1565" s="1">
        <f>DATE(2014,1,12) + TIME(8,58,42)</f>
        <v>41651.374097222222</v>
      </c>
      <c r="C1565">
        <v>80</v>
      </c>
      <c r="D1565">
        <v>74.310134887999993</v>
      </c>
      <c r="E1565">
        <v>50</v>
      </c>
      <c r="F1565">
        <v>49.964649199999997</v>
      </c>
      <c r="G1565">
        <v>1310.5795897999999</v>
      </c>
      <c r="H1565">
        <v>1301.5100098</v>
      </c>
      <c r="I1565">
        <v>1373.4746094</v>
      </c>
      <c r="J1565">
        <v>1359.8004149999999</v>
      </c>
      <c r="K1565">
        <v>0</v>
      </c>
      <c r="L1565">
        <v>1650</v>
      </c>
      <c r="M1565">
        <v>1650</v>
      </c>
      <c r="N1565">
        <v>0</v>
      </c>
    </row>
    <row r="1566" spans="1:14" x14ac:dyDescent="0.25">
      <c r="A1566">
        <v>1354.783539</v>
      </c>
      <c r="B1566" s="1">
        <f>DATE(2014,1,14) + TIME(18,48,17)</f>
        <v>41653.783530092594</v>
      </c>
      <c r="C1566">
        <v>80</v>
      </c>
      <c r="D1566">
        <v>74.166664123999993</v>
      </c>
      <c r="E1566">
        <v>50</v>
      </c>
      <c r="F1566">
        <v>49.964694977000001</v>
      </c>
      <c r="G1566">
        <v>1310.4445800999999</v>
      </c>
      <c r="H1566">
        <v>1301.3275146000001</v>
      </c>
      <c r="I1566">
        <v>1373.4593506000001</v>
      </c>
      <c r="J1566">
        <v>1359.7893065999999</v>
      </c>
      <c r="K1566">
        <v>0</v>
      </c>
      <c r="L1566">
        <v>1650</v>
      </c>
      <c r="M1566">
        <v>1650</v>
      </c>
      <c r="N1566">
        <v>0</v>
      </c>
    </row>
    <row r="1567" spans="1:14" x14ac:dyDescent="0.25">
      <c r="A1567">
        <v>1357.232489</v>
      </c>
      <c r="B1567" s="1">
        <f>DATE(2014,1,17) + TIME(5,34,47)</f>
        <v>41656.232488425929</v>
      </c>
      <c r="C1567">
        <v>80</v>
      </c>
      <c r="D1567">
        <v>74.021041870000005</v>
      </c>
      <c r="E1567">
        <v>50</v>
      </c>
      <c r="F1567">
        <v>49.964740753000001</v>
      </c>
      <c r="G1567">
        <v>1310.3052978999999</v>
      </c>
      <c r="H1567">
        <v>1301.1385498</v>
      </c>
      <c r="I1567">
        <v>1373.4443358999999</v>
      </c>
      <c r="J1567">
        <v>1359.7784423999999</v>
      </c>
      <c r="K1567">
        <v>0</v>
      </c>
      <c r="L1567">
        <v>1650</v>
      </c>
      <c r="M1567">
        <v>1650</v>
      </c>
      <c r="N1567">
        <v>0</v>
      </c>
    </row>
    <row r="1568" spans="1:14" x14ac:dyDescent="0.25">
      <c r="A1568">
        <v>1359.7260650000001</v>
      </c>
      <c r="B1568" s="1">
        <f>DATE(2014,1,19) + TIME(17,25,32)</f>
        <v>41658.726064814815</v>
      </c>
      <c r="C1568">
        <v>80</v>
      </c>
      <c r="D1568">
        <v>73.873008728000002</v>
      </c>
      <c r="E1568">
        <v>50</v>
      </c>
      <c r="F1568">
        <v>49.964786529999998</v>
      </c>
      <c r="G1568">
        <v>1310.161499</v>
      </c>
      <c r="H1568">
        <v>1300.9428711</v>
      </c>
      <c r="I1568">
        <v>1373.4295654</v>
      </c>
      <c r="J1568">
        <v>1359.7677002</v>
      </c>
      <c r="K1568">
        <v>0</v>
      </c>
      <c r="L1568">
        <v>1650</v>
      </c>
      <c r="M1568">
        <v>1650</v>
      </c>
      <c r="N1568">
        <v>0</v>
      </c>
    </row>
    <row r="1569" spans="1:14" x14ac:dyDescent="0.25">
      <c r="A1569">
        <v>1362.2693939999999</v>
      </c>
      <c r="B1569" s="1">
        <f>DATE(2014,1,22) + TIME(6,27,55)</f>
        <v>41661.269386574073</v>
      </c>
      <c r="C1569">
        <v>80</v>
      </c>
      <c r="D1569">
        <v>73.722084045000003</v>
      </c>
      <c r="E1569">
        <v>50</v>
      </c>
      <c r="F1569">
        <v>49.964836120999998</v>
      </c>
      <c r="G1569">
        <v>1310.0128173999999</v>
      </c>
      <c r="H1569">
        <v>1300.7399902</v>
      </c>
      <c r="I1569">
        <v>1373.4149170000001</v>
      </c>
      <c r="J1569">
        <v>1359.7570800999999</v>
      </c>
      <c r="K1569">
        <v>0</v>
      </c>
      <c r="L1569">
        <v>1650</v>
      </c>
      <c r="M1569">
        <v>1650</v>
      </c>
      <c r="N1569">
        <v>0</v>
      </c>
    </row>
    <row r="1570" spans="1:14" x14ac:dyDescent="0.25">
      <c r="A1570">
        <v>1364.867663</v>
      </c>
      <c r="B1570" s="1">
        <f>DATE(2014,1,24) + TIME(20,49,26)</f>
        <v>41663.867662037039</v>
      </c>
      <c r="C1570">
        <v>80</v>
      </c>
      <c r="D1570">
        <v>73.567726135000001</v>
      </c>
      <c r="E1570">
        <v>50</v>
      </c>
      <c r="F1570">
        <v>49.964885711999997</v>
      </c>
      <c r="G1570">
        <v>1309.8590088000001</v>
      </c>
      <c r="H1570">
        <v>1300.5294189000001</v>
      </c>
      <c r="I1570">
        <v>1373.4002685999999</v>
      </c>
      <c r="J1570">
        <v>1359.7464600000001</v>
      </c>
      <c r="K1570">
        <v>0</v>
      </c>
      <c r="L1570">
        <v>1650</v>
      </c>
      <c r="M1570">
        <v>1650</v>
      </c>
      <c r="N1570">
        <v>0</v>
      </c>
    </row>
    <row r="1571" spans="1:14" x14ac:dyDescent="0.25">
      <c r="A1571">
        <v>1367.526259</v>
      </c>
      <c r="B1571" s="1">
        <f>DATE(2014,1,27) + TIME(12,37,48)</f>
        <v>41666.526250000003</v>
      </c>
      <c r="C1571">
        <v>80</v>
      </c>
      <c r="D1571">
        <v>73.409332274999997</v>
      </c>
      <c r="E1571">
        <v>50</v>
      </c>
      <c r="F1571">
        <v>49.964935302999997</v>
      </c>
      <c r="G1571">
        <v>1309.6994629000001</v>
      </c>
      <c r="H1571">
        <v>1300.3106689000001</v>
      </c>
      <c r="I1571">
        <v>1373.3857422000001</v>
      </c>
      <c r="J1571">
        <v>1359.7359618999999</v>
      </c>
      <c r="K1571">
        <v>0</v>
      </c>
      <c r="L1571">
        <v>1650</v>
      </c>
      <c r="M1571">
        <v>1650</v>
      </c>
      <c r="N1571">
        <v>0</v>
      </c>
    </row>
    <row r="1572" spans="1:14" x14ac:dyDescent="0.25">
      <c r="A1572">
        <v>1370.25074</v>
      </c>
      <c r="B1572" s="1">
        <f>DATE(2014,1,30) + TIME(6,1,3)</f>
        <v>41669.25072916667</v>
      </c>
      <c r="C1572">
        <v>80</v>
      </c>
      <c r="D1572">
        <v>73.246223450000002</v>
      </c>
      <c r="E1572">
        <v>50</v>
      </c>
      <c r="F1572">
        <v>49.964984893999997</v>
      </c>
      <c r="G1572">
        <v>1309.5340576000001</v>
      </c>
      <c r="H1572">
        <v>1300.0830077999999</v>
      </c>
      <c r="I1572">
        <v>1373.3712158000001</v>
      </c>
      <c r="J1572">
        <v>1359.7254639</v>
      </c>
      <c r="K1572">
        <v>0</v>
      </c>
      <c r="L1572">
        <v>1650</v>
      </c>
      <c r="M1572">
        <v>1650</v>
      </c>
      <c r="N1572">
        <v>0</v>
      </c>
    </row>
    <row r="1573" spans="1:14" x14ac:dyDescent="0.25">
      <c r="A1573">
        <v>1372</v>
      </c>
      <c r="B1573" s="1">
        <f>DATE(2014,2,1) + TIME(0,0,0)</f>
        <v>41671</v>
      </c>
      <c r="C1573">
        <v>80</v>
      </c>
      <c r="D1573">
        <v>73.103233337000006</v>
      </c>
      <c r="E1573">
        <v>50</v>
      </c>
      <c r="F1573">
        <v>49.965015411000003</v>
      </c>
      <c r="G1573">
        <v>1309.3660889</v>
      </c>
      <c r="H1573">
        <v>1299.8554687999999</v>
      </c>
      <c r="I1573">
        <v>1373.3562012</v>
      </c>
      <c r="J1573">
        <v>1359.7144774999999</v>
      </c>
      <c r="K1573">
        <v>0</v>
      </c>
      <c r="L1573">
        <v>1650</v>
      </c>
      <c r="M1573">
        <v>1650</v>
      </c>
      <c r="N1573">
        <v>0</v>
      </c>
    </row>
    <row r="1574" spans="1:14" x14ac:dyDescent="0.25">
      <c r="A1574">
        <v>1374.7960399999999</v>
      </c>
      <c r="B1574" s="1">
        <f>DATE(2014,2,3) + TIME(19,6,17)</f>
        <v>41673.796030092592</v>
      </c>
      <c r="C1574">
        <v>80</v>
      </c>
      <c r="D1574">
        <v>72.957908630000006</v>
      </c>
      <c r="E1574">
        <v>50</v>
      </c>
      <c r="F1574">
        <v>49.965072632000002</v>
      </c>
      <c r="G1574">
        <v>1309.2434082</v>
      </c>
      <c r="H1574">
        <v>1299.6784668</v>
      </c>
      <c r="I1574">
        <v>1373.3476562000001</v>
      </c>
      <c r="J1574">
        <v>1359.7082519999999</v>
      </c>
      <c r="K1574">
        <v>0</v>
      </c>
      <c r="L1574">
        <v>1650</v>
      </c>
      <c r="M1574">
        <v>1650</v>
      </c>
      <c r="N1574">
        <v>0</v>
      </c>
    </row>
    <row r="1575" spans="1:14" x14ac:dyDescent="0.25">
      <c r="A1575">
        <v>1377.6772209999999</v>
      </c>
      <c r="B1575" s="1">
        <f>DATE(2014,2,6) + TIME(16,15,11)</f>
        <v>41676.677210648151</v>
      </c>
      <c r="C1575">
        <v>80</v>
      </c>
      <c r="D1575">
        <v>72.788917541999993</v>
      </c>
      <c r="E1575">
        <v>50</v>
      </c>
      <c r="F1575">
        <v>49.965126038000001</v>
      </c>
      <c r="G1575">
        <v>1309.0681152</v>
      </c>
      <c r="H1575">
        <v>1299.4378661999999</v>
      </c>
      <c r="I1575">
        <v>1373.3331298999999</v>
      </c>
      <c r="J1575">
        <v>1359.6976318</v>
      </c>
      <c r="K1575">
        <v>0</v>
      </c>
      <c r="L1575">
        <v>1650</v>
      </c>
      <c r="M1575">
        <v>1650</v>
      </c>
      <c r="N1575">
        <v>0</v>
      </c>
    </row>
    <row r="1576" spans="1:14" x14ac:dyDescent="0.25">
      <c r="A1576">
        <v>1380.6057370000001</v>
      </c>
      <c r="B1576" s="1">
        <f>DATE(2014,2,9) + TIME(14,32,15)</f>
        <v>41679.605729166666</v>
      </c>
      <c r="C1576">
        <v>80</v>
      </c>
      <c r="D1576">
        <v>72.607788085999999</v>
      </c>
      <c r="E1576">
        <v>50</v>
      </c>
      <c r="F1576">
        <v>49.965179442999997</v>
      </c>
      <c r="G1576">
        <v>1308.8820800999999</v>
      </c>
      <c r="H1576">
        <v>1299.1800536999999</v>
      </c>
      <c r="I1576">
        <v>1373.3186035000001</v>
      </c>
      <c r="J1576">
        <v>1359.6870117000001</v>
      </c>
      <c r="K1576">
        <v>0</v>
      </c>
      <c r="L1576">
        <v>1650</v>
      </c>
      <c r="M1576">
        <v>1650</v>
      </c>
      <c r="N1576">
        <v>0</v>
      </c>
    </row>
    <row r="1577" spans="1:14" x14ac:dyDescent="0.25">
      <c r="A1577">
        <v>1383.589195</v>
      </c>
      <c r="B1577" s="1">
        <f>DATE(2014,2,12) + TIME(14,8,26)</f>
        <v>41682.589189814818</v>
      </c>
      <c r="C1577">
        <v>80</v>
      </c>
      <c r="D1577">
        <v>72.418540954999997</v>
      </c>
      <c r="E1577">
        <v>50</v>
      </c>
      <c r="F1577">
        <v>49.965236664000003</v>
      </c>
      <c r="G1577">
        <v>1308.6893310999999</v>
      </c>
      <c r="H1577">
        <v>1298.9117432</v>
      </c>
      <c r="I1577">
        <v>1373.3040771000001</v>
      </c>
      <c r="J1577">
        <v>1359.6763916</v>
      </c>
      <c r="K1577">
        <v>0</v>
      </c>
      <c r="L1577">
        <v>1650</v>
      </c>
      <c r="M1577">
        <v>1650</v>
      </c>
      <c r="N1577">
        <v>0</v>
      </c>
    </row>
    <row r="1578" spans="1:14" x14ac:dyDescent="0.25">
      <c r="A1578">
        <v>1386.6250230000001</v>
      </c>
      <c r="B1578" s="1">
        <f>DATE(2014,2,15) + TIME(15,0,1)</f>
        <v>41685.625011574077</v>
      </c>
      <c r="C1578">
        <v>80</v>
      </c>
      <c r="D1578">
        <v>72.221801757999998</v>
      </c>
      <c r="E1578">
        <v>50</v>
      </c>
      <c r="F1578">
        <v>49.965293883999998</v>
      </c>
      <c r="G1578">
        <v>1308.4903564000001</v>
      </c>
      <c r="H1578">
        <v>1298.6340332</v>
      </c>
      <c r="I1578">
        <v>1373.2894286999999</v>
      </c>
      <c r="J1578">
        <v>1359.6657714999999</v>
      </c>
      <c r="K1578">
        <v>0</v>
      </c>
      <c r="L1578">
        <v>1650</v>
      </c>
      <c r="M1578">
        <v>1650</v>
      </c>
      <c r="N1578">
        <v>0</v>
      </c>
    </row>
    <row r="1579" spans="1:14" x14ac:dyDescent="0.25">
      <c r="A1579">
        <v>1389.718521</v>
      </c>
      <c r="B1579" s="1">
        <f>DATE(2014,2,18) + TIME(17,14,40)</f>
        <v>41688.718518518515</v>
      </c>
      <c r="C1579">
        <v>80</v>
      </c>
      <c r="D1579">
        <v>72.017288207999997</v>
      </c>
      <c r="E1579">
        <v>50</v>
      </c>
      <c r="F1579">
        <v>49.965351105000003</v>
      </c>
      <c r="G1579">
        <v>1308.2857666</v>
      </c>
      <c r="H1579">
        <v>1298.3474120999999</v>
      </c>
      <c r="I1579">
        <v>1373.2749022999999</v>
      </c>
      <c r="J1579">
        <v>1359.6550293</v>
      </c>
      <c r="K1579">
        <v>0</v>
      </c>
      <c r="L1579">
        <v>1650</v>
      </c>
      <c r="M1579">
        <v>1650</v>
      </c>
      <c r="N1579">
        <v>0</v>
      </c>
    </row>
    <row r="1580" spans="1:14" x14ac:dyDescent="0.25">
      <c r="A1580">
        <v>1392.863885</v>
      </c>
      <c r="B1580" s="1">
        <f>DATE(2014,2,21) + TIME(20,43,59)</f>
        <v>41691.863877314812</v>
      </c>
      <c r="C1580">
        <v>80</v>
      </c>
      <c r="D1580">
        <v>71.804397582999997</v>
      </c>
      <c r="E1580">
        <v>50</v>
      </c>
      <c r="F1580">
        <v>49.965408324999999</v>
      </c>
      <c r="G1580">
        <v>1308.0753173999999</v>
      </c>
      <c r="H1580">
        <v>1298.0517577999999</v>
      </c>
      <c r="I1580">
        <v>1373.2601318</v>
      </c>
      <c r="J1580">
        <v>1359.6442870999999</v>
      </c>
      <c r="K1580">
        <v>0</v>
      </c>
      <c r="L1580">
        <v>1650</v>
      </c>
      <c r="M1580">
        <v>1650</v>
      </c>
      <c r="N1580">
        <v>0</v>
      </c>
    </row>
    <row r="1581" spans="1:14" x14ac:dyDescent="0.25">
      <c r="A1581">
        <v>1396.0548719999999</v>
      </c>
      <c r="B1581" s="1">
        <f>DATE(2014,2,25) + TIME(1,19,0)</f>
        <v>41695.054861111108</v>
      </c>
      <c r="C1581">
        <v>80</v>
      </c>
      <c r="D1581">
        <v>71.582771300999994</v>
      </c>
      <c r="E1581">
        <v>50</v>
      </c>
      <c r="F1581">
        <v>49.965465545999997</v>
      </c>
      <c r="G1581">
        <v>1307.859375</v>
      </c>
      <c r="H1581">
        <v>1297.7475586</v>
      </c>
      <c r="I1581">
        <v>1373.2453613</v>
      </c>
      <c r="J1581">
        <v>1359.6334228999999</v>
      </c>
      <c r="K1581">
        <v>0</v>
      </c>
      <c r="L1581">
        <v>1650</v>
      </c>
      <c r="M1581">
        <v>1650</v>
      </c>
      <c r="N1581">
        <v>0</v>
      </c>
    </row>
    <row r="1582" spans="1:14" x14ac:dyDescent="0.25">
      <c r="A1582">
        <v>1399.299242</v>
      </c>
      <c r="B1582" s="1">
        <f>DATE(2014,2,28) + TIME(7,10,54)</f>
        <v>41698.29923611111</v>
      </c>
      <c r="C1582">
        <v>80</v>
      </c>
      <c r="D1582">
        <v>71.351875304999993</v>
      </c>
      <c r="E1582">
        <v>50</v>
      </c>
      <c r="F1582">
        <v>49.965526580999999</v>
      </c>
      <c r="G1582">
        <v>1307.6384277</v>
      </c>
      <c r="H1582">
        <v>1297.4354248</v>
      </c>
      <c r="I1582">
        <v>1373.2305908000001</v>
      </c>
      <c r="J1582">
        <v>1359.6224365</v>
      </c>
      <c r="K1582">
        <v>0</v>
      </c>
      <c r="L1582">
        <v>1650</v>
      </c>
      <c r="M1582">
        <v>1650</v>
      </c>
      <c r="N1582">
        <v>0</v>
      </c>
    </row>
    <row r="1583" spans="1:14" x14ac:dyDescent="0.25">
      <c r="A1583">
        <v>1400</v>
      </c>
      <c r="B1583" s="1">
        <f>DATE(2014,3,1) + TIME(0,0,0)</f>
        <v>41699</v>
      </c>
      <c r="C1583">
        <v>80</v>
      </c>
      <c r="D1583">
        <v>71.227874756000006</v>
      </c>
      <c r="E1583">
        <v>50</v>
      </c>
      <c r="F1583">
        <v>49.965534210000001</v>
      </c>
      <c r="G1583">
        <v>1307.4294434000001</v>
      </c>
      <c r="H1583">
        <v>1297.1599120999999</v>
      </c>
      <c r="I1583">
        <v>1373.2144774999999</v>
      </c>
      <c r="J1583">
        <v>1359.6102295000001</v>
      </c>
      <c r="K1583">
        <v>0</v>
      </c>
      <c r="L1583">
        <v>1650</v>
      </c>
      <c r="M1583">
        <v>1650</v>
      </c>
      <c r="N1583">
        <v>0</v>
      </c>
    </row>
    <row r="1584" spans="1:14" x14ac:dyDescent="0.25">
      <c r="A1584">
        <v>1403.3056079999999</v>
      </c>
      <c r="B1584" s="1">
        <f>DATE(2014,3,4) + TIME(7,20,4)</f>
        <v>41702.305601851855</v>
      </c>
      <c r="C1584">
        <v>80</v>
      </c>
      <c r="D1584">
        <v>71.038772582999997</v>
      </c>
      <c r="E1584">
        <v>50</v>
      </c>
      <c r="F1584">
        <v>49.965595245000003</v>
      </c>
      <c r="G1584">
        <v>1307.3499756000001</v>
      </c>
      <c r="H1584">
        <v>1297.0205077999999</v>
      </c>
      <c r="I1584">
        <v>1373.2125243999999</v>
      </c>
      <c r="J1584">
        <v>1359.6090088000001</v>
      </c>
      <c r="K1584">
        <v>0</v>
      </c>
      <c r="L1584">
        <v>1650</v>
      </c>
      <c r="M1584">
        <v>1650</v>
      </c>
      <c r="N1584">
        <v>0</v>
      </c>
    </row>
    <row r="1585" spans="1:14" x14ac:dyDescent="0.25">
      <c r="A1585">
        <v>1406.698026</v>
      </c>
      <c r="B1585" s="1">
        <f>DATE(2014,3,7) + TIME(16,45,9)</f>
        <v>41705.698020833333</v>
      </c>
      <c r="C1585">
        <v>80</v>
      </c>
      <c r="D1585">
        <v>70.797737122000001</v>
      </c>
      <c r="E1585">
        <v>50</v>
      </c>
      <c r="F1585">
        <v>49.965660094999997</v>
      </c>
      <c r="G1585">
        <v>1307.1274414</v>
      </c>
      <c r="H1585">
        <v>1296.708374</v>
      </c>
      <c r="I1585">
        <v>1373.1973877</v>
      </c>
      <c r="J1585">
        <v>1359.5977783000001</v>
      </c>
      <c r="K1585">
        <v>0</v>
      </c>
      <c r="L1585">
        <v>1650</v>
      </c>
      <c r="M1585">
        <v>1650</v>
      </c>
      <c r="N1585">
        <v>0</v>
      </c>
    </row>
    <row r="1586" spans="1:14" x14ac:dyDescent="0.25">
      <c r="A1586">
        <v>1410.1692680000001</v>
      </c>
      <c r="B1586" s="1">
        <f>DATE(2014,3,11) + TIME(4,3,44)</f>
        <v>41709.169259259259</v>
      </c>
      <c r="C1586">
        <v>80</v>
      </c>
      <c r="D1586">
        <v>70.532524108999993</v>
      </c>
      <c r="E1586">
        <v>50</v>
      </c>
      <c r="F1586">
        <v>49.965721129999999</v>
      </c>
      <c r="G1586">
        <v>1306.8907471</v>
      </c>
      <c r="H1586">
        <v>1296.3720702999999</v>
      </c>
      <c r="I1586">
        <v>1373.1818848</v>
      </c>
      <c r="J1586">
        <v>1359.5861815999999</v>
      </c>
      <c r="K1586">
        <v>0</v>
      </c>
      <c r="L1586">
        <v>1650</v>
      </c>
      <c r="M1586">
        <v>1650</v>
      </c>
      <c r="N1586">
        <v>0</v>
      </c>
    </row>
    <row r="1587" spans="1:14" x14ac:dyDescent="0.25">
      <c r="A1587">
        <v>1413.7232739999999</v>
      </c>
      <c r="B1587" s="1">
        <f>DATE(2014,3,14) + TIME(17,21,30)</f>
        <v>41712.723263888889</v>
      </c>
      <c r="C1587">
        <v>80</v>
      </c>
      <c r="D1587">
        <v>70.250053406000006</v>
      </c>
      <c r="E1587">
        <v>50</v>
      </c>
      <c r="F1587">
        <v>49.965782165999997</v>
      </c>
      <c r="G1587">
        <v>1306.6456298999999</v>
      </c>
      <c r="H1587">
        <v>1296.0216064000001</v>
      </c>
      <c r="I1587">
        <v>1373.1661377</v>
      </c>
      <c r="J1587">
        <v>1359.5744629000001</v>
      </c>
      <c r="K1587">
        <v>0</v>
      </c>
      <c r="L1587">
        <v>1650</v>
      </c>
      <c r="M1587">
        <v>1650</v>
      </c>
      <c r="N1587">
        <v>0</v>
      </c>
    </row>
    <row r="1588" spans="1:14" x14ac:dyDescent="0.25">
      <c r="A1588">
        <v>1417.3413250000001</v>
      </c>
      <c r="B1588" s="1">
        <f>DATE(2014,3,18) + TIME(8,11,30)</f>
        <v>41716.341319444444</v>
      </c>
      <c r="C1588">
        <v>80</v>
      </c>
      <c r="D1588">
        <v>69.951507567999997</v>
      </c>
      <c r="E1588">
        <v>50</v>
      </c>
      <c r="F1588">
        <v>49.965847015000001</v>
      </c>
      <c r="G1588">
        <v>1306.3934326000001</v>
      </c>
      <c r="H1588">
        <v>1295.6597899999999</v>
      </c>
      <c r="I1588">
        <v>1373.1501464999999</v>
      </c>
      <c r="J1588">
        <v>1359.5622559000001</v>
      </c>
      <c r="K1588">
        <v>0</v>
      </c>
      <c r="L1588">
        <v>1650</v>
      </c>
      <c r="M1588">
        <v>1650</v>
      </c>
      <c r="N1588">
        <v>0</v>
      </c>
    </row>
    <row r="1589" spans="1:14" x14ac:dyDescent="0.25">
      <c r="A1589">
        <v>1421.0339759999999</v>
      </c>
      <c r="B1589" s="1">
        <f>DATE(2014,3,22) + TIME(0,48,55)</f>
        <v>41720.03396990741</v>
      </c>
      <c r="C1589">
        <v>80</v>
      </c>
      <c r="D1589">
        <v>69.636703491000006</v>
      </c>
      <c r="E1589">
        <v>50</v>
      </c>
      <c r="F1589">
        <v>49.965911865000002</v>
      </c>
      <c r="G1589">
        <v>1306.1357422000001</v>
      </c>
      <c r="H1589">
        <v>1295.2888184000001</v>
      </c>
      <c r="I1589">
        <v>1373.1336670000001</v>
      </c>
      <c r="J1589">
        <v>1359.5499268000001</v>
      </c>
      <c r="K1589">
        <v>0</v>
      </c>
      <c r="L1589">
        <v>1650</v>
      </c>
      <c r="M1589">
        <v>1650</v>
      </c>
      <c r="N1589">
        <v>0</v>
      </c>
    </row>
    <row r="1590" spans="1:14" x14ac:dyDescent="0.25">
      <c r="A1590">
        <v>1424.8120570000001</v>
      </c>
      <c r="B1590" s="1">
        <f>DATE(2014,3,25) + TIME(19,29,21)</f>
        <v>41723.812048611115</v>
      </c>
      <c r="C1590">
        <v>80</v>
      </c>
      <c r="D1590">
        <v>69.304756165000001</v>
      </c>
      <c r="E1590">
        <v>50</v>
      </c>
      <c r="F1590">
        <v>49.965976714999996</v>
      </c>
      <c r="G1590">
        <v>1305.8724365</v>
      </c>
      <c r="H1590">
        <v>1294.9085693</v>
      </c>
      <c r="I1590">
        <v>1373.1169434000001</v>
      </c>
      <c r="J1590">
        <v>1359.5371094</v>
      </c>
      <c r="K1590">
        <v>0</v>
      </c>
      <c r="L1590">
        <v>1650</v>
      </c>
      <c r="M1590">
        <v>1650</v>
      </c>
      <c r="N1590">
        <v>0</v>
      </c>
    </row>
    <row r="1591" spans="1:14" x14ac:dyDescent="0.25">
      <c r="A1591">
        <v>1428.687498</v>
      </c>
      <c r="B1591" s="1">
        <f>DATE(2014,3,29) + TIME(16,29,59)</f>
        <v>41727.687488425923</v>
      </c>
      <c r="C1591">
        <v>80</v>
      </c>
      <c r="D1591">
        <v>68.954147339000002</v>
      </c>
      <c r="E1591">
        <v>50</v>
      </c>
      <c r="F1591">
        <v>49.966045379999997</v>
      </c>
      <c r="G1591">
        <v>1305.6032714999999</v>
      </c>
      <c r="H1591">
        <v>1294.5184326000001</v>
      </c>
      <c r="I1591">
        <v>1373.0997314000001</v>
      </c>
      <c r="J1591">
        <v>1359.5240478999999</v>
      </c>
      <c r="K1591">
        <v>0</v>
      </c>
      <c r="L1591">
        <v>1650</v>
      </c>
      <c r="M1591">
        <v>1650</v>
      </c>
      <c r="N1591">
        <v>0</v>
      </c>
    </row>
    <row r="1592" spans="1:14" x14ac:dyDescent="0.25">
      <c r="A1592">
        <v>1431</v>
      </c>
      <c r="B1592" s="1">
        <f>DATE(2014,4,1) + TIME(0,0,0)</f>
        <v>41730</v>
      </c>
      <c r="C1592">
        <v>80</v>
      </c>
      <c r="D1592">
        <v>68.632408142000003</v>
      </c>
      <c r="E1592">
        <v>50</v>
      </c>
      <c r="F1592">
        <v>49.966079712000003</v>
      </c>
      <c r="G1592">
        <v>1305.333374</v>
      </c>
      <c r="H1592">
        <v>1294.1350098</v>
      </c>
      <c r="I1592">
        <v>1373.081543</v>
      </c>
      <c r="J1592">
        <v>1359.5098877</v>
      </c>
      <c r="K1592">
        <v>0</v>
      </c>
      <c r="L1592">
        <v>1650</v>
      </c>
      <c r="M1592">
        <v>1650</v>
      </c>
      <c r="N1592">
        <v>0</v>
      </c>
    </row>
    <row r="1593" spans="1:14" x14ac:dyDescent="0.25">
      <c r="A1593">
        <v>1434.985688</v>
      </c>
      <c r="B1593" s="1">
        <f>DATE(2014,4,4) + TIME(23,39,23)</f>
        <v>41733.985682870371</v>
      </c>
      <c r="C1593">
        <v>80</v>
      </c>
      <c r="D1593">
        <v>68.332931518999999</v>
      </c>
      <c r="E1593">
        <v>50</v>
      </c>
      <c r="F1593">
        <v>49.966152190999999</v>
      </c>
      <c r="G1593">
        <v>1305.1497803</v>
      </c>
      <c r="H1593">
        <v>1293.8510742000001</v>
      </c>
      <c r="I1593">
        <v>1373.0714111</v>
      </c>
      <c r="J1593">
        <v>1359.5021973</v>
      </c>
      <c r="K1593">
        <v>0</v>
      </c>
      <c r="L1593">
        <v>1650</v>
      </c>
      <c r="M1593">
        <v>1650</v>
      </c>
      <c r="N1593">
        <v>0</v>
      </c>
    </row>
    <row r="1594" spans="1:14" x14ac:dyDescent="0.25">
      <c r="A1594">
        <v>1439.126988</v>
      </c>
      <c r="B1594" s="1">
        <f>DATE(2014,4,9) + TIME(3,2,51)</f>
        <v>41738.126979166664</v>
      </c>
      <c r="C1594">
        <v>80</v>
      </c>
      <c r="D1594">
        <v>67.948226929</v>
      </c>
      <c r="E1594">
        <v>50</v>
      </c>
      <c r="F1594">
        <v>49.966220856</v>
      </c>
      <c r="G1594">
        <v>1304.8787841999999</v>
      </c>
      <c r="H1594">
        <v>1293.4597168</v>
      </c>
      <c r="I1594">
        <v>1373.0528564000001</v>
      </c>
      <c r="J1594">
        <v>1359.487793</v>
      </c>
      <c r="K1594">
        <v>0</v>
      </c>
      <c r="L1594">
        <v>1650</v>
      </c>
      <c r="M1594">
        <v>1650</v>
      </c>
      <c r="N1594">
        <v>0</v>
      </c>
    </row>
    <row r="1595" spans="1:14" x14ac:dyDescent="0.25">
      <c r="A1595">
        <v>1443.3776620000001</v>
      </c>
      <c r="B1595" s="1">
        <f>DATE(2014,4,13) + TIME(9,3,50)</f>
        <v>41742.377662037034</v>
      </c>
      <c r="C1595">
        <v>80</v>
      </c>
      <c r="D1595">
        <v>67.523773192999997</v>
      </c>
      <c r="E1595">
        <v>50</v>
      </c>
      <c r="F1595">
        <v>49.966293335000003</v>
      </c>
      <c r="G1595">
        <v>1304.5908202999999</v>
      </c>
      <c r="H1595">
        <v>1293.0382079999999</v>
      </c>
      <c r="I1595">
        <v>1373.0334473</v>
      </c>
      <c r="J1595">
        <v>1359.4726562000001</v>
      </c>
      <c r="K1595">
        <v>0</v>
      </c>
      <c r="L1595">
        <v>1650</v>
      </c>
      <c r="M1595">
        <v>1650</v>
      </c>
      <c r="N1595">
        <v>0</v>
      </c>
    </row>
    <row r="1596" spans="1:14" x14ac:dyDescent="0.25">
      <c r="A1596">
        <v>1447.755343</v>
      </c>
      <c r="B1596" s="1">
        <f>DATE(2014,4,17) + TIME(18,7,41)</f>
        <v>41746.755335648151</v>
      </c>
      <c r="C1596">
        <v>80</v>
      </c>
      <c r="D1596">
        <v>67.071792603000006</v>
      </c>
      <c r="E1596">
        <v>50</v>
      </c>
      <c r="F1596">
        <v>49.966365814</v>
      </c>
      <c r="G1596">
        <v>1304.2950439000001</v>
      </c>
      <c r="H1596">
        <v>1292.6025391000001</v>
      </c>
      <c r="I1596">
        <v>1373.0134277</v>
      </c>
      <c r="J1596">
        <v>1359.4569091999999</v>
      </c>
      <c r="K1596">
        <v>0</v>
      </c>
      <c r="L1596">
        <v>1650</v>
      </c>
      <c r="M1596">
        <v>1650</v>
      </c>
      <c r="N1596">
        <v>0</v>
      </c>
    </row>
    <row r="1597" spans="1:14" x14ac:dyDescent="0.25">
      <c r="A1597">
        <v>1452.260397</v>
      </c>
      <c r="B1597" s="1">
        <f>DATE(2014,4,22) + TIME(6,14,58)</f>
        <v>41751.260393518518</v>
      </c>
      <c r="C1597">
        <v>80</v>
      </c>
      <c r="D1597">
        <v>66.593414307000003</v>
      </c>
      <c r="E1597">
        <v>50</v>
      </c>
      <c r="F1597">
        <v>49.966438293000003</v>
      </c>
      <c r="G1597">
        <v>1303.9927978999999</v>
      </c>
      <c r="H1597">
        <v>1292.1553954999999</v>
      </c>
      <c r="I1597">
        <v>1372.9925536999999</v>
      </c>
      <c r="J1597">
        <v>1359.4403076000001</v>
      </c>
      <c r="K1597">
        <v>0</v>
      </c>
      <c r="L1597">
        <v>1650</v>
      </c>
      <c r="M1597">
        <v>1650</v>
      </c>
      <c r="N1597">
        <v>0</v>
      </c>
    </row>
    <row r="1598" spans="1:14" x14ac:dyDescent="0.25">
      <c r="A1598">
        <v>1456.877999</v>
      </c>
      <c r="B1598" s="1">
        <f>DATE(2014,4,26) + TIME(21,4,19)</f>
        <v>41755.877997685187</v>
      </c>
      <c r="C1598">
        <v>80</v>
      </c>
      <c r="D1598">
        <v>66.089050293</v>
      </c>
      <c r="E1598">
        <v>50</v>
      </c>
      <c r="F1598">
        <v>49.966514586999999</v>
      </c>
      <c r="G1598">
        <v>1303.6851807</v>
      </c>
      <c r="H1598">
        <v>1291.6983643000001</v>
      </c>
      <c r="I1598">
        <v>1372.9707031</v>
      </c>
      <c r="J1598">
        <v>1359.4229736</v>
      </c>
      <c r="K1598">
        <v>0</v>
      </c>
      <c r="L1598">
        <v>1650</v>
      </c>
      <c r="M1598">
        <v>1650</v>
      </c>
      <c r="N1598">
        <v>0</v>
      </c>
    </row>
    <row r="1599" spans="1:14" x14ac:dyDescent="0.25">
      <c r="A1599">
        <v>1461</v>
      </c>
      <c r="B1599" s="1">
        <f>DATE(2014,5,1) + TIME(0,0,0)</f>
        <v>41760</v>
      </c>
      <c r="C1599">
        <v>80</v>
      </c>
      <c r="D1599">
        <v>65.573768615999995</v>
      </c>
      <c r="E1599">
        <v>50</v>
      </c>
      <c r="F1599">
        <v>49.966579437</v>
      </c>
      <c r="G1599">
        <v>1303.375</v>
      </c>
      <c r="H1599">
        <v>1291.2382812000001</v>
      </c>
      <c r="I1599">
        <v>1372.9479980000001</v>
      </c>
      <c r="J1599">
        <v>1359.4047852000001</v>
      </c>
      <c r="K1599">
        <v>0</v>
      </c>
      <c r="L1599">
        <v>1650</v>
      </c>
      <c r="M1599">
        <v>1650</v>
      </c>
      <c r="N1599">
        <v>0</v>
      </c>
    </row>
    <row r="1600" spans="1:14" x14ac:dyDescent="0.25">
      <c r="A1600">
        <v>1461.0000010000001</v>
      </c>
      <c r="B1600" s="1">
        <f>DATE(2014,5,1) + TIME(0,0,0)</f>
        <v>41760</v>
      </c>
      <c r="C1600">
        <v>80</v>
      </c>
      <c r="D1600">
        <v>65.573875427000004</v>
      </c>
      <c r="E1600">
        <v>50</v>
      </c>
      <c r="F1600">
        <v>49.966506957999997</v>
      </c>
      <c r="G1600">
        <v>1316.8582764</v>
      </c>
      <c r="H1600">
        <v>1304.0898437999999</v>
      </c>
      <c r="I1600">
        <v>1358.8035889</v>
      </c>
      <c r="J1600">
        <v>1345.9866943</v>
      </c>
      <c r="K1600">
        <v>1650</v>
      </c>
      <c r="L1600">
        <v>0</v>
      </c>
      <c r="M1600">
        <v>0</v>
      </c>
      <c r="N1600">
        <v>1650</v>
      </c>
    </row>
    <row r="1601" spans="1:14" x14ac:dyDescent="0.25">
      <c r="A1601">
        <v>1461.000004</v>
      </c>
      <c r="B1601" s="1">
        <f>DATE(2014,5,1) + TIME(0,0,0)</f>
        <v>41760</v>
      </c>
      <c r="C1601">
        <v>80</v>
      </c>
      <c r="D1601">
        <v>65.574165343999994</v>
      </c>
      <c r="E1601">
        <v>50</v>
      </c>
      <c r="F1601">
        <v>49.966304778999998</v>
      </c>
      <c r="G1601">
        <v>1318.4923096</v>
      </c>
      <c r="H1601">
        <v>1305.9302978999999</v>
      </c>
      <c r="I1601">
        <v>1357.2001952999999</v>
      </c>
      <c r="J1601">
        <v>1344.3826904</v>
      </c>
      <c r="K1601">
        <v>1650</v>
      </c>
      <c r="L1601">
        <v>0</v>
      </c>
      <c r="M1601">
        <v>0</v>
      </c>
      <c r="N1601">
        <v>1650</v>
      </c>
    </row>
    <row r="1602" spans="1:14" x14ac:dyDescent="0.25">
      <c r="A1602">
        <v>1461.0000130000001</v>
      </c>
      <c r="B1602" s="1">
        <f>DATE(2014,5,1) + TIME(0,0,1)</f>
        <v>41760.000011574077</v>
      </c>
      <c r="C1602">
        <v>80</v>
      </c>
      <c r="D1602">
        <v>65.574813843000001</v>
      </c>
      <c r="E1602">
        <v>50</v>
      </c>
      <c r="F1602">
        <v>49.965850830000001</v>
      </c>
      <c r="G1602">
        <v>1322.0793457</v>
      </c>
      <c r="H1602">
        <v>1309.7910156</v>
      </c>
      <c r="I1602">
        <v>1353.6031493999999</v>
      </c>
      <c r="J1602">
        <v>1340.7847899999999</v>
      </c>
      <c r="K1602">
        <v>1650</v>
      </c>
      <c r="L1602">
        <v>0</v>
      </c>
      <c r="M1602">
        <v>0</v>
      </c>
      <c r="N1602">
        <v>1650</v>
      </c>
    </row>
    <row r="1603" spans="1:14" x14ac:dyDescent="0.25">
      <c r="A1603">
        <v>1461.0000399999999</v>
      </c>
      <c r="B1603" s="1">
        <f>DATE(2014,5,1) + TIME(0,0,3)</f>
        <v>41760.000034722223</v>
      </c>
      <c r="C1603">
        <v>80</v>
      </c>
      <c r="D1603">
        <v>65.575996399000005</v>
      </c>
      <c r="E1603">
        <v>50</v>
      </c>
      <c r="F1603">
        <v>49.965091704999999</v>
      </c>
      <c r="G1603">
        <v>1327.9277344</v>
      </c>
      <c r="H1603">
        <v>1315.7485352000001</v>
      </c>
      <c r="I1603">
        <v>1347.5913086</v>
      </c>
      <c r="J1603">
        <v>1334.7738036999999</v>
      </c>
      <c r="K1603">
        <v>1650</v>
      </c>
      <c r="L1603">
        <v>0</v>
      </c>
      <c r="M1603">
        <v>0</v>
      </c>
      <c r="N1603">
        <v>1650</v>
      </c>
    </row>
    <row r="1604" spans="1:14" x14ac:dyDescent="0.25">
      <c r="A1604">
        <v>1461.000121</v>
      </c>
      <c r="B1604" s="1">
        <f>DATE(2014,5,1) + TIME(0,0,10)</f>
        <v>41760.000115740739</v>
      </c>
      <c r="C1604">
        <v>80</v>
      </c>
      <c r="D1604">
        <v>65.578079224000007</v>
      </c>
      <c r="E1604">
        <v>50</v>
      </c>
      <c r="F1604">
        <v>49.964160919000001</v>
      </c>
      <c r="G1604">
        <v>1334.9970702999999</v>
      </c>
      <c r="H1604">
        <v>1322.7211914</v>
      </c>
      <c r="I1604">
        <v>1340.2510986</v>
      </c>
      <c r="J1604">
        <v>1327.4379882999999</v>
      </c>
      <c r="K1604">
        <v>1650</v>
      </c>
      <c r="L1604">
        <v>0</v>
      </c>
      <c r="M1604">
        <v>0</v>
      </c>
      <c r="N1604">
        <v>1650</v>
      </c>
    </row>
    <row r="1605" spans="1:14" x14ac:dyDescent="0.25">
      <c r="A1605">
        <v>1461.000364</v>
      </c>
      <c r="B1605" s="1">
        <f>DATE(2014,5,1) + TIME(0,0,31)</f>
        <v>41760.000358796293</v>
      </c>
      <c r="C1605">
        <v>80</v>
      </c>
      <c r="D1605">
        <v>65.582534789999997</v>
      </c>
      <c r="E1605">
        <v>50</v>
      </c>
      <c r="F1605">
        <v>49.963184357000003</v>
      </c>
      <c r="G1605">
        <v>1342.3608397999999</v>
      </c>
      <c r="H1605">
        <v>1329.9461670000001</v>
      </c>
      <c r="I1605">
        <v>1332.6914062000001</v>
      </c>
      <c r="J1605">
        <v>1319.8858643000001</v>
      </c>
      <c r="K1605">
        <v>1650</v>
      </c>
      <c r="L1605">
        <v>0</v>
      </c>
      <c r="M1605">
        <v>0</v>
      </c>
      <c r="N1605">
        <v>1650</v>
      </c>
    </row>
    <row r="1606" spans="1:14" x14ac:dyDescent="0.25">
      <c r="A1606">
        <v>1461.0010930000001</v>
      </c>
      <c r="B1606" s="1">
        <f>DATE(2014,5,1) + TIME(0,1,34)</f>
        <v>41760.001087962963</v>
      </c>
      <c r="C1606">
        <v>80</v>
      </c>
      <c r="D1606">
        <v>65.594093322999996</v>
      </c>
      <c r="E1606">
        <v>50</v>
      </c>
      <c r="F1606">
        <v>49.962154388000002</v>
      </c>
      <c r="G1606">
        <v>1349.9556885</v>
      </c>
      <c r="H1606">
        <v>1337.3865966999999</v>
      </c>
      <c r="I1606">
        <v>1325.1241454999999</v>
      </c>
      <c r="J1606">
        <v>1312.3194579999999</v>
      </c>
      <c r="K1606">
        <v>1650</v>
      </c>
      <c r="L1606">
        <v>0</v>
      </c>
      <c r="M1606">
        <v>0</v>
      </c>
      <c r="N1606">
        <v>1650</v>
      </c>
    </row>
    <row r="1607" spans="1:14" x14ac:dyDescent="0.25">
      <c r="A1607">
        <v>1461.0032799999999</v>
      </c>
      <c r="B1607" s="1">
        <f>DATE(2014,5,1) + TIME(0,4,43)</f>
        <v>41760.003275462965</v>
      </c>
      <c r="C1607">
        <v>80</v>
      </c>
      <c r="D1607">
        <v>65.627174377000003</v>
      </c>
      <c r="E1607">
        <v>50</v>
      </c>
      <c r="F1607">
        <v>49.960971831999998</v>
      </c>
      <c r="G1607">
        <v>1357.8103027</v>
      </c>
      <c r="H1607">
        <v>1345.0683594</v>
      </c>
      <c r="I1607">
        <v>1317.5562743999999</v>
      </c>
      <c r="J1607">
        <v>1304.7039795000001</v>
      </c>
      <c r="K1607">
        <v>1650</v>
      </c>
      <c r="L1607">
        <v>0</v>
      </c>
      <c r="M1607">
        <v>0</v>
      </c>
      <c r="N1607">
        <v>1650</v>
      </c>
    </row>
    <row r="1608" spans="1:14" x14ac:dyDescent="0.25">
      <c r="A1608">
        <v>1461.0098410000001</v>
      </c>
      <c r="B1608" s="1">
        <f>DATE(2014,5,1) + TIME(0,14,10)</f>
        <v>41760.009837962964</v>
      </c>
      <c r="C1608">
        <v>80</v>
      </c>
      <c r="D1608">
        <v>65.724731445000003</v>
      </c>
      <c r="E1608">
        <v>50</v>
      </c>
      <c r="F1608">
        <v>49.959400176999999</v>
      </c>
      <c r="G1608">
        <v>1365.0626221</v>
      </c>
      <c r="H1608">
        <v>1352.1889647999999</v>
      </c>
      <c r="I1608">
        <v>1310.5692139</v>
      </c>
      <c r="J1608">
        <v>1297.6275635</v>
      </c>
      <c r="K1608">
        <v>1650</v>
      </c>
      <c r="L1608">
        <v>0</v>
      </c>
      <c r="M1608">
        <v>0</v>
      </c>
      <c r="N1608">
        <v>1650</v>
      </c>
    </row>
    <row r="1609" spans="1:14" x14ac:dyDescent="0.25">
      <c r="A1609">
        <v>1461.029524</v>
      </c>
      <c r="B1609" s="1">
        <f>DATE(2014,5,1) + TIME(0,42,30)</f>
        <v>41760.029513888891</v>
      </c>
      <c r="C1609">
        <v>80</v>
      </c>
      <c r="D1609">
        <v>66.010925293</v>
      </c>
      <c r="E1609">
        <v>50</v>
      </c>
      <c r="F1609">
        <v>49.956703185999999</v>
      </c>
      <c r="G1609">
        <v>1370.203125</v>
      </c>
      <c r="H1609">
        <v>1357.3126221</v>
      </c>
      <c r="I1609">
        <v>1305.5712891000001</v>
      </c>
      <c r="J1609">
        <v>1292.5667725000001</v>
      </c>
      <c r="K1609">
        <v>1650</v>
      </c>
      <c r="L1609">
        <v>0</v>
      </c>
      <c r="M1609">
        <v>0</v>
      </c>
      <c r="N1609">
        <v>1650</v>
      </c>
    </row>
    <row r="1610" spans="1:14" x14ac:dyDescent="0.25">
      <c r="A1610">
        <v>1461.0690520000001</v>
      </c>
      <c r="B1610" s="1">
        <f>DATE(2014,5,1) + TIME(1,39,26)</f>
        <v>41760.069050925929</v>
      </c>
      <c r="C1610">
        <v>80</v>
      </c>
      <c r="D1610">
        <v>66.562393188000001</v>
      </c>
      <c r="E1610">
        <v>50</v>
      </c>
      <c r="F1610">
        <v>49.952388763000002</v>
      </c>
      <c r="G1610">
        <v>1372.3455810999999</v>
      </c>
      <c r="H1610">
        <v>1359.5429687999999</v>
      </c>
      <c r="I1610">
        <v>1303.6527100000001</v>
      </c>
      <c r="J1610">
        <v>1290.6274414</v>
      </c>
      <c r="K1610">
        <v>1650</v>
      </c>
      <c r="L1610">
        <v>0</v>
      </c>
      <c r="M1610">
        <v>0</v>
      </c>
      <c r="N1610">
        <v>1650</v>
      </c>
    </row>
    <row r="1611" spans="1:14" x14ac:dyDescent="0.25">
      <c r="A1611">
        <v>1461.1094519999999</v>
      </c>
      <c r="B1611" s="1">
        <f>DATE(2014,5,1) + TIME(2,37,36)</f>
        <v>41760.109444444446</v>
      </c>
      <c r="C1611">
        <v>80</v>
      </c>
      <c r="D1611">
        <v>67.103515625</v>
      </c>
      <c r="E1611">
        <v>50</v>
      </c>
      <c r="F1611">
        <v>49.948211669999999</v>
      </c>
      <c r="G1611">
        <v>1372.8911132999999</v>
      </c>
      <c r="H1611">
        <v>1360.1757812000001</v>
      </c>
      <c r="I1611">
        <v>1303.269043</v>
      </c>
      <c r="J1611">
        <v>1290.2391356999999</v>
      </c>
      <c r="K1611">
        <v>1650</v>
      </c>
      <c r="L1611">
        <v>0</v>
      </c>
      <c r="M1611">
        <v>0</v>
      </c>
      <c r="N1611">
        <v>1650</v>
      </c>
    </row>
    <row r="1612" spans="1:14" x14ac:dyDescent="0.25">
      <c r="A1612">
        <v>1461.1506770000001</v>
      </c>
      <c r="B1612" s="1">
        <f>DATE(2014,5,1) + TIME(3,36,58)</f>
        <v>41760.150671296295</v>
      </c>
      <c r="C1612">
        <v>80</v>
      </c>
      <c r="D1612">
        <v>67.633232117000006</v>
      </c>
      <c r="E1612">
        <v>50</v>
      </c>
      <c r="F1612">
        <v>49.944034576</v>
      </c>
      <c r="G1612">
        <v>1372.9918213000001</v>
      </c>
      <c r="H1612">
        <v>1360.3629149999999</v>
      </c>
      <c r="I1612">
        <v>1303.2185059000001</v>
      </c>
      <c r="J1612">
        <v>1290.1872559000001</v>
      </c>
      <c r="K1612">
        <v>1650</v>
      </c>
      <c r="L1612">
        <v>0</v>
      </c>
      <c r="M1612">
        <v>0</v>
      </c>
      <c r="N1612">
        <v>1650</v>
      </c>
    </row>
    <row r="1613" spans="1:14" x14ac:dyDescent="0.25">
      <c r="A1613">
        <v>1461.1927450000001</v>
      </c>
      <c r="B1613" s="1">
        <f>DATE(2014,5,1) + TIME(4,37,33)</f>
        <v>41760.192743055559</v>
      </c>
      <c r="C1613">
        <v>80</v>
      </c>
      <c r="D1613">
        <v>68.151359557999996</v>
      </c>
      <c r="E1613">
        <v>50</v>
      </c>
      <c r="F1613">
        <v>49.939823150999999</v>
      </c>
      <c r="G1613">
        <v>1372.9494629000001</v>
      </c>
      <c r="H1613">
        <v>1360.4041748</v>
      </c>
      <c r="I1613">
        <v>1303.2308350000001</v>
      </c>
      <c r="J1613">
        <v>1290.1990966999999</v>
      </c>
      <c r="K1613">
        <v>1650</v>
      </c>
      <c r="L1613">
        <v>0</v>
      </c>
      <c r="M1613">
        <v>0</v>
      </c>
      <c r="N1613">
        <v>1650</v>
      </c>
    </row>
    <row r="1614" spans="1:14" x14ac:dyDescent="0.25">
      <c r="A1614">
        <v>1461.235694</v>
      </c>
      <c r="B1614" s="1">
        <f>DATE(2014,5,1) + TIME(5,39,23)</f>
        <v>41760.235682870371</v>
      </c>
      <c r="C1614">
        <v>80</v>
      </c>
      <c r="D1614">
        <v>68.657951354999994</v>
      </c>
      <c r="E1614">
        <v>50</v>
      </c>
      <c r="F1614">
        <v>49.935565947999997</v>
      </c>
      <c r="G1614">
        <v>1372.8570557</v>
      </c>
      <c r="H1614">
        <v>1360.3924560999999</v>
      </c>
      <c r="I1614">
        <v>1303.2470702999999</v>
      </c>
      <c r="J1614">
        <v>1290.2149658000001</v>
      </c>
      <c r="K1614">
        <v>1650</v>
      </c>
      <c r="L1614">
        <v>0</v>
      </c>
      <c r="M1614">
        <v>0</v>
      </c>
      <c r="N1614">
        <v>1650</v>
      </c>
    </row>
    <row r="1615" spans="1:14" x14ac:dyDescent="0.25">
      <c r="A1615">
        <v>1461.2795699999999</v>
      </c>
      <c r="B1615" s="1">
        <f>DATE(2014,5,1) + TIME(6,42,34)</f>
        <v>41760.279560185183</v>
      </c>
      <c r="C1615">
        <v>80</v>
      </c>
      <c r="D1615">
        <v>69.153106688999998</v>
      </c>
      <c r="E1615">
        <v>50</v>
      </c>
      <c r="F1615">
        <v>49.931266784999998</v>
      </c>
      <c r="G1615">
        <v>1372.7473144999999</v>
      </c>
      <c r="H1615">
        <v>1360.3603516000001</v>
      </c>
      <c r="I1615">
        <v>1303.2576904</v>
      </c>
      <c r="J1615">
        <v>1290.2253418</v>
      </c>
      <c r="K1615">
        <v>1650</v>
      </c>
      <c r="L1615">
        <v>0</v>
      </c>
      <c r="M1615">
        <v>0</v>
      </c>
      <c r="N1615">
        <v>1650</v>
      </c>
    </row>
    <row r="1616" spans="1:14" x14ac:dyDescent="0.25">
      <c r="A1616">
        <v>1461.324423</v>
      </c>
      <c r="B1616" s="1">
        <f>DATE(2014,5,1) + TIME(7,47,10)</f>
        <v>41760.324421296296</v>
      </c>
      <c r="C1616">
        <v>80</v>
      </c>
      <c r="D1616">
        <v>69.636924743999998</v>
      </c>
      <c r="E1616">
        <v>50</v>
      </c>
      <c r="F1616">
        <v>49.926914214999996</v>
      </c>
      <c r="G1616">
        <v>1372.6326904</v>
      </c>
      <c r="H1616">
        <v>1360.3205565999999</v>
      </c>
      <c r="I1616">
        <v>1303.2635498</v>
      </c>
      <c r="J1616">
        <v>1290.230957</v>
      </c>
      <c r="K1616">
        <v>1650</v>
      </c>
      <c r="L1616">
        <v>0</v>
      </c>
      <c r="M1616">
        <v>0</v>
      </c>
      <c r="N1616">
        <v>1650</v>
      </c>
    </row>
    <row r="1617" spans="1:14" x14ac:dyDescent="0.25">
      <c r="A1617">
        <v>1461.370298</v>
      </c>
      <c r="B1617" s="1">
        <f>DATE(2014,5,1) + TIME(8,53,13)</f>
        <v>41760.370289351849</v>
      </c>
      <c r="C1617">
        <v>80</v>
      </c>
      <c r="D1617">
        <v>70.109329224000007</v>
      </c>
      <c r="E1617">
        <v>50</v>
      </c>
      <c r="F1617">
        <v>49.922508239999999</v>
      </c>
      <c r="G1617">
        <v>1372.5185547000001</v>
      </c>
      <c r="H1617">
        <v>1360.2781981999999</v>
      </c>
      <c r="I1617">
        <v>1303.2664795000001</v>
      </c>
      <c r="J1617">
        <v>1290.2336425999999</v>
      </c>
      <c r="K1617">
        <v>1650</v>
      </c>
      <c r="L1617">
        <v>0</v>
      </c>
      <c r="M1617">
        <v>0</v>
      </c>
      <c r="N1617">
        <v>1650</v>
      </c>
    </row>
    <row r="1618" spans="1:14" x14ac:dyDescent="0.25">
      <c r="A1618">
        <v>1461.4172599999999</v>
      </c>
      <c r="B1618" s="1">
        <f>DATE(2014,5,1) + TIME(10,0,51)</f>
        <v>41760.417256944442</v>
      </c>
      <c r="C1618">
        <v>80</v>
      </c>
      <c r="D1618">
        <v>70.5703125</v>
      </c>
      <c r="E1618">
        <v>50</v>
      </c>
      <c r="F1618">
        <v>49.918045044000003</v>
      </c>
      <c r="G1618">
        <v>1372.4066161999999</v>
      </c>
      <c r="H1618">
        <v>1360.2353516000001</v>
      </c>
      <c r="I1618">
        <v>1303.2679443</v>
      </c>
      <c r="J1618">
        <v>1290.2348632999999</v>
      </c>
      <c r="K1618">
        <v>1650</v>
      </c>
      <c r="L1618">
        <v>0</v>
      </c>
      <c r="M1618">
        <v>0</v>
      </c>
      <c r="N1618">
        <v>1650</v>
      </c>
    </row>
    <row r="1619" spans="1:14" x14ac:dyDescent="0.25">
      <c r="A1619">
        <v>1461.465375</v>
      </c>
      <c r="B1619" s="1">
        <f>DATE(2014,5,1) + TIME(11,10,8)</f>
        <v>41760.465370370373</v>
      </c>
      <c r="C1619">
        <v>80</v>
      </c>
      <c r="D1619">
        <v>71.020210266000007</v>
      </c>
      <c r="E1619">
        <v>50</v>
      </c>
      <c r="F1619">
        <v>49.913516997999999</v>
      </c>
      <c r="G1619">
        <v>1372.2978516000001</v>
      </c>
      <c r="H1619">
        <v>1360.1932373</v>
      </c>
      <c r="I1619">
        <v>1303.2686768000001</v>
      </c>
      <c r="J1619">
        <v>1290.2352295000001</v>
      </c>
      <c r="K1619">
        <v>1650</v>
      </c>
      <c r="L1619">
        <v>0</v>
      </c>
      <c r="M1619">
        <v>0</v>
      </c>
      <c r="N1619">
        <v>1650</v>
      </c>
    </row>
    <row r="1620" spans="1:14" x14ac:dyDescent="0.25">
      <c r="A1620">
        <v>1461.5147079999999</v>
      </c>
      <c r="B1620" s="1">
        <f>DATE(2014,5,1) + TIME(12,21,10)</f>
        <v>41760.514699074076</v>
      </c>
      <c r="C1620">
        <v>80</v>
      </c>
      <c r="D1620">
        <v>71.459091186999999</v>
      </c>
      <c r="E1620">
        <v>50</v>
      </c>
      <c r="F1620">
        <v>49.908924102999997</v>
      </c>
      <c r="G1620">
        <v>1372.1926269999999</v>
      </c>
      <c r="H1620">
        <v>1360.1519774999999</v>
      </c>
      <c r="I1620">
        <v>1303.2689209</v>
      </c>
      <c r="J1620">
        <v>1290.2352295000001</v>
      </c>
      <c r="K1620">
        <v>1650</v>
      </c>
      <c r="L1620">
        <v>0</v>
      </c>
      <c r="M1620">
        <v>0</v>
      </c>
      <c r="N1620">
        <v>1650</v>
      </c>
    </row>
    <row r="1621" spans="1:14" x14ac:dyDescent="0.25">
      <c r="A1621">
        <v>1461.5653339999999</v>
      </c>
      <c r="B1621" s="1">
        <f>DATE(2014,5,1) + TIME(13,34,4)</f>
        <v>41760.565324074072</v>
      </c>
      <c r="C1621">
        <v>80</v>
      </c>
      <c r="D1621">
        <v>71.887008667000003</v>
      </c>
      <c r="E1621">
        <v>50</v>
      </c>
      <c r="F1621">
        <v>49.904262543000002</v>
      </c>
      <c r="G1621">
        <v>1372.0908202999999</v>
      </c>
      <c r="H1621">
        <v>1360.1116943</v>
      </c>
      <c r="I1621">
        <v>1303.269043</v>
      </c>
      <c r="J1621">
        <v>1290.2349853999999</v>
      </c>
      <c r="K1621">
        <v>1650</v>
      </c>
      <c r="L1621">
        <v>0</v>
      </c>
      <c r="M1621">
        <v>0</v>
      </c>
      <c r="N1621">
        <v>1650</v>
      </c>
    </row>
    <row r="1622" spans="1:14" x14ac:dyDescent="0.25">
      <c r="A1622">
        <v>1461.61733</v>
      </c>
      <c r="B1622" s="1">
        <f>DATE(2014,5,1) + TIME(14,48,57)</f>
        <v>41760.617326388892</v>
      </c>
      <c r="C1622">
        <v>80</v>
      </c>
      <c r="D1622">
        <v>72.304016113000003</v>
      </c>
      <c r="E1622">
        <v>50</v>
      </c>
      <c r="F1622">
        <v>49.899520873999997</v>
      </c>
      <c r="G1622">
        <v>1371.9923096</v>
      </c>
      <c r="H1622">
        <v>1360.0726318</v>
      </c>
      <c r="I1622">
        <v>1303.269043</v>
      </c>
      <c r="J1622">
        <v>1290.2347411999999</v>
      </c>
      <c r="K1622">
        <v>1650</v>
      </c>
      <c r="L1622">
        <v>0</v>
      </c>
      <c r="M1622">
        <v>0</v>
      </c>
      <c r="N1622">
        <v>1650</v>
      </c>
    </row>
    <row r="1623" spans="1:14" x14ac:dyDescent="0.25">
      <c r="A1623">
        <v>1461.6707819999999</v>
      </c>
      <c r="B1623" s="1">
        <f>DATE(2014,5,1) + TIME(16,5,55)</f>
        <v>41760.670775462961</v>
      </c>
      <c r="C1623">
        <v>80</v>
      </c>
      <c r="D1623">
        <v>72.710151671999995</v>
      </c>
      <c r="E1623">
        <v>50</v>
      </c>
      <c r="F1623">
        <v>49.894702911000003</v>
      </c>
      <c r="G1623">
        <v>1371.8970947</v>
      </c>
      <c r="H1623">
        <v>1360.0344238</v>
      </c>
      <c r="I1623">
        <v>1303.269043</v>
      </c>
      <c r="J1623">
        <v>1290.2342529</v>
      </c>
      <c r="K1623">
        <v>1650</v>
      </c>
      <c r="L1623">
        <v>0</v>
      </c>
      <c r="M1623">
        <v>0</v>
      </c>
      <c r="N1623">
        <v>1650</v>
      </c>
    </row>
    <row r="1624" spans="1:14" x14ac:dyDescent="0.25">
      <c r="A1624">
        <v>1461.725782</v>
      </c>
      <c r="B1624" s="1">
        <f>DATE(2014,5,1) + TIME(17,25,7)</f>
        <v>41760.725775462961</v>
      </c>
      <c r="C1624">
        <v>80</v>
      </c>
      <c r="D1624">
        <v>73.105438231999997</v>
      </c>
      <c r="E1624">
        <v>50</v>
      </c>
      <c r="F1624">
        <v>49.889793396000002</v>
      </c>
      <c r="G1624">
        <v>1371.8050536999999</v>
      </c>
      <c r="H1624">
        <v>1359.9973144999999</v>
      </c>
      <c r="I1624">
        <v>1303.2689209</v>
      </c>
      <c r="J1624">
        <v>1290.2337646000001</v>
      </c>
      <c r="K1624">
        <v>1650</v>
      </c>
      <c r="L1624">
        <v>0</v>
      </c>
      <c r="M1624">
        <v>0</v>
      </c>
      <c r="N1624">
        <v>1650</v>
      </c>
    </row>
    <row r="1625" spans="1:14" x14ac:dyDescent="0.25">
      <c r="A1625">
        <v>1461.7824310000001</v>
      </c>
      <c r="B1625" s="1">
        <f>DATE(2014,5,1) + TIME(18,46,42)</f>
        <v>41760.782430555555</v>
      </c>
      <c r="C1625">
        <v>80</v>
      </c>
      <c r="D1625">
        <v>73.489898682000003</v>
      </c>
      <c r="E1625">
        <v>50</v>
      </c>
      <c r="F1625">
        <v>49.884792328000003</v>
      </c>
      <c r="G1625">
        <v>1371.7159423999999</v>
      </c>
      <c r="H1625">
        <v>1359.9610596</v>
      </c>
      <c r="I1625">
        <v>1303.2686768000001</v>
      </c>
      <c r="J1625">
        <v>1290.2332764</v>
      </c>
      <c r="K1625">
        <v>1650</v>
      </c>
      <c r="L1625">
        <v>0</v>
      </c>
      <c r="M1625">
        <v>0</v>
      </c>
      <c r="N1625">
        <v>1650</v>
      </c>
    </row>
    <row r="1626" spans="1:14" x14ac:dyDescent="0.25">
      <c r="A1626">
        <v>1461.8408380000001</v>
      </c>
      <c r="B1626" s="1">
        <f>DATE(2014,5,1) + TIME(20,10,48)</f>
        <v>41760.840833333335</v>
      </c>
      <c r="C1626">
        <v>80</v>
      </c>
      <c r="D1626">
        <v>73.863548279</v>
      </c>
      <c r="E1626">
        <v>50</v>
      </c>
      <c r="F1626">
        <v>49.879688262999998</v>
      </c>
      <c r="G1626">
        <v>1371.6295166</v>
      </c>
      <c r="H1626">
        <v>1359.9255370999999</v>
      </c>
      <c r="I1626">
        <v>1303.2684326000001</v>
      </c>
      <c r="J1626">
        <v>1290.2326660000001</v>
      </c>
      <c r="K1626">
        <v>1650</v>
      </c>
      <c r="L1626">
        <v>0</v>
      </c>
      <c r="M1626">
        <v>0</v>
      </c>
      <c r="N1626">
        <v>1650</v>
      </c>
    </row>
    <row r="1627" spans="1:14" x14ac:dyDescent="0.25">
      <c r="A1627">
        <v>1461.9011439999999</v>
      </c>
      <c r="B1627" s="1">
        <f>DATE(2014,5,1) + TIME(21,37,38)</f>
        <v>41760.901134259257</v>
      </c>
      <c r="C1627">
        <v>80</v>
      </c>
      <c r="D1627">
        <v>74.226493834999999</v>
      </c>
      <c r="E1627">
        <v>50</v>
      </c>
      <c r="F1627">
        <v>49.874477386000002</v>
      </c>
      <c r="G1627">
        <v>1371.5457764</v>
      </c>
      <c r="H1627">
        <v>1359.8908690999999</v>
      </c>
      <c r="I1627">
        <v>1303.2681885</v>
      </c>
      <c r="J1627">
        <v>1290.2320557</v>
      </c>
      <c r="K1627">
        <v>1650</v>
      </c>
      <c r="L1627">
        <v>0</v>
      </c>
      <c r="M1627">
        <v>0</v>
      </c>
      <c r="N1627">
        <v>1650</v>
      </c>
    </row>
    <row r="1628" spans="1:14" x14ac:dyDescent="0.25">
      <c r="A1628">
        <v>1461.963473</v>
      </c>
      <c r="B1628" s="1">
        <f>DATE(2014,5,1) + TIME(23,7,24)</f>
        <v>41760.963472222225</v>
      </c>
      <c r="C1628">
        <v>80</v>
      </c>
      <c r="D1628">
        <v>74.578681946000003</v>
      </c>
      <c r="E1628">
        <v>50</v>
      </c>
      <c r="F1628">
        <v>49.869148254000002</v>
      </c>
      <c r="G1628">
        <v>1371.4644774999999</v>
      </c>
      <c r="H1628">
        <v>1359.8566894999999</v>
      </c>
      <c r="I1628">
        <v>1303.2679443</v>
      </c>
      <c r="J1628">
        <v>1290.2314452999999</v>
      </c>
      <c r="K1628">
        <v>1650</v>
      </c>
      <c r="L1628">
        <v>0</v>
      </c>
      <c r="M1628">
        <v>0</v>
      </c>
      <c r="N1628">
        <v>1650</v>
      </c>
    </row>
    <row r="1629" spans="1:14" x14ac:dyDescent="0.25">
      <c r="A1629">
        <v>1462.0279619999999</v>
      </c>
      <c r="B1629" s="1">
        <f>DATE(2014,5,2) + TIME(0,40,15)</f>
        <v>41761.027951388889</v>
      </c>
      <c r="C1629">
        <v>80</v>
      </c>
      <c r="D1629">
        <v>74.920043945000003</v>
      </c>
      <c r="E1629">
        <v>50</v>
      </c>
      <c r="F1629">
        <v>49.863697051999999</v>
      </c>
      <c r="G1629">
        <v>1371.3854980000001</v>
      </c>
      <c r="H1629">
        <v>1359.8232422000001</v>
      </c>
      <c r="I1629">
        <v>1303.2675781</v>
      </c>
      <c r="J1629">
        <v>1290.2307129000001</v>
      </c>
      <c r="K1629">
        <v>1650</v>
      </c>
      <c r="L1629">
        <v>0</v>
      </c>
      <c r="M1629">
        <v>0</v>
      </c>
      <c r="N1629">
        <v>1650</v>
      </c>
    </row>
    <row r="1630" spans="1:14" x14ac:dyDescent="0.25">
      <c r="A1630">
        <v>1462.094771</v>
      </c>
      <c r="B1630" s="1">
        <f>DATE(2014,5,2) + TIME(2,16,28)</f>
        <v>41761.094768518517</v>
      </c>
      <c r="C1630">
        <v>80</v>
      </c>
      <c r="D1630">
        <v>75.250366210999999</v>
      </c>
      <c r="E1630">
        <v>50</v>
      </c>
      <c r="F1630">
        <v>49.858104705999999</v>
      </c>
      <c r="G1630">
        <v>1371.3087158000001</v>
      </c>
      <c r="H1630">
        <v>1359.7901611</v>
      </c>
      <c r="I1630">
        <v>1303.2672118999999</v>
      </c>
      <c r="J1630">
        <v>1290.2299805</v>
      </c>
      <c r="K1630">
        <v>1650</v>
      </c>
      <c r="L1630">
        <v>0</v>
      </c>
      <c r="M1630">
        <v>0</v>
      </c>
      <c r="N1630">
        <v>1650</v>
      </c>
    </row>
    <row r="1631" spans="1:14" x14ac:dyDescent="0.25">
      <c r="A1631">
        <v>1462.16408</v>
      </c>
      <c r="B1631" s="1">
        <f>DATE(2014,5,2) + TIME(3,56,16)</f>
        <v>41761.164074074077</v>
      </c>
      <c r="C1631">
        <v>80</v>
      </c>
      <c r="D1631">
        <v>75.569763183999996</v>
      </c>
      <c r="E1631">
        <v>50</v>
      </c>
      <c r="F1631">
        <v>49.852371216000002</v>
      </c>
      <c r="G1631">
        <v>1371.2340088000001</v>
      </c>
      <c r="H1631">
        <v>1359.7574463000001</v>
      </c>
      <c r="I1631">
        <v>1303.2668457</v>
      </c>
      <c r="J1631">
        <v>1290.229126</v>
      </c>
      <c r="K1631">
        <v>1650</v>
      </c>
      <c r="L1631">
        <v>0</v>
      </c>
      <c r="M1631">
        <v>0</v>
      </c>
      <c r="N1631">
        <v>1650</v>
      </c>
    </row>
    <row r="1632" spans="1:14" x14ac:dyDescent="0.25">
      <c r="A1632">
        <v>1462.236085</v>
      </c>
      <c r="B1632" s="1">
        <f>DATE(2014,5,2) + TIME(5,39,57)</f>
        <v>41761.236076388886</v>
      </c>
      <c r="C1632">
        <v>80</v>
      </c>
      <c r="D1632">
        <v>75.878257751000007</v>
      </c>
      <c r="E1632">
        <v>50</v>
      </c>
      <c r="F1632">
        <v>49.846481322999999</v>
      </c>
      <c r="G1632">
        <v>1371.1612548999999</v>
      </c>
      <c r="H1632">
        <v>1359.7252197</v>
      </c>
      <c r="I1632">
        <v>1303.2663574000001</v>
      </c>
      <c r="J1632">
        <v>1290.2282714999999</v>
      </c>
      <c r="K1632">
        <v>1650</v>
      </c>
      <c r="L1632">
        <v>0</v>
      </c>
      <c r="M1632">
        <v>0</v>
      </c>
      <c r="N1632">
        <v>1650</v>
      </c>
    </row>
    <row r="1633" spans="1:14" x14ac:dyDescent="0.25">
      <c r="A1633">
        <v>1462.3110099999999</v>
      </c>
      <c r="B1633" s="1">
        <f>DATE(2014,5,2) + TIME(7,27,51)</f>
        <v>41761.311006944445</v>
      </c>
      <c r="C1633">
        <v>80</v>
      </c>
      <c r="D1633">
        <v>76.175811768000003</v>
      </c>
      <c r="E1633">
        <v>50</v>
      </c>
      <c r="F1633">
        <v>49.840415954999997</v>
      </c>
      <c r="G1633">
        <v>1371.0902100000001</v>
      </c>
      <c r="H1633">
        <v>1359.6931152</v>
      </c>
      <c r="I1633">
        <v>1303.2659911999999</v>
      </c>
      <c r="J1633">
        <v>1290.2272949000001</v>
      </c>
      <c r="K1633">
        <v>1650</v>
      </c>
      <c r="L1633">
        <v>0</v>
      </c>
      <c r="M1633">
        <v>0</v>
      </c>
      <c r="N1633">
        <v>1650</v>
      </c>
    </row>
    <row r="1634" spans="1:14" x14ac:dyDescent="0.25">
      <c r="A1634">
        <v>1462.389103</v>
      </c>
      <c r="B1634" s="1">
        <f>DATE(2014,5,2) + TIME(9,20,18)</f>
        <v>41761.389097222222</v>
      </c>
      <c r="C1634">
        <v>80</v>
      </c>
      <c r="D1634">
        <v>76.462394713999998</v>
      </c>
      <c r="E1634">
        <v>50</v>
      </c>
      <c r="F1634">
        <v>49.834167479999998</v>
      </c>
      <c r="G1634">
        <v>1371.0207519999999</v>
      </c>
      <c r="H1634">
        <v>1359.6612548999999</v>
      </c>
      <c r="I1634">
        <v>1303.2653809000001</v>
      </c>
      <c r="J1634">
        <v>1290.2263184000001</v>
      </c>
      <c r="K1634">
        <v>1650</v>
      </c>
      <c r="L1634">
        <v>0</v>
      </c>
      <c r="M1634">
        <v>0</v>
      </c>
      <c r="N1634">
        <v>1650</v>
      </c>
    </row>
    <row r="1635" spans="1:14" x14ac:dyDescent="0.25">
      <c r="A1635">
        <v>1462.470644</v>
      </c>
      <c r="B1635" s="1">
        <f>DATE(2014,5,2) + TIME(11,17,43)</f>
        <v>41761.470636574071</v>
      </c>
      <c r="C1635">
        <v>80</v>
      </c>
      <c r="D1635">
        <v>76.737953185999999</v>
      </c>
      <c r="E1635">
        <v>50</v>
      </c>
      <c r="F1635">
        <v>49.827713013</v>
      </c>
      <c r="G1635">
        <v>1370.9528809000001</v>
      </c>
      <c r="H1635">
        <v>1359.6293945</v>
      </c>
      <c r="I1635">
        <v>1303.2648925999999</v>
      </c>
      <c r="J1635">
        <v>1290.2253418</v>
      </c>
      <c r="K1635">
        <v>1650</v>
      </c>
      <c r="L1635">
        <v>0</v>
      </c>
      <c r="M1635">
        <v>0</v>
      </c>
      <c r="N1635">
        <v>1650</v>
      </c>
    </row>
    <row r="1636" spans="1:14" x14ac:dyDescent="0.25">
      <c r="A1636">
        <v>1462.5559510000001</v>
      </c>
      <c r="B1636" s="1">
        <f>DATE(2014,5,2) + TIME(13,20,34)</f>
        <v>41761.555949074071</v>
      </c>
      <c r="C1636">
        <v>80</v>
      </c>
      <c r="D1636">
        <v>77.002441406000003</v>
      </c>
      <c r="E1636">
        <v>50</v>
      </c>
      <c r="F1636">
        <v>49.821041106999999</v>
      </c>
      <c r="G1636">
        <v>1370.8863524999999</v>
      </c>
      <c r="H1636">
        <v>1359.5976562000001</v>
      </c>
      <c r="I1636">
        <v>1303.2642822</v>
      </c>
      <c r="J1636">
        <v>1290.2243652</v>
      </c>
      <c r="K1636">
        <v>1650</v>
      </c>
      <c r="L1636">
        <v>0</v>
      </c>
      <c r="M1636">
        <v>0</v>
      </c>
      <c r="N1636">
        <v>1650</v>
      </c>
    </row>
    <row r="1637" spans="1:14" x14ac:dyDescent="0.25">
      <c r="A1637">
        <v>1462.6454040000001</v>
      </c>
      <c r="B1637" s="1">
        <f>DATE(2014,5,2) + TIME(15,29,22)</f>
        <v>41761.64539351852</v>
      </c>
      <c r="C1637">
        <v>80</v>
      </c>
      <c r="D1637">
        <v>77.255859375</v>
      </c>
      <c r="E1637">
        <v>50</v>
      </c>
      <c r="F1637">
        <v>49.814125060999999</v>
      </c>
      <c r="G1637">
        <v>1370.8210449000001</v>
      </c>
      <c r="H1637">
        <v>1359.5656738</v>
      </c>
      <c r="I1637">
        <v>1303.2636719</v>
      </c>
      <c r="J1637">
        <v>1290.2231445</v>
      </c>
      <c r="K1637">
        <v>1650</v>
      </c>
      <c r="L1637">
        <v>0</v>
      </c>
      <c r="M1637">
        <v>0</v>
      </c>
      <c r="N1637">
        <v>1650</v>
      </c>
    </row>
    <row r="1638" spans="1:14" x14ac:dyDescent="0.25">
      <c r="A1638">
        <v>1462.739452</v>
      </c>
      <c r="B1638" s="1">
        <f>DATE(2014,5,2) + TIME(17,44,48)</f>
        <v>41761.739444444444</v>
      </c>
      <c r="C1638">
        <v>80</v>
      </c>
      <c r="D1638">
        <v>77.498222350999995</v>
      </c>
      <c r="E1638">
        <v>50</v>
      </c>
      <c r="F1638">
        <v>49.806938170999999</v>
      </c>
      <c r="G1638">
        <v>1370.7568358999999</v>
      </c>
      <c r="H1638">
        <v>1359.5335693</v>
      </c>
      <c r="I1638">
        <v>1303.2630615</v>
      </c>
      <c r="J1638">
        <v>1290.2220459</v>
      </c>
      <c r="K1638">
        <v>1650</v>
      </c>
      <c r="L1638">
        <v>0</v>
      </c>
      <c r="M1638">
        <v>0</v>
      </c>
      <c r="N1638">
        <v>1650</v>
      </c>
    </row>
    <row r="1639" spans="1:14" x14ac:dyDescent="0.25">
      <c r="A1639">
        <v>1462.838532</v>
      </c>
      <c r="B1639" s="1">
        <f>DATE(2014,5,2) + TIME(20,7,29)</f>
        <v>41761.838530092595</v>
      </c>
      <c r="C1639">
        <v>80</v>
      </c>
      <c r="D1639">
        <v>77.729354857999994</v>
      </c>
      <c r="E1639">
        <v>50</v>
      </c>
      <c r="F1639">
        <v>49.799453735</v>
      </c>
      <c r="G1639">
        <v>1370.6934814000001</v>
      </c>
      <c r="H1639">
        <v>1359.5012207</v>
      </c>
      <c r="I1639">
        <v>1303.2623291</v>
      </c>
      <c r="J1639">
        <v>1290.2208252</v>
      </c>
      <c r="K1639">
        <v>1650</v>
      </c>
      <c r="L1639">
        <v>0</v>
      </c>
      <c r="M1639">
        <v>0</v>
      </c>
      <c r="N1639">
        <v>1650</v>
      </c>
    </row>
    <row r="1640" spans="1:14" x14ac:dyDescent="0.25">
      <c r="A1640">
        <v>1462.943201</v>
      </c>
      <c r="B1640" s="1">
        <f>DATE(2014,5,2) + TIME(22,38,12)</f>
        <v>41761.943194444444</v>
      </c>
      <c r="C1640">
        <v>80</v>
      </c>
      <c r="D1640">
        <v>77.949188231999997</v>
      </c>
      <c r="E1640">
        <v>50</v>
      </c>
      <c r="F1640">
        <v>49.79164505</v>
      </c>
      <c r="G1640">
        <v>1370.6309814000001</v>
      </c>
      <c r="H1640">
        <v>1359.4685059000001</v>
      </c>
      <c r="I1640">
        <v>1303.2615966999999</v>
      </c>
      <c r="J1640">
        <v>1290.2194824000001</v>
      </c>
      <c r="K1640">
        <v>1650</v>
      </c>
      <c r="L1640">
        <v>0</v>
      </c>
      <c r="M1640">
        <v>0</v>
      </c>
      <c r="N1640">
        <v>1650</v>
      </c>
    </row>
    <row r="1641" spans="1:14" x14ac:dyDescent="0.25">
      <c r="A1641">
        <v>1463.054112</v>
      </c>
      <c r="B1641" s="1">
        <f>DATE(2014,5,3) + TIME(1,17,55)</f>
        <v>41762.054108796299</v>
      </c>
      <c r="C1641">
        <v>80</v>
      </c>
      <c r="D1641">
        <v>78.157676696999999</v>
      </c>
      <c r="E1641">
        <v>50</v>
      </c>
      <c r="F1641">
        <v>49.783470154</v>
      </c>
      <c r="G1641">
        <v>1370.5689697</v>
      </c>
      <c r="H1641">
        <v>1359.4353027</v>
      </c>
      <c r="I1641">
        <v>1303.2607422000001</v>
      </c>
      <c r="J1641">
        <v>1290.2181396000001</v>
      </c>
      <c r="K1641">
        <v>1650</v>
      </c>
      <c r="L1641">
        <v>0</v>
      </c>
      <c r="M1641">
        <v>0</v>
      </c>
      <c r="N1641">
        <v>1650</v>
      </c>
    </row>
    <row r="1642" spans="1:14" x14ac:dyDescent="0.25">
      <c r="A1642">
        <v>1463.1720319999999</v>
      </c>
      <c r="B1642" s="1">
        <f>DATE(2014,5,3) + TIME(4,7,43)</f>
        <v>41762.172025462962</v>
      </c>
      <c r="C1642">
        <v>80</v>
      </c>
      <c r="D1642">
        <v>78.354743958</v>
      </c>
      <c r="E1642">
        <v>50</v>
      </c>
      <c r="F1642">
        <v>49.774883269999997</v>
      </c>
      <c r="G1642">
        <v>1370.5074463000001</v>
      </c>
      <c r="H1642">
        <v>1359.4013672000001</v>
      </c>
      <c r="I1642">
        <v>1303.2598877</v>
      </c>
      <c r="J1642">
        <v>1290.2166748</v>
      </c>
      <c r="K1642">
        <v>1650</v>
      </c>
      <c r="L1642">
        <v>0</v>
      </c>
      <c r="M1642">
        <v>0</v>
      </c>
      <c r="N1642">
        <v>1650</v>
      </c>
    </row>
    <row r="1643" spans="1:14" x14ac:dyDescent="0.25">
      <c r="A1643">
        <v>1463.297847</v>
      </c>
      <c r="B1643" s="1">
        <f>DATE(2014,5,3) + TIME(7,8,53)</f>
        <v>41762.297835648147</v>
      </c>
      <c r="C1643">
        <v>80</v>
      </c>
      <c r="D1643">
        <v>78.540306091000005</v>
      </c>
      <c r="E1643">
        <v>50</v>
      </c>
      <c r="F1643">
        <v>49.765842438</v>
      </c>
      <c r="G1643">
        <v>1370.4461670000001</v>
      </c>
      <c r="H1643">
        <v>1359.3668213000001</v>
      </c>
      <c r="I1643">
        <v>1303.2589111</v>
      </c>
      <c r="J1643">
        <v>1290.2150879000001</v>
      </c>
      <c r="K1643">
        <v>1650</v>
      </c>
      <c r="L1643">
        <v>0</v>
      </c>
      <c r="M1643">
        <v>0</v>
      </c>
      <c r="N1643">
        <v>1650</v>
      </c>
    </row>
    <row r="1644" spans="1:14" x14ac:dyDescent="0.25">
      <c r="A1644">
        <v>1463.432683</v>
      </c>
      <c r="B1644" s="1">
        <f>DATE(2014,5,3) + TIME(10,23,3)</f>
        <v>41762.432673611111</v>
      </c>
      <c r="C1644">
        <v>80</v>
      </c>
      <c r="D1644">
        <v>78.714347838999998</v>
      </c>
      <c r="E1644">
        <v>50</v>
      </c>
      <c r="F1644">
        <v>49.756282806000002</v>
      </c>
      <c r="G1644">
        <v>1370.3850098</v>
      </c>
      <c r="H1644">
        <v>1359.3312988</v>
      </c>
      <c r="I1644">
        <v>1303.2579346</v>
      </c>
      <c r="J1644">
        <v>1290.2133789</v>
      </c>
      <c r="K1644">
        <v>1650</v>
      </c>
      <c r="L1644">
        <v>0</v>
      </c>
      <c r="M1644">
        <v>0</v>
      </c>
      <c r="N1644">
        <v>1650</v>
      </c>
    </row>
    <row r="1645" spans="1:14" x14ac:dyDescent="0.25">
      <c r="A1645">
        <v>1463.5778800000001</v>
      </c>
      <c r="B1645" s="1">
        <f>DATE(2014,5,3) + TIME(13,52,8)</f>
        <v>41762.577870370369</v>
      </c>
      <c r="C1645">
        <v>80</v>
      </c>
      <c r="D1645">
        <v>78.876800536999994</v>
      </c>
      <c r="E1645">
        <v>50</v>
      </c>
      <c r="F1645">
        <v>49.746124268000003</v>
      </c>
      <c r="G1645">
        <v>1370.3236084</v>
      </c>
      <c r="H1645">
        <v>1359.2947998</v>
      </c>
      <c r="I1645">
        <v>1303.2568358999999</v>
      </c>
      <c r="J1645">
        <v>1290.2116699000001</v>
      </c>
      <c r="K1645">
        <v>1650</v>
      </c>
      <c r="L1645">
        <v>0</v>
      </c>
      <c r="M1645">
        <v>0</v>
      </c>
      <c r="N1645">
        <v>1650</v>
      </c>
    </row>
    <row r="1646" spans="1:14" x14ac:dyDescent="0.25">
      <c r="A1646">
        <v>1463.7350919999999</v>
      </c>
      <c r="B1646" s="1">
        <f>DATE(2014,5,3) + TIME(17,38,31)</f>
        <v>41762.735081018516</v>
      </c>
      <c r="C1646">
        <v>80</v>
      </c>
      <c r="D1646">
        <v>79.027633667000003</v>
      </c>
      <c r="E1646">
        <v>50</v>
      </c>
      <c r="F1646">
        <v>49.735279083000002</v>
      </c>
      <c r="G1646">
        <v>1370.2617187999999</v>
      </c>
      <c r="H1646">
        <v>1359.2569579999999</v>
      </c>
      <c r="I1646">
        <v>1303.2557373</v>
      </c>
      <c r="J1646">
        <v>1290.2097168</v>
      </c>
      <c r="K1646">
        <v>1650</v>
      </c>
      <c r="L1646">
        <v>0</v>
      </c>
      <c r="M1646">
        <v>0</v>
      </c>
      <c r="N1646">
        <v>1650</v>
      </c>
    </row>
    <row r="1647" spans="1:14" x14ac:dyDescent="0.25">
      <c r="A1647">
        <v>1463.905996</v>
      </c>
      <c r="B1647" s="1">
        <f>DATE(2014,5,3) + TIME(21,44,38)</f>
        <v>41762.905995370369</v>
      </c>
      <c r="C1647">
        <v>80</v>
      </c>
      <c r="D1647">
        <v>79.166519164999997</v>
      </c>
      <c r="E1647">
        <v>50</v>
      </c>
      <c r="F1647">
        <v>49.723663330000001</v>
      </c>
      <c r="G1647">
        <v>1370.1992187999999</v>
      </c>
      <c r="H1647">
        <v>1359.2177733999999</v>
      </c>
      <c r="I1647">
        <v>1303.2545166</v>
      </c>
      <c r="J1647">
        <v>1290.2076416</v>
      </c>
      <c r="K1647">
        <v>1650</v>
      </c>
      <c r="L1647">
        <v>0</v>
      </c>
      <c r="M1647">
        <v>0</v>
      </c>
      <c r="N1647">
        <v>1650</v>
      </c>
    </row>
    <row r="1648" spans="1:14" x14ac:dyDescent="0.25">
      <c r="A1648">
        <v>1464.0773099999999</v>
      </c>
      <c r="B1648" s="1">
        <f>DATE(2014,5,4) + TIME(1,51,19)</f>
        <v>41763.077303240738</v>
      </c>
      <c r="C1648">
        <v>80</v>
      </c>
      <c r="D1648">
        <v>79.284423828000001</v>
      </c>
      <c r="E1648">
        <v>50</v>
      </c>
      <c r="F1648">
        <v>49.712070464999996</v>
      </c>
      <c r="G1648">
        <v>1370.1402588000001</v>
      </c>
      <c r="H1648">
        <v>1359.1791992000001</v>
      </c>
      <c r="I1648">
        <v>1303.2530518000001</v>
      </c>
      <c r="J1648">
        <v>1290.2054443</v>
      </c>
      <c r="K1648">
        <v>1650</v>
      </c>
      <c r="L1648">
        <v>0</v>
      </c>
      <c r="M1648">
        <v>0</v>
      </c>
      <c r="N1648">
        <v>1650</v>
      </c>
    </row>
    <row r="1649" spans="1:14" x14ac:dyDescent="0.25">
      <c r="A1649">
        <v>1464.250092</v>
      </c>
      <c r="B1649" s="1">
        <f>DATE(2014,5,4) + TIME(6,0,7)</f>
        <v>41763.250081018516</v>
      </c>
      <c r="C1649">
        <v>80</v>
      </c>
      <c r="D1649">
        <v>79.385017395000006</v>
      </c>
      <c r="E1649">
        <v>50</v>
      </c>
      <c r="F1649">
        <v>49.700435638000002</v>
      </c>
      <c r="G1649">
        <v>1370.0841064000001</v>
      </c>
      <c r="H1649">
        <v>1359.1417236</v>
      </c>
      <c r="I1649">
        <v>1303.2515868999999</v>
      </c>
      <c r="J1649">
        <v>1290.2032471</v>
      </c>
      <c r="K1649">
        <v>1650</v>
      </c>
      <c r="L1649">
        <v>0</v>
      </c>
      <c r="M1649">
        <v>0</v>
      </c>
      <c r="N1649">
        <v>1650</v>
      </c>
    </row>
    <row r="1650" spans="1:14" x14ac:dyDescent="0.25">
      <c r="A1650">
        <v>1464.424786</v>
      </c>
      <c r="B1650" s="1">
        <f>DATE(2014,5,4) + TIME(10,11,41)</f>
        <v>41763.424780092595</v>
      </c>
      <c r="C1650">
        <v>80</v>
      </c>
      <c r="D1650">
        <v>79.470924377000003</v>
      </c>
      <c r="E1650">
        <v>50</v>
      </c>
      <c r="F1650">
        <v>49.688732147000003</v>
      </c>
      <c r="G1650">
        <v>1370.0302733999999</v>
      </c>
      <c r="H1650">
        <v>1359.1052245999999</v>
      </c>
      <c r="I1650">
        <v>1303.2501221</v>
      </c>
      <c r="J1650">
        <v>1290.2010498</v>
      </c>
      <c r="K1650">
        <v>1650</v>
      </c>
      <c r="L1650">
        <v>0</v>
      </c>
      <c r="M1650">
        <v>0</v>
      </c>
      <c r="N1650">
        <v>1650</v>
      </c>
    </row>
    <row r="1651" spans="1:14" x14ac:dyDescent="0.25">
      <c r="A1651">
        <v>1464.6018759999999</v>
      </c>
      <c r="B1651" s="1">
        <f>DATE(2014,5,4) + TIME(14,26,42)</f>
        <v>41763.601875</v>
      </c>
      <c r="C1651">
        <v>80</v>
      </c>
      <c r="D1651">
        <v>79.544342040999993</v>
      </c>
      <c r="E1651">
        <v>50</v>
      </c>
      <c r="F1651">
        <v>49.676933288999997</v>
      </c>
      <c r="G1651">
        <v>1369.9785156</v>
      </c>
      <c r="H1651">
        <v>1359.0693358999999</v>
      </c>
      <c r="I1651">
        <v>1303.2486572</v>
      </c>
      <c r="J1651">
        <v>1290.1987305</v>
      </c>
      <c r="K1651">
        <v>1650</v>
      </c>
      <c r="L1651">
        <v>0</v>
      </c>
      <c r="M1651">
        <v>0</v>
      </c>
      <c r="N1651">
        <v>1650</v>
      </c>
    </row>
    <row r="1652" spans="1:14" x14ac:dyDescent="0.25">
      <c r="A1652">
        <v>1464.7818400000001</v>
      </c>
      <c r="B1652" s="1">
        <f>DATE(2014,5,4) + TIME(18,45,50)</f>
        <v>41763.781828703701</v>
      </c>
      <c r="C1652">
        <v>80</v>
      </c>
      <c r="D1652">
        <v>79.607093810999999</v>
      </c>
      <c r="E1652">
        <v>50</v>
      </c>
      <c r="F1652">
        <v>49.665012359999999</v>
      </c>
      <c r="G1652">
        <v>1369.9284668</v>
      </c>
      <c r="H1652">
        <v>1359.0343018000001</v>
      </c>
      <c r="I1652">
        <v>1303.2470702999999</v>
      </c>
      <c r="J1652">
        <v>1290.1965332</v>
      </c>
      <c r="K1652">
        <v>1650</v>
      </c>
      <c r="L1652">
        <v>0</v>
      </c>
      <c r="M1652">
        <v>0</v>
      </c>
      <c r="N1652">
        <v>1650</v>
      </c>
    </row>
    <row r="1653" spans="1:14" x14ac:dyDescent="0.25">
      <c r="A1653">
        <v>1464.9650839999999</v>
      </c>
      <c r="B1653" s="1">
        <f>DATE(2014,5,4) + TIME(23,9,43)</f>
        <v>41763.965081018519</v>
      </c>
      <c r="C1653">
        <v>80</v>
      </c>
      <c r="D1653">
        <v>79.660713196000003</v>
      </c>
      <c r="E1653">
        <v>50</v>
      </c>
      <c r="F1653">
        <v>49.652942656999997</v>
      </c>
      <c r="G1653">
        <v>1369.8798827999999</v>
      </c>
      <c r="H1653">
        <v>1358.9997559000001</v>
      </c>
      <c r="I1653">
        <v>1303.2454834</v>
      </c>
      <c r="J1653">
        <v>1290.1940918</v>
      </c>
      <c r="K1653">
        <v>1650</v>
      </c>
      <c r="L1653">
        <v>0</v>
      </c>
      <c r="M1653">
        <v>0</v>
      </c>
      <c r="N1653">
        <v>1650</v>
      </c>
    </row>
    <row r="1654" spans="1:14" x14ac:dyDescent="0.25">
      <c r="A1654">
        <v>1465.1518390000001</v>
      </c>
      <c r="B1654" s="1">
        <f>DATE(2014,5,5) + TIME(3,38,38)</f>
        <v>41764.151828703703</v>
      </c>
      <c r="C1654">
        <v>80</v>
      </c>
      <c r="D1654">
        <v>79.706436156999999</v>
      </c>
      <c r="E1654">
        <v>50</v>
      </c>
      <c r="F1654">
        <v>49.640716552999997</v>
      </c>
      <c r="G1654">
        <v>1369.8326416</v>
      </c>
      <c r="H1654">
        <v>1358.9656981999999</v>
      </c>
      <c r="I1654">
        <v>1303.2438964999999</v>
      </c>
      <c r="J1654">
        <v>1290.1917725000001</v>
      </c>
      <c r="K1654">
        <v>1650</v>
      </c>
      <c r="L1654">
        <v>0</v>
      </c>
      <c r="M1654">
        <v>0</v>
      </c>
      <c r="N1654">
        <v>1650</v>
      </c>
    </row>
    <row r="1655" spans="1:14" x14ac:dyDescent="0.25">
      <c r="A1655">
        <v>1465.3419309999999</v>
      </c>
      <c r="B1655" s="1">
        <f>DATE(2014,5,5) + TIME(8,12,22)</f>
        <v>41764.341921296298</v>
      </c>
      <c r="C1655">
        <v>80</v>
      </c>
      <c r="D1655">
        <v>79.745277404999996</v>
      </c>
      <c r="E1655">
        <v>50</v>
      </c>
      <c r="F1655">
        <v>49.628341675000001</v>
      </c>
      <c r="G1655">
        <v>1369.7866211</v>
      </c>
      <c r="H1655">
        <v>1358.9321289</v>
      </c>
      <c r="I1655">
        <v>1303.2423096</v>
      </c>
      <c r="J1655">
        <v>1290.1893310999999</v>
      </c>
      <c r="K1655">
        <v>1650</v>
      </c>
      <c r="L1655">
        <v>0</v>
      </c>
      <c r="M1655">
        <v>0</v>
      </c>
      <c r="N1655">
        <v>1650</v>
      </c>
    </row>
    <row r="1656" spans="1:14" x14ac:dyDescent="0.25">
      <c r="A1656">
        <v>1465.5358220000001</v>
      </c>
      <c r="B1656" s="1">
        <f>DATE(2014,5,5) + TIME(12,51,35)</f>
        <v>41764.535821759258</v>
      </c>
      <c r="C1656">
        <v>80</v>
      </c>
      <c r="D1656">
        <v>79.778259277000004</v>
      </c>
      <c r="E1656">
        <v>50</v>
      </c>
      <c r="F1656">
        <v>49.615791321000003</v>
      </c>
      <c r="G1656">
        <v>1369.7415771000001</v>
      </c>
      <c r="H1656">
        <v>1358.8990478999999</v>
      </c>
      <c r="I1656">
        <v>1303.2407227000001</v>
      </c>
      <c r="J1656">
        <v>1290.1868896000001</v>
      </c>
      <c r="K1656">
        <v>1650</v>
      </c>
      <c r="L1656">
        <v>0</v>
      </c>
      <c r="M1656">
        <v>0</v>
      </c>
      <c r="N1656">
        <v>1650</v>
      </c>
    </row>
    <row r="1657" spans="1:14" x14ac:dyDescent="0.25">
      <c r="A1657">
        <v>1465.733913</v>
      </c>
      <c r="B1657" s="1">
        <f>DATE(2014,5,5) + TIME(17,36,50)</f>
        <v>41764.733912037038</v>
      </c>
      <c r="C1657">
        <v>80</v>
      </c>
      <c r="D1657">
        <v>79.806213378999999</v>
      </c>
      <c r="E1657">
        <v>50</v>
      </c>
      <c r="F1657">
        <v>49.603046417000002</v>
      </c>
      <c r="G1657">
        <v>1369.6975098</v>
      </c>
      <c r="H1657">
        <v>1358.8663329999999</v>
      </c>
      <c r="I1657">
        <v>1303.2390137</v>
      </c>
      <c r="J1657">
        <v>1290.1843262</v>
      </c>
      <c r="K1657">
        <v>1650</v>
      </c>
      <c r="L1657">
        <v>0</v>
      </c>
      <c r="M1657">
        <v>0</v>
      </c>
      <c r="N1657">
        <v>1650</v>
      </c>
    </row>
    <row r="1658" spans="1:14" x14ac:dyDescent="0.25">
      <c r="A1658">
        <v>1465.9366769999999</v>
      </c>
      <c r="B1658" s="1">
        <f>DATE(2014,5,5) + TIME(22,28,48)</f>
        <v>41764.936666666668</v>
      </c>
      <c r="C1658">
        <v>80</v>
      </c>
      <c r="D1658">
        <v>79.829887389999996</v>
      </c>
      <c r="E1658">
        <v>50</v>
      </c>
      <c r="F1658">
        <v>49.590076447000001</v>
      </c>
      <c r="G1658">
        <v>1369.6541748</v>
      </c>
      <c r="H1658">
        <v>1358.8339844</v>
      </c>
      <c r="I1658">
        <v>1303.2371826000001</v>
      </c>
      <c r="J1658">
        <v>1290.1817627</v>
      </c>
      <c r="K1658">
        <v>1650</v>
      </c>
      <c r="L1658">
        <v>0</v>
      </c>
      <c r="M1658">
        <v>0</v>
      </c>
      <c r="N1658">
        <v>1650</v>
      </c>
    </row>
    <row r="1659" spans="1:14" x14ac:dyDescent="0.25">
      <c r="A1659">
        <v>1466.144624</v>
      </c>
      <c r="B1659" s="1">
        <f>DATE(2014,5,6) + TIME(3,28,15)</f>
        <v>41765.144618055558</v>
      </c>
      <c r="C1659">
        <v>80</v>
      </c>
      <c r="D1659">
        <v>79.849884032999995</v>
      </c>
      <c r="E1659">
        <v>50</v>
      </c>
      <c r="F1659">
        <v>49.576858520999998</v>
      </c>
      <c r="G1659">
        <v>1369.6114502</v>
      </c>
      <c r="H1659">
        <v>1358.8020019999999</v>
      </c>
      <c r="I1659">
        <v>1303.2354736</v>
      </c>
      <c r="J1659">
        <v>1290.1790771000001</v>
      </c>
      <c r="K1659">
        <v>1650</v>
      </c>
      <c r="L1659">
        <v>0</v>
      </c>
      <c r="M1659">
        <v>0</v>
      </c>
      <c r="N1659">
        <v>1650</v>
      </c>
    </row>
    <row r="1660" spans="1:14" x14ac:dyDescent="0.25">
      <c r="A1660">
        <v>1466.358301</v>
      </c>
      <c r="B1660" s="1">
        <f>DATE(2014,5,6) + TIME(8,35,57)</f>
        <v>41765.358298611114</v>
      </c>
      <c r="C1660">
        <v>80</v>
      </c>
      <c r="D1660">
        <v>79.866752625000004</v>
      </c>
      <c r="E1660">
        <v>50</v>
      </c>
      <c r="F1660">
        <v>49.563362122000001</v>
      </c>
      <c r="G1660">
        <v>1369.5692139</v>
      </c>
      <c r="H1660">
        <v>1358.7701416</v>
      </c>
      <c r="I1660">
        <v>1303.2336425999999</v>
      </c>
      <c r="J1660">
        <v>1290.1762695</v>
      </c>
      <c r="K1660">
        <v>1650</v>
      </c>
      <c r="L1660">
        <v>0</v>
      </c>
      <c r="M1660">
        <v>0</v>
      </c>
      <c r="N1660">
        <v>1650</v>
      </c>
    </row>
    <row r="1661" spans="1:14" x14ac:dyDescent="0.25">
      <c r="A1661">
        <v>1466.5783060000001</v>
      </c>
      <c r="B1661" s="1">
        <f>DATE(2014,5,6) + TIME(13,52,45)</f>
        <v>41765.578298611108</v>
      </c>
      <c r="C1661">
        <v>80</v>
      </c>
      <c r="D1661">
        <v>79.880943298000005</v>
      </c>
      <c r="E1661">
        <v>50</v>
      </c>
      <c r="F1661">
        <v>49.549552917</v>
      </c>
      <c r="G1661">
        <v>1369.5273437999999</v>
      </c>
      <c r="H1661">
        <v>1358.7384033000001</v>
      </c>
      <c r="I1661">
        <v>1303.2316894999999</v>
      </c>
      <c r="J1661">
        <v>1290.1734618999999</v>
      </c>
      <c r="K1661">
        <v>1650</v>
      </c>
      <c r="L1661">
        <v>0</v>
      </c>
      <c r="M1661">
        <v>0</v>
      </c>
      <c r="N1661">
        <v>1650</v>
      </c>
    </row>
    <row r="1662" spans="1:14" x14ac:dyDescent="0.25">
      <c r="A1662">
        <v>1466.805298</v>
      </c>
      <c r="B1662" s="1">
        <f>DATE(2014,5,6) + TIME(19,19,37)</f>
        <v>41765.805289351854</v>
      </c>
      <c r="C1662">
        <v>80</v>
      </c>
      <c r="D1662">
        <v>79.892860412999994</v>
      </c>
      <c r="E1662">
        <v>50</v>
      </c>
      <c r="F1662">
        <v>49.535404204999999</v>
      </c>
      <c r="G1662">
        <v>1369.4858397999999</v>
      </c>
      <c r="H1662">
        <v>1358.7067870999999</v>
      </c>
      <c r="I1662">
        <v>1303.2297363</v>
      </c>
      <c r="J1662">
        <v>1290.1705322</v>
      </c>
      <c r="K1662">
        <v>1650</v>
      </c>
      <c r="L1662">
        <v>0</v>
      </c>
      <c r="M1662">
        <v>0</v>
      </c>
      <c r="N1662">
        <v>1650</v>
      </c>
    </row>
    <row r="1663" spans="1:14" x14ac:dyDescent="0.25">
      <c r="A1663">
        <v>1467.0400090000001</v>
      </c>
      <c r="B1663" s="1">
        <f>DATE(2014,5,7) + TIME(0,57,36)</f>
        <v>41766.04</v>
      </c>
      <c r="C1663">
        <v>80</v>
      </c>
      <c r="D1663">
        <v>79.902824401999993</v>
      </c>
      <c r="E1663">
        <v>50</v>
      </c>
      <c r="F1663">
        <v>49.520870209000002</v>
      </c>
      <c r="G1663">
        <v>1369.4444579999999</v>
      </c>
      <c r="H1663">
        <v>1358.6751709</v>
      </c>
      <c r="I1663">
        <v>1303.2277832</v>
      </c>
      <c r="J1663">
        <v>1290.1676024999999</v>
      </c>
      <c r="K1663">
        <v>1650</v>
      </c>
      <c r="L1663">
        <v>0</v>
      </c>
      <c r="M1663">
        <v>0</v>
      </c>
      <c r="N1663">
        <v>1650</v>
      </c>
    </row>
    <row r="1664" spans="1:14" x14ac:dyDescent="0.25">
      <c r="A1664">
        <v>1467.2832530000001</v>
      </c>
      <c r="B1664" s="1">
        <f>DATE(2014,5,7) + TIME(6,47,53)</f>
        <v>41766.283252314817</v>
      </c>
      <c r="C1664">
        <v>80</v>
      </c>
      <c r="D1664">
        <v>79.911148071</v>
      </c>
      <c r="E1664">
        <v>50</v>
      </c>
      <c r="F1664">
        <v>49.505912780999999</v>
      </c>
      <c r="G1664">
        <v>1369.4030762</v>
      </c>
      <c r="H1664">
        <v>1358.6436768000001</v>
      </c>
      <c r="I1664">
        <v>1303.2255858999999</v>
      </c>
      <c r="J1664">
        <v>1290.1644286999999</v>
      </c>
      <c r="K1664">
        <v>1650</v>
      </c>
      <c r="L1664">
        <v>0</v>
      </c>
      <c r="M1664">
        <v>0</v>
      </c>
      <c r="N1664">
        <v>1650</v>
      </c>
    </row>
    <row r="1665" spans="1:14" x14ac:dyDescent="0.25">
      <c r="A1665">
        <v>1467.535977</v>
      </c>
      <c r="B1665" s="1">
        <f>DATE(2014,5,7) + TIME(12,51,48)</f>
        <v>41766.53597222222</v>
      </c>
      <c r="C1665">
        <v>80</v>
      </c>
      <c r="D1665">
        <v>79.918060303000004</v>
      </c>
      <c r="E1665">
        <v>50</v>
      </c>
      <c r="F1665">
        <v>49.490482329999999</v>
      </c>
      <c r="G1665">
        <v>1369.3616943</v>
      </c>
      <c r="H1665">
        <v>1358.6119385</v>
      </c>
      <c r="I1665">
        <v>1303.2233887</v>
      </c>
      <c r="J1665">
        <v>1290.1612548999999</v>
      </c>
      <c r="K1665">
        <v>1650</v>
      </c>
      <c r="L1665">
        <v>0</v>
      </c>
      <c r="M1665">
        <v>0</v>
      </c>
      <c r="N1665">
        <v>1650</v>
      </c>
    </row>
    <row r="1666" spans="1:14" x14ac:dyDescent="0.25">
      <c r="A1666">
        <v>1467.7993530000001</v>
      </c>
      <c r="B1666" s="1">
        <f>DATE(2014,5,7) + TIME(19,11,4)</f>
        <v>41766.799351851849</v>
      </c>
      <c r="C1666">
        <v>80</v>
      </c>
      <c r="D1666">
        <v>79.923797606999997</v>
      </c>
      <c r="E1666">
        <v>50</v>
      </c>
      <c r="F1666">
        <v>49.474525452000002</v>
      </c>
      <c r="G1666">
        <v>1369.3200684000001</v>
      </c>
      <c r="H1666">
        <v>1358.5799560999999</v>
      </c>
      <c r="I1666">
        <v>1303.2211914</v>
      </c>
      <c r="J1666">
        <v>1290.1578368999999</v>
      </c>
      <c r="K1666">
        <v>1650</v>
      </c>
      <c r="L1666">
        <v>0</v>
      </c>
      <c r="M1666">
        <v>0</v>
      </c>
      <c r="N1666">
        <v>1650</v>
      </c>
    </row>
    <row r="1667" spans="1:14" x14ac:dyDescent="0.25">
      <c r="A1667">
        <v>1468.074435</v>
      </c>
      <c r="B1667" s="1">
        <f>DATE(2014,5,8) + TIME(1,47,11)</f>
        <v>41767.074432870373</v>
      </c>
      <c r="C1667">
        <v>80</v>
      </c>
      <c r="D1667">
        <v>79.928535460999996</v>
      </c>
      <c r="E1667">
        <v>50</v>
      </c>
      <c r="F1667">
        <v>49.457984924000002</v>
      </c>
      <c r="G1667">
        <v>1369.2781981999999</v>
      </c>
      <c r="H1667">
        <v>1358.5478516000001</v>
      </c>
      <c r="I1667">
        <v>1303.21875</v>
      </c>
      <c r="J1667">
        <v>1290.1542969</v>
      </c>
      <c r="K1667">
        <v>1650</v>
      </c>
      <c r="L1667">
        <v>0</v>
      </c>
      <c r="M1667">
        <v>0</v>
      </c>
      <c r="N1667">
        <v>1650</v>
      </c>
    </row>
    <row r="1668" spans="1:14" x14ac:dyDescent="0.25">
      <c r="A1668">
        <v>1468.3593100000001</v>
      </c>
      <c r="B1668" s="1">
        <f>DATE(2014,5,8) + TIME(8,37,24)</f>
        <v>41767.359305555554</v>
      </c>
      <c r="C1668">
        <v>80</v>
      </c>
      <c r="D1668">
        <v>79.932395935000002</v>
      </c>
      <c r="E1668">
        <v>50</v>
      </c>
      <c r="F1668">
        <v>49.440952301000003</v>
      </c>
      <c r="G1668">
        <v>1369.2359618999999</v>
      </c>
      <c r="H1668">
        <v>1358.5153809000001</v>
      </c>
      <c r="I1668">
        <v>1303.2163086</v>
      </c>
      <c r="J1668">
        <v>1290.1506348</v>
      </c>
      <c r="K1668">
        <v>1650</v>
      </c>
      <c r="L1668">
        <v>0</v>
      </c>
      <c r="M1668">
        <v>0</v>
      </c>
      <c r="N1668">
        <v>1650</v>
      </c>
    </row>
    <row r="1669" spans="1:14" x14ac:dyDescent="0.25">
      <c r="A1669">
        <v>1468.6537499999999</v>
      </c>
      <c r="B1669" s="1">
        <f>DATE(2014,5,8) + TIME(15,41,24)</f>
        <v>41767.653749999998</v>
      </c>
      <c r="C1669">
        <v>80</v>
      </c>
      <c r="D1669">
        <v>79.935523986999996</v>
      </c>
      <c r="E1669">
        <v>50</v>
      </c>
      <c r="F1669">
        <v>49.423446654999999</v>
      </c>
      <c r="G1669">
        <v>1369.1936035000001</v>
      </c>
      <c r="H1669">
        <v>1358.4827881000001</v>
      </c>
      <c r="I1669">
        <v>1303.2136230000001</v>
      </c>
      <c r="J1669">
        <v>1290.1468506000001</v>
      </c>
      <c r="K1669">
        <v>1650</v>
      </c>
      <c r="L1669">
        <v>0</v>
      </c>
      <c r="M1669">
        <v>0</v>
      </c>
      <c r="N1669">
        <v>1650</v>
      </c>
    </row>
    <row r="1670" spans="1:14" x14ac:dyDescent="0.25">
      <c r="A1670">
        <v>1468.9587200000001</v>
      </c>
      <c r="B1670" s="1">
        <f>DATE(2014,5,8) + TIME(23,0,33)</f>
        <v>41767.958715277775</v>
      </c>
      <c r="C1670">
        <v>80</v>
      </c>
      <c r="D1670">
        <v>79.938056946000003</v>
      </c>
      <c r="E1670">
        <v>50</v>
      </c>
      <c r="F1670">
        <v>49.405418396000002</v>
      </c>
      <c r="G1670">
        <v>1369.1511230000001</v>
      </c>
      <c r="H1670">
        <v>1358.4503173999999</v>
      </c>
      <c r="I1670">
        <v>1303.2109375</v>
      </c>
      <c r="J1670">
        <v>1290.1428223</v>
      </c>
      <c r="K1670">
        <v>1650</v>
      </c>
      <c r="L1670">
        <v>0</v>
      </c>
      <c r="M1670">
        <v>0</v>
      </c>
      <c r="N1670">
        <v>1650</v>
      </c>
    </row>
    <row r="1671" spans="1:14" x14ac:dyDescent="0.25">
      <c r="A1671">
        <v>1469.2752499999999</v>
      </c>
      <c r="B1671" s="1">
        <f>DATE(2014,5,9) + TIME(6,36,21)</f>
        <v>41768.275243055556</v>
      </c>
      <c r="C1671">
        <v>80</v>
      </c>
      <c r="D1671">
        <v>79.940101623999993</v>
      </c>
      <c r="E1671">
        <v>50</v>
      </c>
      <c r="F1671">
        <v>49.386821746999999</v>
      </c>
      <c r="G1671">
        <v>1369.1086425999999</v>
      </c>
      <c r="H1671">
        <v>1358.4177245999999</v>
      </c>
      <c r="I1671">
        <v>1303.2081298999999</v>
      </c>
      <c r="J1671">
        <v>1290.1386719</v>
      </c>
      <c r="K1671">
        <v>1650</v>
      </c>
      <c r="L1671">
        <v>0</v>
      </c>
      <c r="M1671">
        <v>0</v>
      </c>
      <c r="N1671">
        <v>1650</v>
      </c>
    </row>
    <row r="1672" spans="1:14" x14ac:dyDescent="0.25">
      <c r="A1672">
        <v>1469.6045140000001</v>
      </c>
      <c r="B1672" s="1">
        <f>DATE(2014,5,9) + TIME(14,30,30)</f>
        <v>41768.604513888888</v>
      </c>
      <c r="C1672">
        <v>80</v>
      </c>
      <c r="D1672">
        <v>79.941749572999996</v>
      </c>
      <c r="E1672">
        <v>50</v>
      </c>
      <c r="F1672">
        <v>49.367607116999999</v>
      </c>
      <c r="G1672">
        <v>1369.065918</v>
      </c>
      <c r="H1672">
        <v>1358.3848877</v>
      </c>
      <c r="I1672">
        <v>1303.2052002</v>
      </c>
      <c r="J1672">
        <v>1290.1343993999999</v>
      </c>
      <c r="K1672">
        <v>1650</v>
      </c>
      <c r="L1672">
        <v>0</v>
      </c>
      <c r="M1672">
        <v>0</v>
      </c>
      <c r="N1672">
        <v>1650</v>
      </c>
    </row>
    <row r="1673" spans="1:14" x14ac:dyDescent="0.25">
      <c r="A1673">
        <v>1469.9480679999999</v>
      </c>
      <c r="B1673" s="1">
        <f>DATE(2014,5,9) + TIME(22,45,13)</f>
        <v>41768.948067129626</v>
      </c>
      <c r="C1673">
        <v>80</v>
      </c>
      <c r="D1673">
        <v>79.943084717000005</v>
      </c>
      <c r="E1673">
        <v>50</v>
      </c>
      <c r="F1673">
        <v>49.347702026</v>
      </c>
      <c r="G1673">
        <v>1369.0229492000001</v>
      </c>
      <c r="H1673">
        <v>1358.3519286999999</v>
      </c>
      <c r="I1673">
        <v>1303.2021483999999</v>
      </c>
      <c r="J1673">
        <v>1290.1300048999999</v>
      </c>
      <c r="K1673">
        <v>1650</v>
      </c>
      <c r="L1673">
        <v>0</v>
      </c>
      <c r="M1673">
        <v>0</v>
      </c>
      <c r="N1673">
        <v>1650</v>
      </c>
    </row>
    <row r="1674" spans="1:14" x14ac:dyDescent="0.25">
      <c r="A1674">
        <v>1470.30096</v>
      </c>
      <c r="B1674" s="1">
        <f>DATE(2014,5,10) + TIME(7,13,22)</f>
        <v>41769.300949074073</v>
      </c>
      <c r="C1674">
        <v>80</v>
      </c>
      <c r="D1674">
        <v>79.944145203000005</v>
      </c>
      <c r="E1674">
        <v>50</v>
      </c>
      <c r="F1674">
        <v>49.327327728</v>
      </c>
      <c r="G1674">
        <v>1368.9793701000001</v>
      </c>
      <c r="H1674">
        <v>1358.3187256000001</v>
      </c>
      <c r="I1674">
        <v>1303.1989745999999</v>
      </c>
      <c r="J1674">
        <v>1290.1252440999999</v>
      </c>
      <c r="K1674">
        <v>1650</v>
      </c>
      <c r="L1674">
        <v>0</v>
      </c>
      <c r="M1674">
        <v>0</v>
      </c>
      <c r="N1674">
        <v>1650</v>
      </c>
    </row>
    <row r="1675" spans="1:14" x14ac:dyDescent="0.25">
      <c r="A1675">
        <v>1470.658447</v>
      </c>
      <c r="B1675" s="1">
        <f>DATE(2014,5,10) + TIME(15,48,9)</f>
        <v>41769.658437500002</v>
      </c>
      <c r="C1675">
        <v>80</v>
      </c>
      <c r="D1675">
        <v>79.944976807000003</v>
      </c>
      <c r="E1675">
        <v>50</v>
      </c>
      <c r="F1675">
        <v>49.306705475000001</v>
      </c>
      <c r="G1675">
        <v>1368.9360352000001</v>
      </c>
      <c r="H1675">
        <v>1358.2855225000001</v>
      </c>
      <c r="I1675">
        <v>1303.1955565999999</v>
      </c>
      <c r="J1675">
        <v>1290.1204834</v>
      </c>
      <c r="K1675">
        <v>1650</v>
      </c>
      <c r="L1675">
        <v>0</v>
      </c>
      <c r="M1675">
        <v>0</v>
      </c>
      <c r="N1675">
        <v>1650</v>
      </c>
    </row>
    <row r="1676" spans="1:14" x14ac:dyDescent="0.25">
      <c r="A1676">
        <v>1471.0210709999999</v>
      </c>
      <c r="B1676" s="1">
        <f>DATE(2014,5,11) + TIME(0,30,20)</f>
        <v>41770.021064814813</v>
      </c>
      <c r="C1676">
        <v>80</v>
      </c>
      <c r="D1676">
        <v>79.945632935000006</v>
      </c>
      <c r="E1676">
        <v>50</v>
      </c>
      <c r="F1676">
        <v>49.285831451</v>
      </c>
      <c r="G1676">
        <v>1368.8935547000001</v>
      </c>
      <c r="H1676">
        <v>1358.2531738</v>
      </c>
      <c r="I1676">
        <v>1303.1922606999999</v>
      </c>
      <c r="J1676">
        <v>1290.1156006000001</v>
      </c>
      <c r="K1676">
        <v>1650</v>
      </c>
      <c r="L1676">
        <v>0</v>
      </c>
      <c r="M1676">
        <v>0</v>
      </c>
      <c r="N1676">
        <v>1650</v>
      </c>
    </row>
    <row r="1677" spans="1:14" x14ac:dyDescent="0.25">
      <c r="A1677">
        <v>1471.3877230000001</v>
      </c>
      <c r="B1677" s="1">
        <f>DATE(2014,5,11) + TIME(9,18,19)</f>
        <v>41770.387719907405</v>
      </c>
      <c r="C1677">
        <v>80</v>
      </c>
      <c r="D1677">
        <v>79.946159363000007</v>
      </c>
      <c r="E1677">
        <v>50</v>
      </c>
      <c r="F1677">
        <v>49.264770507999998</v>
      </c>
      <c r="G1677">
        <v>1368.8516846</v>
      </c>
      <c r="H1677">
        <v>1358.2211914</v>
      </c>
      <c r="I1677">
        <v>1303.1887207</v>
      </c>
      <c r="J1677">
        <v>1290.1105957</v>
      </c>
      <c r="K1677">
        <v>1650</v>
      </c>
      <c r="L1677">
        <v>0</v>
      </c>
      <c r="M1677">
        <v>0</v>
      </c>
      <c r="N1677">
        <v>1650</v>
      </c>
    </row>
    <row r="1678" spans="1:14" x14ac:dyDescent="0.25">
      <c r="A1678">
        <v>1471.759397</v>
      </c>
      <c r="B1678" s="1">
        <f>DATE(2014,5,11) + TIME(18,13,31)</f>
        <v>41770.759386574071</v>
      </c>
      <c r="C1678">
        <v>80</v>
      </c>
      <c r="D1678">
        <v>79.946578978999995</v>
      </c>
      <c r="E1678">
        <v>50</v>
      </c>
      <c r="F1678">
        <v>49.243492126</v>
      </c>
      <c r="G1678">
        <v>1368.8105469</v>
      </c>
      <c r="H1678">
        <v>1358.1899414</v>
      </c>
      <c r="I1678">
        <v>1303.1853027</v>
      </c>
      <c r="J1678">
        <v>1290.1054687999999</v>
      </c>
      <c r="K1678">
        <v>1650</v>
      </c>
      <c r="L1678">
        <v>0</v>
      </c>
      <c r="M1678">
        <v>0</v>
      </c>
      <c r="N1678">
        <v>1650</v>
      </c>
    </row>
    <row r="1679" spans="1:14" x14ac:dyDescent="0.25">
      <c r="A1679">
        <v>1472.1370899999999</v>
      </c>
      <c r="B1679" s="1">
        <f>DATE(2014,5,12) + TIME(3,17,24)</f>
        <v>41771.137083333335</v>
      </c>
      <c r="C1679">
        <v>80</v>
      </c>
      <c r="D1679">
        <v>79.946914672999995</v>
      </c>
      <c r="E1679">
        <v>50</v>
      </c>
      <c r="F1679">
        <v>49.221969604000002</v>
      </c>
      <c r="G1679">
        <v>1368.7700195</v>
      </c>
      <c r="H1679">
        <v>1358.1590576000001</v>
      </c>
      <c r="I1679">
        <v>1303.1817627</v>
      </c>
      <c r="J1679">
        <v>1290.1003418</v>
      </c>
      <c r="K1679">
        <v>1650</v>
      </c>
      <c r="L1679">
        <v>0</v>
      </c>
      <c r="M1679">
        <v>0</v>
      </c>
      <c r="N1679">
        <v>1650</v>
      </c>
    </row>
    <row r="1680" spans="1:14" x14ac:dyDescent="0.25">
      <c r="A1680">
        <v>1472.5218319999999</v>
      </c>
      <c r="B1680" s="1">
        <f>DATE(2014,5,12) + TIME(12,31,26)</f>
        <v>41771.521828703706</v>
      </c>
      <c r="C1680">
        <v>80</v>
      </c>
      <c r="D1680">
        <v>79.947181701999995</v>
      </c>
      <c r="E1680">
        <v>50</v>
      </c>
      <c r="F1680">
        <v>49.200157165999997</v>
      </c>
      <c r="G1680">
        <v>1368.7298584</v>
      </c>
      <c r="H1680">
        <v>1358.1286620999999</v>
      </c>
      <c r="I1680">
        <v>1303.1781006000001</v>
      </c>
      <c r="J1680">
        <v>1290.0950928</v>
      </c>
      <c r="K1680">
        <v>1650</v>
      </c>
      <c r="L1680">
        <v>0</v>
      </c>
      <c r="M1680">
        <v>0</v>
      </c>
      <c r="N1680">
        <v>1650</v>
      </c>
    </row>
    <row r="1681" spans="1:14" x14ac:dyDescent="0.25">
      <c r="A1681">
        <v>1472.914708</v>
      </c>
      <c r="B1681" s="1">
        <f>DATE(2014,5,12) + TIME(21,57,10)</f>
        <v>41771.914699074077</v>
      </c>
      <c r="C1681">
        <v>80</v>
      </c>
      <c r="D1681">
        <v>79.947402953999998</v>
      </c>
      <c r="E1681">
        <v>50</v>
      </c>
      <c r="F1681">
        <v>49.178012848000002</v>
      </c>
      <c r="G1681">
        <v>1368.6901855000001</v>
      </c>
      <c r="H1681">
        <v>1358.0986327999999</v>
      </c>
      <c r="I1681">
        <v>1303.1744385</v>
      </c>
      <c r="J1681">
        <v>1290.0897216999999</v>
      </c>
      <c r="K1681">
        <v>1650</v>
      </c>
      <c r="L1681">
        <v>0</v>
      </c>
      <c r="M1681">
        <v>0</v>
      </c>
      <c r="N1681">
        <v>1650</v>
      </c>
    </row>
    <row r="1682" spans="1:14" x14ac:dyDescent="0.25">
      <c r="A1682">
        <v>1473.3168740000001</v>
      </c>
      <c r="B1682" s="1">
        <f>DATE(2014,5,13) + TIME(7,36,17)</f>
        <v>41772.316863425927</v>
      </c>
      <c r="C1682">
        <v>80</v>
      </c>
      <c r="D1682">
        <v>79.947578429999993</v>
      </c>
      <c r="E1682">
        <v>50</v>
      </c>
      <c r="F1682">
        <v>49.155490874999998</v>
      </c>
      <c r="G1682">
        <v>1368.6506348</v>
      </c>
      <c r="H1682">
        <v>1358.0687256000001</v>
      </c>
      <c r="I1682">
        <v>1303.1706543</v>
      </c>
      <c r="J1682">
        <v>1290.0842285000001</v>
      </c>
      <c r="K1682">
        <v>1650</v>
      </c>
      <c r="L1682">
        <v>0</v>
      </c>
      <c r="M1682">
        <v>0</v>
      </c>
      <c r="N1682">
        <v>1650</v>
      </c>
    </row>
    <row r="1683" spans="1:14" x14ac:dyDescent="0.25">
      <c r="A1683">
        <v>1473.7295859999999</v>
      </c>
      <c r="B1683" s="1">
        <f>DATE(2014,5,13) + TIME(17,30,36)</f>
        <v>41772.729583333334</v>
      </c>
      <c r="C1683">
        <v>80</v>
      </c>
      <c r="D1683">
        <v>79.947723389000004</v>
      </c>
      <c r="E1683">
        <v>50</v>
      </c>
      <c r="F1683">
        <v>49.132534026999998</v>
      </c>
      <c r="G1683">
        <v>1368.6112060999999</v>
      </c>
      <c r="H1683">
        <v>1358.0389404</v>
      </c>
      <c r="I1683">
        <v>1303.1667480000001</v>
      </c>
      <c r="J1683">
        <v>1290.0784911999999</v>
      </c>
      <c r="K1683">
        <v>1650</v>
      </c>
      <c r="L1683">
        <v>0</v>
      </c>
      <c r="M1683">
        <v>0</v>
      </c>
      <c r="N1683">
        <v>1650</v>
      </c>
    </row>
    <row r="1684" spans="1:14" x14ac:dyDescent="0.25">
      <c r="A1684">
        <v>1474.154221</v>
      </c>
      <c r="B1684" s="1">
        <f>DATE(2014,5,14) + TIME(3,42,4)</f>
        <v>41773.15421296296</v>
      </c>
      <c r="C1684">
        <v>80</v>
      </c>
      <c r="D1684">
        <v>79.947845459000007</v>
      </c>
      <c r="E1684">
        <v>50</v>
      </c>
      <c r="F1684">
        <v>49.109085082999997</v>
      </c>
      <c r="G1684">
        <v>1368.5717772999999</v>
      </c>
      <c r="H1684">
        <v>1358.0091553</v>
      </c>
      <c r="I1684">
        <v>1303.1627197</v>
      </c>
      <c r="J1684">
        <v>1290.0727539</v>
      </c>
      <c r="K1684">
        <v>1650</v>
      </c>
      <c r="L1684">
        <v>0</v>
      </c>
      <c r="M1684">
        <v>0</v>
      </c>
      <c r="N1684">
        <v>1650</v>
      </c>
    </row>
    <row r="1685" spans="1:14" x14ac:dyDescent="0.25">
      <c r="A1685">
        <v>1474.592459</v>
      </c>
      <c r="B1685" s="1">
        <f>DATE(2014,5,14) + TIME(14,13,8)</f>
        <v>41773.592453703706</v>
      </c>
      <c r="C1685">
        <v>80</v>
      </c>
      <c r="D1685">
        <v>79.947937011999997</v>
      </c>
      <c r="E1685">
        <v>50</v>
      </c>
      <c r="F1685">
        <v>49.085067748999997</v>
      </c>
      <c r="G1685">
        <v>1368.5323486</v>
      </c>
      <c r="H1685">
        <v>1357.9793701000001</v>
      </c>
      <c r="I1685">
        <v>1303.1585693</v>
      </c>
      <c r="J1685">
        <v>1290.0666504000001</v>
      </c>
      <c r="K1685">
        <v>1650</v>
      </c>
      <c r="L1685">
        <v>0</v>
      </c>
      <c r="M1685">
        <v>0</v>
      </c>
      <c r="N1685">
        <v>1650</v>
      </c>
    </row>
    <row r="1686" spans="1:14" x14ac:dyDescent="0.25">
      <c r="A1686">
        <v>1475.0460290000001</v>
      </c>
      <c r="B1686" s="1">
        <f>DATE(2014,5,15) + TIME(1,6,16)</f>
        <v>41774.046018518522</v>
      </c>
      <c r="C1686">
        <v>80</v>
      </c>
      <c r="D1686">
        <v>79.948013306000007</v>
      </c>
      <c r="E1686">
        <v>50</v>
      </c>
      <c r="F1686">
        <v>49.060405731000003</v>
      </c>
      <c r="G1686">
        <v>1368.4925536999999</v>
      </c>
      <c r="H1686">
        <v>1357.9494629000001</v>
      </c>
      <c r="I1686">
        <v>1303.1542969</v>
      </c>
      <c r="J1686">
        <v>1290.0604248</v>
      </c>
      <c r="K1686">
        <v>1650</v>
      </c>
      <c r="L1686">
        <v>0</v>
      </c>
      <c r="M1686">
        <v>0</v>
      </c>
      <c r="N1686">
        <v>1650</v>
      </c>
    </row>
    <row r="1687" spans="1:14" x14ac:dyDescent="0.25">
      <c r="A1687">
        <v>1475.5137999999999</v>
      </c>
      <c r="B1687" s="1">
        <f>DATE(2014,5,15) + TIME(12,19,52)</f>
        <v>41774.513796296298</v>
      </c>
      <c r="C1687">
        <v>80</v>
      </c>
      <c r="D1687">
        <v>79.948081970000004</v>
      </c>
      <c r="E1687">
        <v>50</v>
      </c>
      <c r="F1687">
        <v>49.035133362000003</v>
      </c>
      <c r="G1687">
        <v>1368.4525146000001</v>
      </c>
      <c r="H1687">
        <v>1357.9193115</v>
      </c>
      <c r="I1687">
        <v>1303.1497803</v>
      </c>
      <c r="J1687">
        <v>1290.0538329999999</v>
      </c>
      <c r="K1687">
        <v>1650</v>
      </c>
      <c r="L1687">
        <v>0</v>
      </c>
      <c r="M1687">
        <v>0</v>
      </c>
      <c r="N1687">
        <v>1650</v>
      </c>
    </row>
    <row r="1688" spans="1:14" x14ac:dyDescent="0.25">
      <c r="A1688">
        <v>1475.9937279999999</v>
      </c>
      <c r="B1688" s="1">
        <f>DATE(2014,5,15) + TIME(23,50,58)</f>
        <v>41774.993726851855</v>
      </c>
      <c r="C1688">
        <v>80</v>
      </c>
      <c r="D1688">
        <v>79.948127747000001</v>
      </c>
      <c r="E1688">
        <v>50</v>
      </c>
      <c r="F1688">
        <v>49.009330749999997</v>
      </c>
      <c r="G1688">
        <v>1368.4121094</v>
      </c>
      <c r="H1688">
        <v>1357.8891602000001</v>
      </c>
      <c r="I1688">
        <v>1303.1451416</v>
      </c>
      <c r="J1688">
        <v>1290.0471190999999</v>
      </c>
      <c r="K1688">
        <v>1650</v>
      </c>
      <c r="L1688">
        <v>0</v>
      </c>
      <c r="M1688">
        <v>0</v>
      </c>
      <c r="N1688">
        <v>1650</v>
      </c>
    </row>
    <row r="1689" spans="1:14" x14ac:dyDescent="0.25">
      <c r="A1689">
        <v>1476.4873339999999</v>
      </c>
      <c r="B1689" s="1">
        <f>DATE(2014,5,16) + TIME(11,41,45)</f>
        <v>41775.487326388888</v>
      </c>
      <c r="C1689">
        <v>80</v>
      </c>
      <c r="D1689">
        <v>79.948158264</v>
      </c>
      <c r="E1689">
        <v>50</v>
      </c>
      <c r="F1689">
        <v>48.982948303000001</v>
      </c>
      <c r="G1689">
        <v>1368.3718262</v>
      </c>
      <c r="H1689">
        <v>1357.8588867000001</v>
      </c>
      <c r="I1689">
        <v>1303.1403809000001</v>
      </c>
      <c r="J1689">
        <v>1290.0401611</v>
      </c>
      <c r="K1689">
        <v>1650</v>
      </c>
      <c r="L1689">
        <v>0</v>
      </c>
      <c r="M1689">
        <v>0</v>
      </c>
      <c r="N1689">
        <v>1650</v>
      </c>
    </row>
    <row r="1690" spans="1:14" x14ac:dyDescent="0.25">
      <c r="A1690">
        <v>1476.9918700000001</v>
      </c>
      <c r="B1690" s="1">
        <f>DATE(2014,5,16) + TIME(23,48,17)</f>
        <v>41775.991863425923</v>
      </c>
      <c r="C1690">
        <v>80</v>
      </c>
      <c r="D1690">
        <v>79.948188782000003</v>
      </c>
      <c r="E1690">
        <v>50</v>
      </c>
      <c r="F1690">
        <v>48.95608902</v>
      </c>
      <c r="G1690">
        <v>1368.3312988</v>
      </c>
      <c r="H1690">
        <v>1357.8286132999999</v>
      </c>
      <c r="I1690">
        <v>1303.1354980000001</v>
      </c>
      <c r="J1690">
        <v>1290.0329589999999</v>
      </c>
      <c r="K1690">
        <v>1650</v>
      </c>
      <c r="L1690">
        <v>0</v>
      </c>
      <c r="M1690">
        <v>0</v>
      </c>
      <c r="N1690">
        <v>1650</v>
      </c>
    </row>
    <row r="1691" spans="1:14" x14ac:dyDescent="0.25">
      <c r="A1691">
        <v>1477.5081130000001</v>
      </c>
      <c r="B1691" s="1">
        <f>DATE(2014,5,17) + TIME(12,11,41)</f>
        <v>41776.508113425924</v>
      </c>
      <c r="C1691">
        <v>80</v>
      </c>
      <c r="D1691">
        <v>79.948204040999997</v>
      </c>
      <c r="E1691">
        <v>50</v>
      </c>
      <c r="F1691">
        <v>48.928737640000001</v>
      </c>
      <c r="G1691">
        <v>1368.2910156</v>
      </c>
      <c r="H1691">
        <v>1357.7983397999999</v>
      </c>
      <c r="I1691">
        <v>1303.1303711</v>
      </c>
      <c r="J1691">
        <v>1290.0255127</v>
      </c>
      <c r="K1691">
        <v>1650</v>
      </c>
      <c r="L1691">
        <v>0</v>
      </c>
      <c r="M1691">
        <v>0</v>
      </c>
      <c r="N1691">
        <v>1650</v>
      </c>
    </row>
    <row r="1692" spans="1:14" x14ac:dyDescent="0.25">
      <c r="A1692">
        <v>1478.0373870000001</v>
      </c>
      <c r="B1692" s="1">
        <f>DATE(2014,5,18) + TIME(0,53,50)</f>
        <v>41777.03738425926</v>
      </c>
      <c r="C1692">
        <v>80</v>
      </c>
      <c r="D1692">
        <v>79.948211670000006</v>
      </c>
      <c r="E1692">
        <v>50</v>
      </c>
      <c r="F1692">
        <v>48.900856017999999</v>
      </c>
      <c r="G1692">
        <v>1368.2507324000001</v>
      </c>
      <c r="H1692">
        <v>1357.7683105000001</v>
      </c>
      <c r="I1692">
        <v>1303.1251221</v>
      </c>
      <c r="J1692">
        <v>1290.0179443</v>
      </c>
      <c r="K1692">
        <v>1650</v>
      </c>
      <c r="L1692">
        <v>0</v>
      </c>
      <c r="M1692">
        <v>0</v>
      </c>
      <c r="N1692">
        <v>1650</v>
      </c>
    </row>
    <row r="1693" spans="1:14" x14ac:dyDescent="0.25">
      <c r="A1693">
        <v>1478.5811289999999</v>
      </c>
      <c r="B1693" s="1">
        <f>DATE(2014,5,18) + TIME(13,56,49)</f>
        <v>41777.581122685187</v>
      </c>
      <c r="C1693">
        <v>80</v>
      </c>
      <c r="D1693">
        <v>79.948211670000006</v>
      </c>
      <c r="E1693">
        <v>50</v>
      </c>
      <c r="F1693">
        <v>48.872398376</v>
      </c>
      <c r="G1693">
        <v>1368.2104492000001</v>
      </c>
      <c r="H1693">
        <v>1357.7382812000001</v>
      </c>
      <c r="I1693">
        <v>1303.119751</v>
      </c>
      <c r="J1693">
        <v>1290.0100098</v>
      </c>
      <c r="K1693">
        <v>1650</v>
      </c>
      <c r="L1693">
        <v>0</v>
      </c>
      <c r="M1693">
        <v>0</v>
      </c>
      <c r="N1693">
        <v>1650</v>
      </c>
    </row>
    <row r="1694" spans="1:14" x14ac:dyDescent="0.25">
      <c r="A1694">
        <v>1479.133544</v>
      </c>
      <c r="B1694" s="1">
        <f>DATE(2014,5,19) + TIME(3,12,18)</f>
        <v>41778.13354166667</v>
      </c>
      <c r="C1694">
        <v>80</v>
      </c>
      <c r="D1694">
        <v>79.948211670000006</v>
      </c>
      <c r="E1694">
        <v>50</v>
      </c>
      <c r="F1694">
        <v>48.843563080000003</v>
      </c>
      <c r="G1694">
        <v>1368.1700439000001</v>
      </c>
      <c r="H1694">
        <v>1357.7081298999999</v>
      </c>
      <c r="I1694">
        <v>1303.1141356999999</v>
      </c>
      <c r="J1694">
        <v>1290.0018310999999</v>
      </c>
      <c r="K1694">
        <v>1650</v>
      </c>
      <c r="L1694">
        <v>0</v>
      </c>
      <c r="M1694">
        <v>0</v>
      </c>
      <c r="N1694">
        <v>1650</v>
      </c>
    </row>
    <row r="1695" spans="1:14" x14ac:dyDescent="0.25">
      <c r="A1695">
        <v>1479.6936129999999</v>
      </c>
      <c r="B1695" s="1">
        <f>DATE(2014,5,19) + TIME(16,38,48)</f>
        <v>41778.693611111114</v>
      </c>
      <c r="C1695">
        <v>80</v>
      </c>
      <c r="D1695">
        <v>79.948204040999997</v>
      </c>
      <c r="E1695">
        <v>50</v>
      </c>
      <c r="F1695">
        <v>48.814422606999997</v>
      </c>
      <c r="G1695">
        <v>1368.1300048999999</v>
      </c>
      <c r="H1695">
        <v>1357.6782227000001</v>
      </c>
      <c r="I1695">
        <v>1303.1083983999999</v>
      </c>
      <c r="J1695">
        <v>1289.9935303</v>
      </c>
      <c r="K1695">
        <v>1650</v>
      </c>
      <c r="L1695">
        <v>0</v>
      </c>
      <c r="M1695">
        <v>0</v>
      </c>
      <c r="N1695">
        <v>1650</v>
      </c>
    </row>
    <row r="1696" spans="1:14" x14ac:dyDescent="0.25">
      <c r="A1696">
        <v>1480.263019</v>
      </c>
      <c r="B1696" s="1">
        <f>DATE(2014,5,20) + TIME(6,18,44)</f>
        <v>41779.263009259259</v>
      </c>
      <c r="C1696">
        <v>80</v>
      </c>
      <c r="D1696">
        <v>79.948196410999998</v>
      </c>
      <c r="E1696">
        <v>50</v>
      </c>
      <c r="F1696">
        <v>48.784934997999997</v>
      </c>
      <c r="G1696">
        <v>1368.090332</v>
      </c>
      <c r="H1696">
        <v>1357.6486815999999</v>
      </c>
      <c r="I1696">
        <v>1303.1025391000001</v>
      </c>
      <c r="J1696">
        <v>1289.9849853999999</v>
      </c>
      <c r="K1696">
        <v>1650</v>
      </c>
      <c r="L1696">
        <v>0</v>
      </c>
      <c r="M1696">
        <v>0</v>
      </c>
      <c r="N1696">
        <v>1650</v>
      </c>
    </row>
    <row r="1697" spans="1:14" x14ac:dyDescent="0.25">
      <c r="A1697">
        <v>1480.8435010000001</v>
      </c>
      <c r="B1697" s="1">
        <f>DATE(2014,5,20) + TIME(20,14,38)</f>
        <v>41779.843495370369</v>
      </c>
      <c r="C1697">
        <v>80</v>
      </c>
      <c r="D1697">
        <v>79.948181152000004</v>
      </c>
      <c r="E1697">
        <v>50</v>
      </c>
      <c r="F1697">
        <v>48.755050658999998</v>
      </c>
      <c r="G1697">
        <v>1368.0509033000001</v>
      </c>
      <c r="H1697">
        <v>1357.6193848</v>
      </c>
      <c r="I1697">
        <v>1303.0965576000001</v>
      </c>
      <c r="J1697">
        <v>1289.9761963000001</v>
      </c>
      <c r="K1697">
        <v>1650</v>
      </c>
      <c r="L1697">
        <v>0</v>
      </c>
      <c r="M1697">
        <v>0</v>
      </c>
      <c r="N1697">
        <v>1650</v>
      </c>
    </row>
    <row r="1698" spans="1:14" x14ac:dyDescent="0.25">
      <c r="A1698">
        <v>1481.4368979999999</v>
      </c>
      <c r="B1698" s="1">
        <f>DATE(2014,5,21) + TIME(10,29,8)</f>
        <v>41780.436898148146</v>
      </c>
      <c r="C1698">
        <v>80</v>
      </c>
      <c r="D1698">
        <v>79.948165893999999</v>
      </c>
      <c r="E1698">
        <v>50</v>
      </c>
      <c r="F1698">
        <v>48.724712371999999</v>
      </c>
      <c r="G1698">
        <v>1368.0117187999999</v>
      </c>
      <c r="H1698">
        <v>1357.5902100000001</v>
      </c>
      <c r="I1698">
        <v>1303.090332</v>
      </c>
      <c r="J1698">
        <v>1289.9672852000001</v>
      </c>
      <c r="K1698">
        <v>1650</v>
      </c>
      <c r="L1698">
        <v>0</v>
      </c>
      <c r="M1698">
        <v>0</v>
      </c>
      <c r="N1698">
        <v>1650</v>
      </c>
    </row>
    <row r="1699" spans="1:14" x14ac:dyDescent="0.25">
      <c r="A1699">
        <v>1482.0403209999999</v>
      </c>
      <c r="B1699" s="1">
        <f>DATE(2014,5,22) + TIME(0,58,3)</f>
        <v>41781.040312500001</v>
      </c>
      <c r="C1699">
        <v>80</v>
      </c>
      <c r="D1699">
        <v>79.948143005000006</v>
      </c>
      <c r="E1699">
        <v>50</v>
      </c>
      <c r="F1699">
        <v>48.694004059000001</v>
      </c>
      <c r="G1699">
        <v>1367.9725341999999</v>
      </c>
      <c r="H1699">
        <v>1357.5610352000001</v>
      </c>
      <c r="I1699">
        <v>1303.0839844</v>
      </c>
      <c r="J1699">
        <v>1289.9580077999999</v>
      </c>
      <c r="K1699">
        <v>1650</v>
      </c>
      <c r="L1699">
        <v>0</v>
      </c>
      <c r="M1699">
        <v>0</v>
      </c>
      <c r="N1699">
        <v>1650</v>
      </c>
    </row>
    <row r="1700" spans="1:14" x14ac:dyDescent="0.25">
      <c r="A1700">
        <v>1482.654601</v>
      </c>
      <c r="B1700" s="1">
        <f>DATE(2014,5,22) + TIME(15,42,37)</f>
        <v>41781.654594907406</v>
      </c>
      <c r="C1700">
        <v>80</v>
      </c>
      <c r="D1700">
        <v>79.948127747000001</v>
      </c>
      <c r="E1700">
        <v>50</v>
      </c>
      <c r="F1700">
        <v>48.662914276000002</v>
      </c>
      <c r="G1700">
        <v>1367.9334716999999</v>
      </c>
      <c r="H1700">
        <v>1357.5321045000001</v>
      </c>
      <c r="I1700">
        <v>1303.0775146000001</v>
      </c>
      <c r="J1700">
        <v>1289.9484863</v>
      </c>
      <c r="K1700">
        <v>1650</v>
      </c>
      <c r="L1700">
        <v>0</v>
      </c>
      <c r="M1700">
        <v>0</v>
      </c>
      <c r="N1700">
        <v>1650</v>
      </c>
    </row>
    <row r="1701" spans="1:14" x14ac:dyDescent="0.25">
      <c r="A1701">
        <v>1483.28151</v>
      </c>
      <c r="B1701" s="1">
        <f>DATE(2014,5,23) + TIME(6,45,22)</f>
        <v>41782.281504629631</v>
      </c>
      <c r="C1701">
        <v>80</v>
      </c>
      <c r="D1701">
        <v>79.948104857999994</v>
      </c>
      <c r="E1701">
        <v>50</v>
      </c>
      <c r="F1701">
        <v>48.631385803000001</v>
      </c>
      <c r="G1701">
        <v>1367.8946533000001</v>
      </c>
      <c r="H1701">
        <v>1357.5032959</v>
      </c>
      <c r="I1701">
        <v>1303.0709228999999</v>
      </c>
      <c r="J1701">
        <v>1289.9387207</v>
      </c>
      <c r="K1701">
        <v>1650</v>
      </c>
      <c r="L1701">
        <v>0</v>
      </c>
      <c r="M1701">
        <v>0</v>
      </c>
      <c r="N1701">
        <v>1650</v>
      </c>
    </row>
    <row r="1702" spans="1:14" x14ac:dyDescent="0.25">
      <c r="A1702">
        <v>1483.922928</v>
      </c>
      <c r="B1702" s="1">
        <f>DATE(2014,5,23) + TIME(22,9,0)</f>
        <v>41782.92291666667</v>
      </c>
      <c r="C1702">
        <v>80</v>
      </c>
      <c r="D1702">
        <v>79.948081970000004</v>
      </c>
      <c r="E1702">
        <v>50</v>
      </c>
      <c r="F1702">
        <v>48.599353790000002</v>
      </c>
      <c r="G1702">
        <v>1367.855957</v>
      </c>
      <c r="H1702">
        <v>1357.4744873</v>
      </c>
      <c r="I1702">
        <v>1303.0640868999999</v>
      </c>
      <c r="J1702">
        <v>1289.9285889</v>
      </c>
      <c r="K1702">
        <v>1650</v>
      </c>
      <c r="L1702">
        <v>0</v>
      </c>
      <c r="M1702">
        <v>0</v>
      </c>
      <c r="N1702">
        <v>1650</v>
      </c>
    </row>
    <row r="1703" spans="1:14" x14ac:dyDescent="0.25">
      <c r="A1703">
        <v>1484.580905</v>
      </c>
      <c r="B1703" s="1">
        <f>DATE(2014,5,24) + TIME(13,56,30)</f>
        <v>41783.58090277778</v>
      </c>
      <c r="C1703">
        <v>80</v>
      </c>
      <c r="D1703">
        <v>79.948059082</v>
      </c>
      <c r="E1703">
        <v>50</v>
      </c>
      <c r="F1703">
        <v>48.566741942999997</v>
      </c>
      <c r="G1703">
        <v>1367.8171387</v>
      </c>
      <c r="H1703">
        <v>1357.4458007999999</v>
      </c>
      <c r="I1703">
        <v>1303.0570068</v>
      </c>
      <c r="J1703">
        <v>1289.9182129000001</v>
      </c>
      <c r="K1703">
        <v>1650</v>
      </c>
      <c r="L1703">
        <v>0</v>
      </c>
      <c r="M1703">
        <v>0</v>
      </c>
      <c r="N1703">
        <v>1650</v>
      </c>
    </row>
    <row r="1704" spans="1:14" x14ac:dyDescent="0.25">
      <c r="A1704">
        <v>1485.257697</v>
      </c>
      <c r="B1704" s="1">
        <f>DATE(2014,5,25) + TIME(6,11,5)</f>
        <v>41784.257696759261</v>
      </c>
      <c r="C1704">
        <v>80</v>
      </c>
      <c r="D1704">
        <v>79.948036193999997</v>
      </c>
      <c r="E1704">
        <v>50</v>
      </c>
      <c r="F1704">
        <v>48.533466339</v>
      </c>
      <c r="G1704">
        <v>1367.7781981999999</v>
      </c>
      <c r="H1704">
        <v>1357.4168701000001</v>
      </c>
      <c r="I1704">
        <v>1303.0496826000001</v>
      </c>
      <c r="J1704">
        <v>1289.9074707</v>
      </c>
      <c r="K1704">
        <v>1650</v>
      </c>
      <c r="L1704">
        <v>0</v>
      </c>
      <c r="M1704">
        <v>0</v>
      </c>
      <c r="N1704">
        <v>1650</v>
      </c>
    </row>
    <row r="1705" spans="1:14" x14ac:dyDescent="0.25">
      <c r="A1705">
        <v>1485.9558119999999</v>
      </c>
      <c r="B1705" s="1">
        <f>DATE(2014,5,25) + TIME(22,56,22)</f>
        <v>41784.955810185187</v>
      </c>
      <c r="C1705">
        <v>80</v>
      </c>
      <c r="D1705">
        <v>79.948013306000007</v>
      </c>
      <c r="E1705">
        <v>50</v>
      </c>
      <c r="F1705">
        <v>48.499420166</v>
      </c>
      <c r="G1705">
        <v>1367.7390137</v>
      </c>
      <c r="H1705">
        <v>1357.3878173999999</v>
      </c>
      <c r="I1705">
        <v>1303.0421143000001</v>
      </c>
      <c r="J1705">
        <v>1289.8962402</v>
      </c>
      <c r="K1705">
        <v>1650</v>
      </c>
      <c r="L1705">
        <v>0</v>
      </c>
      <c r="M1705">
        <v>0</v>
      </c>
      <c r="N1705">
        <v>1650</v>
      </c>
    </row>
    <row r="1706" spans="1:14" x14ac:dyDescent="0.25">
      <c r="A1706">
        <v>1486.663699</v>
      </c>
      <c r="B1706" s="1">
        <f>DATE(2014,5,26) + TIME(15,55,43)</f>
        <v>41785.66369212963</v>
      </c>
      <c r="C1706">
        <v>80</v>
      </c>
      <c r="D1706">
        <v>79.947990417</v>
      </c>
      <c r="E1706">
        <v>50</v>
      </c>
      <c r="F1706">
        <v>48.464942932</v>
      </c>
      <c r="G1706">
        <v>1367.6993408000001</v>
      </c>
      <c r="H1706">
        <v>1357.3585204999999</v>
      </c>
      <c r="I1706">
        <v>1303.0341797000001</v>
      </c>
      <c r="J1706">
        <v>1289.8845214999999</v>
      </c>
      <c r="K1706">
        <v>1650</v>
      </c>
      <c r="L1706">
        <v>0</v>
      </c>
      <c r="M1706">
        <v>0</v>
      </c>
      <c r="N1706">
        <v>1650</v>
      </c>
    </row>
    <row r="1707" spans="1:14" x14ac:dyDescent="0.25">
      <c r="A1707">
        <v>1487.383122</v>
      </c>
      <c r="B1707" s="1">
        <f>DATE(2014,5,27) + TIME(9,11,41)</f>
        <v>41786.383113425924</v>
      </c>
      <c r="C1707">
        <v>80</v>
      </c>
      <c r="D1707">
        <v>79.947967528999996</v>
      </c>
      <c r="E1707">
        <v>50</v>
      </c>
      <c r="F1707">
        <v>48.430034636999999</v>
      </c>
      <c r="G1707">
        <v>1367.6600341999999</v>
      </c>
      <c r="H1707">
        <v>1357.3293457</v>
      </c>
      <c r="I1707">
        <v>1303.0261230000001</v>
      </c>
      <c r="J1707">
        <v>1289.8725586</v>
      </c>
      <c r="K1707">
        <v>1650</v>
      </c>
      <c r="L1707">
        <v>0</v>
      </c>
      <c r="M1707">
        <v>0</v>
      </c>
      <c r="N1707">
        <v>1650</v>
      </c>
    </row>
    <row r="1708" spans="1:14" x14ac:dyDescent="0.25">
      <c r="A1708">
        <v>1488.1126409999999</v>
      </c>
      <c r="B1708" s="1">
        <f>DATE(2014,5,28) + TIME(2,42,12)</f>
        <v>41787.112638888888</v>
      </c>
      <c r="C1708">
        <v>80</v>
      </c>
      <c r="D1708">
        <v>79.947944641000007</v>
      </c>
      <c r="E1708">
        <v>50</v>
      </c>
      <c r="F1708">
        <v>48.394763947000001</v>
      </c>
      <c r="G1708">
        <v>1367.6209716999999</v>
      </c>
      <c r="H1708">
        <v>1357.3004149999999</v>
      </c>
      <c r="I1708">
        <v>1303.0177002</v>
      </c>
      <c r="J1708">
        <v>1289.8602295000001</v>
      </c>
      <c r="K1708">
        <v>1650</v>
      </c>
      <c r="L1708">
        <v>0</v>
      </c>
      <c r="M1708">
        <v>0</v>
      </c>
      <c r="N1708">
        <v>1650</v>
      </c>
    </row>
    <row r="1709" spans="1:14" x14ac:dyDescent="0.25">
      <c r="A1709">
        <v>1488.8511570000001</v>
      </c>
      <c r="B1709" s="1">
        <f>DATE(2014,5,28) + TIME(20,25,39)</f>
        <v>41787.851145833331</v>
      </c>
      <c r="C1709">
        <v>80</v>
      </c>
      <c r="D1709">
        <v>79.947914123999993</v>
      </c>
      <c r="E1709">
        <v>50</v>
      </c>
      <c r="F1709">
        <v>48.359191895000002</v>
      </c>
      <c r="G1709">
        <v>1367.5821533000001</v>
      </c>
      <c r="H1709">
        <v>1357.2716064000001</v>
      </c>
      <c r="I1709">
        <v>1303.0091553</v>
      </c>
      <c r="J1709">
        <v>1289.8475341999999</v>
      </c>
      <c r="K1709">
        <v>1650</v>
      </c>
      <c r="L1709">
        <v>0</v>
      </c>
      <c r="M1709">
        <v>0</v>
      </c>
      <c r="N1709">
        <v>1650</v>
      </c>
    </row>
    <row r="1710" spans="1:14" x14ac:dyDescent="0.25">
      <c r="A1710">
        <v>1489.6009570000001</v>
      </c>
      <c r="B1710" s="1">
        <f>DATE(2014,5,29) + TIME(14,25,22)</f>
        <v>41788.600949074076</v>
      </c>
      <c r="C1710">
        <v>80</v>
      </c>
      <c r="D1710">
        <v>79.947891235</v>
      </c>
      <c r="E1710">
        <v>50</v>
      </c>
      <c r="F1710">
        <v>48.32327652</v>
      </c>
      <c r="G1710">
        <v>1367.5435791</v>
      </c>
      <c r="H1710">
        <v>1357.2431641000001</v>
      </c>
      <c r="I1710">
        <v>1303.0004882999999</v>
      </c>
      <c r="J1710">
        <v>1289.8345947</v>
      </c>
      <c r="K1710">
        <v>1650</v>
      </c>
      <c r="L1710">
        <v>0</v>
      </c>
      <c r="M1710">
        <v>0</v>
      </c>
      <c r="N1710">
        <v>1650</v>
      </c>
    </row>
    <row r="1711" spans="1:14" x14ac:dyDescent="0.25">
      <c r="A1711">
        <v>1490.3643939999999</v>
      </c>
      <c r="B1711" s="1">
        <f>DATE(2014,5,30) + TIME(8,44,43)</f>
        <v>41789.364386574074</v>
      </c>
      <c r="C1711">
        <v>80</v>
      </c>
      <c r="D1711">
        <v>79.947868346999996</v>
      </c>
      <c r="E1711">
        <v>50</v>
      </c>
      <c r="F1711">
        <v>48.286952972000002</v>
      </c>
      <c r="G1711">
        <v>1367.505249</v>
      </c>
      <c r="H1711">
        <v>1357.2147216999999</v>
      </c>
      <c r="I1711">
        <v>1302.9915771000001</v>
      </c>
      <c r="J1711">
        <v>1289.8212891000001</v>
      </c>
      <c r="K1711">
        <v>1650</v>
      </c>
      <c r="L1711">
        <v>0</v>
      </c>
      <c r="M1711">
        <v>0</v>
      </c>
      <c r="N1711">
        <v>1650</v>
      </c>
    </row>
    <row r="1712" spans="1:14" x14ac:dyDescent="0.25">
      <c r="A1712">
        <v>1491.143967</v>
      </c>
      <c r="B1712" s="1">
        <f>DATE(2014,5,31) + TIME(3,27,18)</f>
        <v>41790.143958333334</v>
      </c>
      <c r="C1712">
        <v>80</v>
      </c>
      <c r="D1712">
        <v>79.947845459000007</v>
      </c>
      <c r="E1712">
        <v>50</v>
      </c>
      <c r="F1712">
        <v>48.250133513999998</v>
      </c>
      <c r="G1712">
        <v>1367.4670410000001</v>
      </c>
      <c r="H1712">
        <v>1357.1864014</v>
      </c>
      <c r="I1712">
        <v>1302.9822998</v>
      </c>
      <c r="J1712">
        <v>1289.8074951000001</v>
      </c>
      <c r="K1712">
        <v>1650</v>
      </c>
      <c r="L1712">
        <v>0</v>
      </c>
      <c r="M1712">
        <v>0</v>
      </c>
      <c r="N1712">
        <v>1650</v>
      </c>
    </row>
    <row r="1713" spans="1:14" x14ac:dyDescent="0.25">
      <c r="A1713">
        <v>1491.9423529999999</v>
      </c>
      <c r="B1713" s="1">
        <f>DATE(2014,5,31) + TIME(22,36,59)</f>
        <v>41790.942349537036</v>
      </c>
      <c r="C1713">
        <v>80</v>
      </c>
      <c r="D1713">
        <v>79.947822571000003</v>
      </c>
      <c r="E1713">
        <v>50</v>
      </c>
      <c r="F1713">
        <v>48.212718963999997</v>
      </c>
      <c r="G1713">
        <v>1367.4287108999999</v>
      </c>
      <c r="H1713">
        <v>1357.1580810999999</v>
      </c>
      <c r="I1713">
        <v>1302.9727783000001</v>
      </c>
      <c r="J1713">
        <v>1289.7932129000001</v>
      </c>
      <c r="K1713">
        <v>1650</v>
      </c>
      <c r="L1713">
        <v>0</v>
      </c>
      <c r="M1713">
        <v>0</v>
      </c>
      <c r="N1713">
        <v>1650</v>
      </c>
    </row>
    <row r="1714" spans="1:14" x14ac:dyDescent="0.25">
      <c r="A1714">
        <v>1492</v>
      </c>
      <c r="B1714" s="1">
        <f>DATE(2014,6,1) + TIME(0,0,0)</f>
        <v>41791</v>
      </c>
      <c r="C1714">
        <v>80</v>
      </c>
      <c r="D1714">
        <v>79.947814941000004</v>
      </c>
      <c r="E1714">
        <v>50</v>
      </c>
      <c r="F1714">
        <v>48.208480835000003</v>
      </c>
      <c r="G1714">
        <v>1367.3919678</v>
      </c>
      <c r="H1714">
        <v>1357.1311035000001</v>
      </c>
      <c r="I1714">
        <v>1302.9614257999999</v>
      </c>
      <c r="J1714">
        <v>1289.7818603999999</v>
      </c>
      <c r="K1714">
        <v>1650</v>
      </c>
      <c r="L1714">
        <v>0</v>
      </c>
      <c r="M1714">
        <v>0</v>
      </c>
      <c r="N1714">
        <v>1650</v>
      </c>
    </row>
    <row r="1715" spans="1:14" x14ac:dyDescent="0.25">
      <c r="A1715">
        <v>1492.8122820000001</v>
      </c>
      <c r="B1715" s="1">
        <f>DATE(2014,6,1) + TIME(19,29,41)</f>
        <v>41791.812280092592</v>
      </c>
      <c r="C1715">
        <v>80</v>
      </c>
      <c r="D1715">
        <v>79.947799683</v>
      </c>
      <c r="E1715">
        <v>50</v>
      </c>
      <c r="F1715">
        <v>48.171188354000002</v>
      </c>
      <c r="G1715">
        <v>1367.3874512</v>
      </c>
      <c r="H1715">
        <v>1357.1274414</v>
      </c>
      <c r="I1715">
        <v>1302.9621582</v>
      </c>
      <c r="J1715">
        <v>1289.7770995999999</v>
      </c>
      <c r="K1715">
        <v>1650</v>
      </c>
      <c r="L1715">
        <v>0</v>
      </c>
      <c r="M1715">
        <v>0</v>
      </c>
      <c r="N1715">
        <v>1650</v>
      </c>
    </row>
    <row r="1716" spans="1:14" x14ac:dyDescent="0.25">
      <c r="A1716">
        <v>1493.6394339999999</v>
      </c>
      <c r="B1716" s="1">
        <f>DATE(2014,6,2) + TIME(15,20,47)</f>
        <v>41792.639432870368</v>
      </c>
      <c r="C1716">
        <v>80</v>
      </c>
      <c r="D1716">
        <v>79.947776794000006</v>
      </c>
      <c r="E1716">
        <v>50</v>
      </c>
      <c r="F1716">
        <v>48.133178710999999</v>
      </c>
      <c r="G1716">
        <v>1367.3492432</v>
      </c>
      <c r="H1716">
        <v>1357.0991211</v>
      </c>
      <c r="I1716">
        <v>1302.9520264</v>
      </c>
      <c r="J1716">
        <v>1289.7619629000001</v>
      </c>
      <c r="K1716">
        <v>1650</v>
      </c>
      <c r="L1716">
        <v>0</v>
      </c>
      <c r="M1716">
        <v>0</v>
      </c>
      <c r="N1716">
        <v>1650</v>
      </c>
    </row>
    <row r="1717" spans="1:14" x14ac:dyDescent="0.25">
      <c r="A1717">
        <v>1494.482994</v>
      </c>
      <c r="B1717" s="1">
        <f>DATE(2014,6,3) + TIME(11,35,30)</f>
        <v>41793.482986111114</v>
      </c>
      <c r="C1717">
        <v>80</v>
      </c>
      <c r="D1717">
        <v>79.947753906000003</v>
      </c>
      <c r="E1717">
        <v>50</v>
      </c>
      <c r="F1717">
        <v>48.094497681</v>
      </c>
      <c r="G1717">
        <v>1367.3109131000001</v>
      </c>
      <c r="H1717">
        <v>1357.0708007999999</v>
      </c>
      <c r="I1717">
        <v>1302.9415283000001</v>
      </c>
      <c r="J1717">
        <v>1289.7460937999999</v>
      </c>
      <c r="K1717">
        <v>1650</v>
      </c>
      <c r="L1717">
        <v>0</v>
      </c>
      <c r="M1717">
        <v>0</v>
      </c>
      <c r="N1717">
        <v>1650</v>
      </c>
    </row>
    <row r="1718" spans="1:14" x14ac:dyDescent="0.25">
      <c r="A1718">
        <v>1495.3456430000001</v>
      </c>
      <c r="B1718" s="1">
        <f>DATE(2014,6,4) + TIME(8,17,43)</f>
        <v>41794.345636574071</v>
      </c>
      <c r="C1718">
        <v>80</v>
      </c>
      <c r="D1718">
        <v>79.947731017999999</v>
      </c>
      <c r="E1718">
        <v>50</v>
      </c>
      <c r="F1718">
        <v>48.055122375000003</v>
      </c>
      <c r="G1718">
        <v>1367.2727050999999</v>
      </c>
      <c r="H1718">
        <v>1357.0423584</v>
      </c>
      <c r="I1718">
        <v>1302.9306641000001</v>
      </c>
      <c r="J1718">
        <v>1289.7297363</v>
      </c>
      <c r="K1718">
        <v>1650</v>
      </c>
      <c r="L1718">
        <v>0</v>
      </c>
      <c r="M1718">
        <v>0</v>
      </c>
      <c r="N1718">
        <v>1650</v>
      </c>
    </row>
    <row r="1719" spans="1:14" x14ac:dyDescent="0.25">
      <c r="A1719">
        <v>1496.230303</v>
      </c>
      <c r="B1719" s="1">
        <f>DATE(2014,6,5) + TIME(5,31,38)</f>
        <v>41795.230300925927</v>
      </c>
      <c r="C1719">
        <v>80</v>
      </c>
      <c r="D1719">
        <v>79.947708129999995</v>
      </c>
      <c r="E1719">
        <v>50</v>
      </c>
      <c r="F1719">
        <v>48.014995575</v>
      </c>
      <c r="G1719">
        <v>1367.2342529</v>
      </c>
      <c r="H1719">
        <v>1357.0139160000001</v>
      </c>
      <c r="I1719">
        <v>1302.9194336</v>
      </c>
      <c r="J1719">
        <v>1289.7127685999999</v>
      </c>
      <c r="K1719">
        <v>1650</v>
      </c>
      <c r="L1719">
        <v>0</v>
      </c>
      <c r="M1719">
        <v>0</v>
      </c>
      <c r="N1719">
        <v>1650</v>
      </c>
    </row>
    <row r="1720" spans="1:14" x14ac:dyDescent="0.25">
      <c r="A1720">
        <v>1497.1402049999999</v>
      </c>
      <c r="B1720" s="1">
        <f>DATE(2014,6,6) + TIME(3,21,53)</f>
        <v>41796.140196759261</v>
      </c>
      <c r="C1720">
        <v>80</v>
      </c>
      <c r="D1720">
        <v>79.947692871000001</v>
      </c>
      <c r="E1720">
        <v>50</v>
      </c>
      <c r="F1720">
        <v>47.974018096999998</v>
      </c>
      <c r="G1720">
        <v>1367.1955565999999</v>
      </c>
      <c r="H1720">
        <v>1356.9852295000001</v>
      </c>
      <c r="I1720">
        <v>1302.9078368999999</v>
      </c>
      <c r="J1720">
        <v>1289.6950684000001</v>
      </c>
      <c r="K1720">
        <v>1650</v>
      </c>
      <c r="L1720">
        <v>0</v>
      </c>
      <c r="M1720">
        <v>0</v>
      </c>
      <c r="N1720">
        <v>1650</v>
      </c>
    </row>
    <row r="1721" spans="1:14" x14ac:dyDescent="0.25">
      <c r="A1721">
        <v>1498.066607</v>
      </c>
      <c r="B1721" s="1">
        <f>DATE(2014,6,7) + TIME(1,35,54)</f>
        <v>41797.06659722222</v>
      </c>
      <c r="C1721">
        <v>80</v>
      </c>
      <c r="D1721">
        <v>79.947669982999997</v>
      </c>
      <c r="E1721">
        <v>50</v>
      </c>
      <c r="F1721">
        <v>47.932388306</v>
      </c>
      <c r="G1721">
        <v>1367.1564940999999</v>
      </c>
      <c r="H1721">
        <v>1356.9561768000001</v>
      </c>
      <c r="I1721">
        <v>1302.8956298999999</v>
      </c>
      <c r="J1721">
        <v>1289.6765137</v>
      </c>
      <c r="K1721">
        <v>1650</v>
      </c>
      <c r="L1721">
        <v>0</v>
      </c>
      <c r="M1721">
        <v>0</v>
      </c>
      <c r="N1721">
        <v>1650</v>
      </c>
    </row>
    <row r="1722" spans="1:14" x14ac:dyDescent="0.25">
      <c r="A1722">
        <v>1499.0011380000001</v>
      </c>
      <c r="B1722" s="1">
        <f>DATE(2014,6,8) + TIME(0,1,38)</f>
        <v>41798.001134259262</v>
      </c>
      <c r="C1722">
        <v>80</v>
      </c>
      <c r="D1722">
        <v>79.947654724000003</v>
      </c>
      <c r="E1722">
        <v>50</v>
      </c>
      <c r="F1722">
        <v>47.890384674000003</v>
      </c>
      <c r="G1722">
        <v>1367.1175536999999</v>
      </c>
      <c r="H1722">
        <v>1356.9272461</v>
      </c>
      <c r="I1722">
        <v>1302.8830565999999</v>
      </c>
      <c r="J1722">
        <v>1289.6574707</v>
      </c>
      <c r="K1722">
        <v>1650</v>
      </c>
      <c r="L1722">
        <v>0</v>
      </c>
      <c r="M1722">
        <v>0</v>
      </c>
      <c r="N1722">
        <v>1650</v>
      </c>
    </row>
    <row r="1723" spans="1:14" x14ac:dyDescent="0.25">
      <c r="A1723">
        <v>1499.9468340000001</v>
      </c>
      <c r="B1723" s="1">
        <f>DATE(2014,6,8) + TIME(22,43,26)</f>
        <v>41798.946828703702</v>
      </c>
      <c r="C1723">
        <v>80</v>
      </c>
      <c r="D1723">
        <v>79.947631835999999</v>
      </c>
      <c r="E1723">
        <v>50</v>
      </c>
      <c r="F1723">
        <v>47.848022460999999</v>
      </c>
      <c r="G1723">
        <v>1367.0788574000001</v>
      </c>
      <c r="H1723">
        <v>1356.8985596</v>
      </c>
      <c r="I1723">
        <v>1302.8702393000001</v>
      </c>
      <c r="J1723">
        <v>1289.6378173999999</v>
      </c>
      <c r="K1723">
        <v>1650</v>
      </c>
      <c r="L1723">
        <v>0</v>
      </c>
      <c r="M1723">
        <v>0</v>
      </c>
      <c r="N1723">
        <v>1650</v>
      </c>
    </row>
    <row r="1724" spans="1:14" x14ac:dyDescent="0.25">
      <c r="A1724">
        <v>1500.9067399999999</v>
      </c>
      <c r="B1724" s="1">
        <f>DATE(2014,6,9) + TIME(21,45,42)</f>
        <v>41799.906736111108</v>
      </c>
      <c r="C1724">
        <v>80</v>
      </c>
      <c r="D1724">
        <v>79.947616577000005</v>
      </c>
      <c r="E1724">
        <v>50</v>
      </c>
      <c r="F1724">
        <v>47.805267334</v>
      </c>
      <c r="G1724">
        <v>1367.0405272999999</v>
      </c>
      <c r="H1724">
        <v>1356.8699951000001</v>
      </c>
      <c r="I1724">
        <v>1302.8570557</v>
      </c>
      <c r="J1724">
        <v>1289.6175536999999</v>
      </c>
      <c r="K1724">
        <v>1650</v>
      </c>
      <c r="L1724">
        <v>0</v>
      </c>
      <c r="M1724">
        <v>0</v>
      </c>
      <c r="N1724">
        <v>1650</v>
      </c>
    </row>
    <row r="1725" spans="1:14" x14ac:dyDescent="0.25">
      <c r="A1725">
        <v>1501.8840170000001</v>
      </c>
      <c r="B1725" s="1">
        <f>DATE(2014,6,10) + TIME(21,12,59)</f>
        <v>41800.884016203701</v>
      </c>
      <c r="C1725">
        <v>80</v>
      </c>
      <c r="D1725">
        <v>79.947593689000001</v>
      </c>
      <c r="E1725">
        <v>50</v>
      </c>
      <c r="F1725">
        <v>47.762039184999999</v>
      </c>
      <c r="G1725">
        <v>1367.0021973</v>
      </c>
      <c r="H1725">
        <v>1356.8415527</v>
      </c>
      <c r="I1725">
        <v>1302.8435059000001</v>
      </c>
      <c r="J1725">
        <v>1289.5965576000001</v>
      </c>
      <c r="K1725">
        <v>1650</v>
      </c>
      <c r="L1725">
        <v>0</v>
      </c>
      <c r="M1725">
        <v>0</v>
      </c>
      <c r="N1725">
        <v>1650</v>
      </c>
    </row>
    <row r="1726" spans="1:14" x14ac:dyDescent="0.25">
      <c r="A1726">
        <v>1502.882038</v>
      </c>
      <c r="B1726" s="1">
        <f>DATE(2014,6,11) + TIME(21,10,8)</f>
        <v>41801.882037037038</v>
      </c>
      <c r="C1726">
        <v>80</v>
      </c>
      <c r="D1726">
        <v>79.947578429999993</v>
      </c>
      <c r="E1726">
        <v>50</v>
      </c>
      <c r="F1726">
        <v>47.718223571999999</v>
      </c>
      <c r="G1726">
        <v>1366.9639893000001</v>
      </c>
      <c r="H1726">
        <v>1356.8131103999999</v>
      </c>
      <c r="I1726">
        <v>1302.8294678</v>
      </c>
      <c r="J1726">
        <v>1289.5749512</v>
      </c>
      <c r="K1726">
        <v>1650</v>
      </c>
      <c r="L1726">
        <v>0</v>
      </c>
      <c r="M1726">
        <v>0</v>
      </c>
      <c r="N1726">
        <v>1650</v>
      </c>
    </row>
    <row r="1727" spans="1:14" x14ac:dyDescent="0.25">
      <c r="A1727">
        <v>1503.8955779999999</v>
      </c>
      <c r="B1727" s="1">
        <f>DATE(2014,6,12) + TIME(21,29,37)</f>
        <v>41802.895567129628</v>
      </c>
      <c r="C1727">
        <v>80</v>
      </c>
      <c r="D1727">
        <v>79.947563170999999</v>
      </c>
      <c r="E1727">
        <v>50</v>
      </c>
      <c r="F1727">
        <v>47.673919677999997</v>
      </c>
      <c r="G1727">
        <v>1366.9255370999999</v>
      </c>
      <c r="H1727">
        <v>1356.7844238</v>
      </c>
      <c r="I1727">
        <v>1302.8149414</v>
      </c>
      <c r="J1727">
        <v>1289.5524902</v>
      </c>
      <c r="K1727">
        <v>1650</v>
      </c>
      <c r="L1727">
        <v>0</v>
      </c>
      <c r="M1727">
        <v>0</v>
      </c>
      <c r="N1727">
        <v>1650</v>
      </c>
    </row>
    <row r="1728" spans="1:14" x14ac:dyDescent="0.25">
      <c r="A1728">
        <v>1504.927686</v>
      </c>
      <c r="B1728" s="1">
        <f>DATE(2014,6,13) + TIME(22,15,52)</f>
        <v>41803.927685185183</v>
      </c>
      <c r="C1728">
        <v>80</v>
      </c>
      <c r="D1728">
        <v>79.947547912999994</v>
      </c>
      <c r="E1728">
        <v>50</v>
      </c>
      <c r="F1728">
        <v>47.629066467000001</v>
      </c>
      <c r="G1728">
        <v>1366.8873291</v>
      </c>
      <c r="H1728">
        <v>1356.7558594</v>
      </c>
      <c r="I1728">
        <v>1302.7999268000001</v>
      </c>
      <c r="J1728">
        <v>1289.5291748</v>
      </c>
      <c r="K1728">
        <v>1650</v>
      </c>
      <c r="L1728">
        <v>0</v>
      </c>
      <c r="M1728">
        <v>0</v>
      </c>
      <c r="N1728">
        <v>1650</v>
      </c>
    </row>
    <row r="1729" spans="1:14" x14ac:dyDescent="0.25">
      <c r="A1729">
        <v>1505.9816350000001</v>
      </c>
      <c r="B1729" s="1">
        <f>DATE(2014,6,14) + TIME(23,33,33)</f>
        <v>41804.981631944444</v>
      </c>
      <c r="C1729">
        <v>80</v>
      </c>
      <c r="D1729">
        <v>79.947532654</v>
      </c>
      <c r="E1729">
        <v>50</v>
      </c>
      <c r="F1729">
        <v>47.583591460999997</v>
      </c>
      <c r="G1729">
        <v>1366.8488769999999</v>
      </c>
      <c r="H1729">
        <v>1356.7272949000001</v>
      </c>
      <c r="I1729">
        <v>1302.7844238</v>
      </c>
      <c r="J1729">
        <v>1289.5051269999999</v>
      </c>
      <c r="K1729">
        <v>1650</v>
      </c>
      <c r="L1729">
        <v>0</v>
      </c>
      <c r="M1729">
        <v>0</v>
      </c>
      <c r="N1729">
        <v>1650</v>
      </c>
    </row>
    <row r="1730" spans="1:14" x14ac:dyDescent="0.25">
      <c r="A1730">
        <v>1507.0609480000001</v>
      </c>
      <c r="B1730" s="1">
        <f>DATE(2014,6,16) + TIME(1,27,45)</f>
        <v>41806.060937499999</v>
      </c>
      <c r="C1730">
        <v>80</v>
      </c>
      <c r="D1730">
        <v>79.947517395000006</v>
      </c>
      <c r="E1730">
        <v>50</v>
      </c>
      <c r="F1730">
        <v>47.537376404</v>
      </c>
      <c r="G1730">
        <v>1366.8104248</v>
      </c>
      <c r="H1730">
        <v>1356.6984863</v>
      </c>
      <c r="I1730">
        <v>1302.7684326000001</v>
      </c>
      <c r="J1730">
        <v>1289.4801024999999</v>
      </c>
      <c r="K1730">
        <v>1650</v>
      </c>
      <c r="L1730">
        <v>0</v>
      </c>
      <c r="M1730">
        <v>0</v>
      </c>
      <c r="N1730">
        <v>1650</v>
      </c>
    </row>
    <row r="1731" spans="1:14" x14ac:dyDescent="0.25">
      <c r="A1731">
        <v>1508.167228</v>
      </c>
      <c r="B1731" s="1">
        <f>DATE(2014,6,17) + TIME(4,0,48)</f>
        <v>41807.167222222219</v>
      </c>
      <c r="C1731">
        <v>80</v>
      </c>
      <c r="D1731">
        <v>79.947502135999997</v>
      </c>
      <c r="E1731">
        <v>50</v>
      </c>
      <c r="F1731">
        <v>47.490345001000001</v>
      </c>
      <c r="G1731">
        <v>1366.7717285000001</v>
      </c>
      <c r="H1731">
        <v>1356.6695557</v>
      </c>
      <c r="I1731">
        <v>1302.7517089999999</v>
      </c>
      <c r="J1731">
        <v>1289.4539795000001</v>
      </c>
      <c r="K1731">
        <v>1650</v>
      </c>
      <c r="L1731">
        <v>0</v>
      </c>
      <c r="M1731">
        <v>0</v>
      </c>
      <c r="N1731">
        <v>1650</v>
      </c>
    </row>
    <row r="1732" spans="1:14" x14ac:dyDescent="0.25">
      <c r="A1732">
        <v>1509.299027</v>
      </c>
      <c r="B1732" s="1">
        <f>DATE(2014,6,18) + TIME(7,10,35)</f>
        <v>41808.299016203702</v>
      </c>
      <c r="C1732">
        <v>80</v>
      </c>
      <c r="D1732">
        <v>79.947486877000003</v>
      </c>
      <c r="E1732">
        <v>50</v>
      </c>
      <c r="F1732">
        <v>47.442504882999998</v>
      </c>
      <c r="G1732">
        <v>1366.7326660000001</v>
      </c>
      <c r="H1732">
        <v>1356.6403809000001</v>
      </c>
      <c r="I1732">
        <v>1302.734375</v>
      </c>
      <c r="J1732">
        <v>1289.4266356999999</v>
      </c>
      <c r="K1732">
        <v>1650</v>
      </c>
      <c r="L1732">
        <v>0</v>
      </c>
      <c r="M1732">
        <v>0</v>
      </c>
      <c r="N1732">
        <v>1650</v>
      </c>
    </row>
    <row r="1733" spans="1:14" x14ac:dyDescent="0.25">
      <c r="A1733">
        <v>1510.452957</v>
      </c>
      <c r="B1733" s="1">
        <f>DATE(2014,6,19) + TIME(10,52,15)</f>
        <v>41809.452951388892</v>
      </c>
      <c r="C1733">
        <v>80</v>
      </c>
      <c r="D1733">
        <v>79.947479247999993</v>
      </c>
      <c r="E1733">
        <v>50</v>
      </c>
      <c r="F1733">
        <v>47.393924712999997</v>
      </c>
      <c r="G1733">
        <v>1366.6933594</v>
      </c>
      <c r="H1733">
        <v>1356.6109618999999</v>
      </c>
      <c r="I1733">
        <v>1302.7164307</v>
      </c>
      <c r="J1733">
        <v>1289.3983154</v>
      </c>
      <c r="K1733">
        <v>1650</v>
      </c>
      <c r="L1733">
        <v>0</v>
      </c>
      <c r="M1733">
        <v>0</v>
      </c>
      <c r="N1733">
        <v>1650</v>
      </c>
    </row>
    <row r="1734" spans="1:14" x14ac:dyDescent="0.25">
      <c r="A1734">
        <v>1511.6096480000001</v>
      </c>
      <c r="B1734" s="1">
        <f>DATE(2014,6,20) + TIME(14,37,53)</f>
        <v>41810.6096412037</v>
      </c>
      <c r="C1734">
        <v>80</v>
      </c>
      <c r="D1734">
        <v>79.947463988999999</v>
      </c>
      <c r="E1734">
        <v>50</v>
      </c>
      <c r="F1734">
        <v>47.345077515</v>
      </c>
      <c r="G1734">
        <v>1366.6540527</v>
      </c>
      <c r="H1734">
        <v>1356.5814209</v>
      </c>
      <c r="I1734">
        <v>1302.6977539</v>
      </c>
      <c r="J1734">
        <v>1289.3688964999999</v>
      </c>
      <c r="K1734">
        <v>1650</v>
      </c>
      <c r="L1734">
        <v>0</v>
      </c>
      <c r="M1734">
        <v>0</v>
      </c>
      <c r="N1734">
        <v>1650</v>
      </c>
    </row>
    <row r="1735" spans="1:14" x14ac:dyDescent="0.25">
      <c r="A1735">
        <v>1512.772516</v>
      </c>
      <c r="B1735" s="1">
        <f>DATE(2014,6,21) + TIME(18,32,25)</f>
        <v>41811.772511574076</v>
      </c>
      <c r="C1735">
        <v>80</v>
      </c>
      <c r="D1735">
        <v>79.947448730000005</v>
      </c>
      <c r="E1735">
        <v>50</v>
      </c>
      <c r="F1735">
        <v>47.296092987000002</v>
      </c>
      <c r="G1735">
        <v>1366.6152344</v>
      </c>
      <c r="H1735">
        <v>1356.5523682</v>
      </c>
      <c r="I1735">
        <v>1302.6787108999999</v>
      </c>
      <c r="J1735">
        <v>1289.3388672000001</v>
      </c>
      <c r="K1735">
        <v>1650</v>
      </c>
      <c r="L1735">
        <v>0</v>
      </c>
      <c r="M1735">
        <v>0</v>
      </c>
      <c r="N1735">
        <v>1650</v>
      </c>
    </row>
    <row r="1736" spans="1:14" x14ac:dyDescent="0.25">
      <c r="A1736">
        <v>1513.9449709999999</v>
      </c>
      <c r="B1736" s="1">
        <f>DATE(2014,6,22) + TIME(22,40,45)</f>
        <v>41812.944965277777</v>
      </c>
      <c r="C1736">
        <v>80</v>
      </c>
      <c r="D1736">
        <v>79.947441100999995</v>
      </c>
      <c r="E1736">
        <v>50</v>
      </c>
      <c r="F1736">
        <v>47.246982574</v>
      </c>
      <c r="G1736">
        <v>1366.5769043</v>
      </c>
      <c r="H1736">
        <v>1356.5234375</v>
      </c>
      <c r="I1736">
        <v>1302.6593018000001</v>
      </c>
      <c r="J1736">
        <v>1289.3079834</v>
      </c>
      <c r="K1736">
        <v>1650</v>
      </c>
      <c r="L1736">
        <v>0</v>
      </c>
      <c r="M1736">
        <v>0</v>
      </c>
      <c r="N1736">
        <v>1650</v>
      </c>
    </row>
    <row r="1737" spans="1:14" x14ac:dyDescent="0.25">
      <c r="A1737">
        <v>1515.130439</v>
      </c>
      <c r="B1737" s="1">
        <f>DATE(2014,6,24) + TIME(3,7,49)</f>
        <v>41814.130428240744</v>
      </c>
      <c r="C1737">
        <v>80</v>
      </c>
      <c r="D1737">
        <v>79.947433472</v>
      </c>
      <c r="E1737">
        <v>50</v>
      </c>
      <c r="F1737">
        <v>47.197681426999999</v>
      </c>
      <c r="G1737">
        <v>1366.5388184000001</v>
      </c>
      <c r="H1737">
        <v>1356.4948730000001</v>
      </c>
      <c r="I1737">
        <v>1302.6395264</v>
      </c>
      <c r="J1737">
        <v>1289.2763672000001</v>
      </c>
      <c r="K1737">
        <v>1650</v>
      </c>
      <c r="L1737">
        <v>0</v>
      </c>
      <c r="M1737">
        <v>0</v>
      </c>
      <c r="N1737">
        <v>1650</v>
      </c>
    </row>
    <row r="1738" spans="1:14" x14ac:dyDescent="0.25">
      <c r="A1738">
        <v>1516.3324319999999</v>
      </c>
      <c r="B1738" s="1">
        <f>DATE(2014,6,25) + TIME(7,58,42)</f>
        <v>41815.332430555558</v>
      </c>
      <c r="C1738">
        <v>80</v>
      </c>
      <c r="D1738">
        <v>79.947418213000006</v>
      </c>
      <c r="E1738">
        <v>50</v>
      </c>
      <c r="F1738">
        <v>47.148097991999997</v>
      </c>
      <c r="G1738">
        <v>1366.5008545000001</v>
      </c>
      <c r="H1738">
        <v>1356.4663086</v>
      </c>
      <c r="I1738">
        <v>1302.6191406</v>
      </c>
      <c r="J1738">
        <v>1289.2437743999999</v>
      </c>
      <c r="K1738">
        <v>1650</v>
      </c>
      <c r="L1738">
        <v>0</v>
      </c>
      <c r="M1738">
        <v>0</v>
      </c>
      <c r="N1738">
        <v>1650</v>
      </c>
    </row>
    <row r="1739" spans="1:14" x14ac:dyDescent="0.25">
      <c r="A1739">
        <v>1517.5546139999999</v>
      </c>
      <c r="B1739" s="1">
        <f>DATE(2014,6,26) + TIME(13,18,38)</f>
        <v>41816.554606481484</v>
      </c>
      <c r="C1739">
        <v>80</v>
      </c>
      <c r="D1739">
        <v>79.947410583000007</v>
      </c>
      <c r="E1739">
        <v>50</v>
      </c>
      <c r="F1739">
        <v>47.098117827999999</v>
      </c>
      <c r="G1739">
        <v>1366.4630127</v>
      </c>
      <c r="H1739">
        <v>1356.4377440999999</v>
      </c>
      <c r="I1739">
        <v>1302.5981445</v>
      </c>
      <c r="J1739">
        <v>1289.2102050999999</v>
      </c>
      <c r="K1739">
        <v>1650</v>
      </c>
      <c r="L1739">
        <v>0</v>
      </c>
      <c r="M1739">
        <v>0</v>
      </c>
      <c r="N1739">
        <v>1650</v>
      </c>
    </row>
    <row r="1740" spans="1:14" x14ac:dyDescent="0.25">
      <c r="A1740">
        <v>1518.8008480000001</v>
      </c>
      <c r="B1740" s="1">
        <f>DATE(2014,6,27) + TIME(19,13,13)</f>
        <v>41817.800844907404</v>
      </c>
      <c r="C1740">
        <v>80</v>
      </c>
      <c r="D1740">
        <v>79.947402953999998</v>
      </c>
      <c r="E1740">
        <v>50</v>
      </c>
      <c r="F1740">
        <v>47.047615051000001</v>
      </c>
      <c r="G1740">
        <v>1366.4251709</v>
      </c>
      <c r="H1740">
        <v>1356.4091797000001</v>
      </c>
      <c r="I1740">
        <v>1302.5766602000001</v>
      </c>
      <c r="J1740">
        <v>1289.1754149999999</v>
      </c>
      <c r="K1740">
        <v>1650</v>
      </c>
      <c r="L1740">
        <v>0</v>
      </c>
      <c r="M1740">
        <v>0</v>
      </c>
      <c r="N1740">
        <v>1650</v>
      </c>
    </row>
    <row r="1741" spans="1:14" x14ac:dyDescent="0.25">
      <c r="A1741">
        <v>1520.075296</v>
      </c>
      <c r="B1741" s="1">
        <f>DATE(2014,6,29) + TIME(1,48,25)</f>
        <v>41819.075289351851</v>
      </c>
      <c r="C1741">
        <v>80</v>
      </c>
      <c r="D1741">
        <v>79.947395325000002</v>
      </c>
      <c r="E1741">
        <v>50</v>
      </c>
      <c r="F1741">
        <v>46.996463775999999</v>
      </c>
      <c r="G1741">
        <v>1366.387207</v>
      </c>
      <c r="H1741">
        <v>1356.3803711</v>
      </c>
      <c r="I1741">
        <v>1302.5543213000001</v>
      </c>
      <c r="J1741">
        <v>1289.1394043</v>
      </c>
      <c r="K1741">
        <v>1650</v>
      </c>
      <c r="L1741">
        <v>0</v>
      </c>
      <c r="M1741">
        <v>0</v>
      </c>
      <c r="N1741">
        <v>1650</v>
      </c>
    </row>
    <row r="1742" spans="1:14" x14ac:dyDescent="0.25">
      <c r="A1742">
        <v>1521.3825280000001</v>
      </c>
      <c r="B1742" s="1">
        <f>DATE(2014,6,30) + TIME(9,10,50)</f>
        <v>41820.382523148146</v>
      </c>
      <c r="C1742">
        <v>80</v>
      </c>
      <c r="D1742">
        <v>79.947395325000002</v>
      </c>
      <c r="E1742">
        <v>50</v>
      </c>
      <c r="F1742">
        <v>46.944511413999997</v>
      </c>
      <c r="G1742">
        <v>1366.3488769999999</v>
      </c>
      <c r="H1742">
        <v>1356.3514404</v>
      </c>
      <c r="I1742">
        <v>1302.53125</v>
      </c>
      <c r="J1742">
        <v>1289.1019286999999</v>
      </c>
      <c r="K1742">
        <v>1650</v>
      </c>
      <c r="L1742">
        <v>0</v>
      </c>
      <c r="M1742">
        <v>0</v>
      </c>
      <c r="N1742">
        <v>1650</v>
      </c>
    </row>
    <row r="1743" spans="1:14" x14ac:dyDescent="0.25">
      <c r="A1743">
        <v>1522</v>
      </c>
      <c r="B1743" s="1">
        <f>DATE(2014,7,1) + TIME(0,0,0)</f>
        <v>41821</v>
      </c>
      <c r="C1743">
        <v>80</v>
      </c>
      <c r="D1743">
        <v>79.947380065999994</v>
      </c>
      <c r="E1743">
        <v>50</v>
      </c>
      <c r="F1743">
        <v>46.910816193000002</v>
      </c>
      <c r="G1743">
        <v>1366.3101807</v>
      </c>
      <c r="H1743">
        <v>1356.3220214999999</v>
      </c>
      <c r="I1743">
        <v>1302.5074463000001</v>
      </c>
      <c r="J1743">
        <v>1289.0671387</v>
      </c>
      <c r="K1743">
        <v>1650</v>
      </c>
      <c r="L1743">
        <v>0</v>
      </c>
      <c r="M1743">
        <v>0</v>
      </c>
      <c r="N1743">
        <v>1650</v>
      </c>
    </row>
    <row r="1744" spans="1:14" x14ac:dyDescent="0.25">
      <c r="A1744">
        <v>1523.345838</v>
      </c>
      <c r="B1744" s="1">
        <f>DATE(2014,7,2) + TIME(8,18,0)</f>
        <v>41822.345833333333</v>
      </c>
      <c r="C1744">
        <v>80</v>
      </c>
      <c r="D1744">
        <v>79.947380065999994</v>
      </c>
      <c r="E1744">
        <v>50</v>
      </c>
      <c r="F1744">
        <v>46.862617493000002</v>
      </c>
      <c r="G1744">
        <v>1366.2921143000001</v>
      </c>
      <c r="H1744">
        <v>1356.3082274999999</v>
      </c>
      <c r="I1744">
        <v>1302.4952393000001</v>
      </c>
      <c r="J1744">
        <v>1289.0424805</v>
      </c>
      <c r="K1744">
        <v>1650</v>
      </c>
      <c r="L1744">
        <v>0</v>
      </c>
      <c r="M1744">
        <v>0</v>
      </c>
      <c r="N1744">
        <v>1650</v>
      </c>
    </row>
    <row r="1745" spans="1:14" x14ac:dyDescent="0.25">
      <c r="A1745">
        <v>1524.721671</v>
      </c>
      <c r="B1745" s="1">
        <f>DATE(2014,7,3) + TIME(17,19,12)</f>
        <v>41823.721666666665</v>
      </c>
      <c r="C1745">
        <v>80</v>
      </c>
      <c r="D1745">
        <v>79.947380065999994</v>
      </c>
      <c r="E1745">
        <v>50</v>
      </c>
      <c r="F1745">
        <v>46.811241150000001</v>
      </c>
      <c r="G1745">
        <v>1366.2532959</v>
      </c>
      <c r="H1745">
        <v>1356.2788086</v>
      </c>
      <c r="I1745">
        <v>1302.4703368999999</v>
      </c>
      <c r="J1745">
        <v>1289.0021973</v>
      </c>
      <c r="K1745">
        <v>1650</v>
      </c>
      <c r="L1745">
        <v>0</v>
      </c>
      <c r="M1745">
        <v>0</v>
      </c>
      <c r="N1745">
        <v>1650</v>
      </c>
    </row>
    <row r="1746" spans="1:14" x14ac:dyDescent="0.25">
      <c r="A1746">
        <v>1526.101983</v>
      </c>
      <c r="B1746" s="1">
        <f>DATE(2014,7,5) + TIME(2,26,51)</f>
        <v>41825.101979166669</v>
      </c>
      <c r="C1746">
        <v>80</v>
      </c>
      <c r="D1746">
        <v>79.947372436999999</v>
      </c>
      <c r="E1746">
        <v>50</v>
      </c>
      <c r="F1746">
        <v>46.758411406999997</v>
      </c>
      <c r="G1746">
        <v>1366.2141113</v>
      </c>
      <c r="H1746">
        <v>1356.2489014</v>
      </c>
      <c r="I1746">
        <v>1302.4443358999999</v>
      </c>
      <c r="J1746">
        <v>1288.9600829999999</v>
      </c>
      <c r="K1746">
        <v>1650</v>
      </c>
      <c r="L1746">
        <v>0</v>
      </c>
      <c r="M1746">
        <v>0</v>
      </c>
      <c r="N1746">
        <v>1650</v>
      </c>
    </row>
    <row r="1747" spans="1:14" x14ac:dyDescent="0.25">
      <c r="A1747">
        <v>1527.4909540000001</v>
      </c>
      <c r="B1747" s="1">
        <f>DATE(2014,7,6) + TIME(11,46,58)</f>
        <v>41826.490949074076</v>
      </c>
      <c r="C1747">
        <v>80</v>
      </c>
      <c r="D1747">
        <v>79.947372436999999</v>
      </c>
      <c r="E1747">
        <v>50</v>
      </c>
      <c r="F1747">
        <v>46.704978943</v>
      </c>
      <c r="G1747">
        <v>1366.175293</v>
      </c>
      <c r="H1747">
        <v>1356.2193603999999</v>
      </c>
      <c r="I1747">
        <v>1302.4179687999999</v>
      </c>
      <c r="J1747">
        <v>1288.916626</v>
      </c>
      <c r="K1747">
        <v>1650</v>
      </c>
      <c r="L1747">
        <v>0</v>
      </c>
      <c r="M1747">
        <v>0</v>
      </c>
      <c r="N1747">
        <v>1650</v>
      </c>
    </row>
    <row r="1748" spans="1:14" x14ac:dyDescent="0.25">
      <c r="A1748">
        <v>1528.8927619999999</v>
      </c>
      <c r="B1748" s="1">
        <f>DATE(2014,7,7) + TIME(21,25,34)</f>
        <v>41827.892754629633</v>
      </c>
      <c r="C1748">
        <v>80</v>
      </c>
      <c r="D1748">
        <v>79.947372436999999</v>
      </c>
      <c r="E1748">
        <v>50</v>
      </c>
      <c r="F1748">
        <v>46.651279449</v>
      </c>
      <c r="G1748">
        <v>1366.1368408000001</v>
      </c>
      <c r="H1748">
        <v>1356.1900635</v>
      </c>
      <c r="I1748">
        <v>1302.3909911999999</v>
      </c>
      <c r="J1748">
        <v>1288.8721923999999</v>
      </c>
      <c r="K1748">
        <v>1650</v>
      </c>
      <c r="L1748">
        <v>0</v>
      </c>
      <c r="M1748">
        <v>0</v>
      </c>
      <c r="N1748">
        <v>1650</v>
      </c>
    </row>
    <row r="1749" spans="1:14" x14ac:dyDescent="0.25">
      <c r="A1749">
        <v>1530.311643</v>
      </c>
      <c r="B1749" s="1">
        <f>DATE(2014,7,9) + TIME(7,28,45)</f>
        <v>41829.311631944445</v>
      </c>
      <c r="C1749">
        <v>80</v>
      </c>
      <c r="D1749">
        <v>79.947372436999999</v>
      </c>
      <c r="E1749">
        <v>50</v>
      </c>
      <c r="F1749">
        <v>46.597408295000001</v>
      </c>
      <c r="G1749">
        <v>1366.0986327999999</v>
      </c>
      <c r="H1749">
        <v>1356.1608887</v>
      </c>
      <c r="I1749">
        <v>1302.3634033000001</v>
      </c>
      <c r="J1749">
        <v>1288.8266602000001</v>
      </c>
      <c r="K1749">
        <v>1650</v>
      </c>
      <c r="L1749">
        <v>0</v>
      </c>
      <c r="M1749">
        <v>0</v>
      </c>
      <c r="N1749">
        <v>1650</v>
      </c>
    </row>
    <row r="1750" spans="1:14" x14ac:dyDescent="0.25">
      <c r="A1750">
        <v>1531.752011</v>
      </c>
      <c r="B1750" s="1">
        <f>DATE(2014,7,10) + TIME(18,2,53)</f>
        <v>41830.752002314817</v>
      </c>
      <c r="C1750">
        <v>80</v>
      </c>
      <c r="D1750">
        <v>79.947364807</v>
      </c>
      <c r="E1750">
        <v>50</v>
      </c>
      <c r="F1750">
        <v>46.543346405000001</v>
      </c>
      <c r="G1750">
        <v>1366.0605469</v>
      </c>
      <c r="H1750">
        <v>1356.1315918</v>
      </c>
      <c r="I1750">
        <v>1302.3353271000001</v>
      </c>
      <c r="J1750">
        <v>1288.7799072</v>
      </c>
      <c r="K1750">
        <v>1650</v>
      </c>
      <c r="L1750">
        <v>0</v>
      </c>
      <c r="M1750">
        <v>0</v>
      </c>
      <c r="N1750">
        <v>1650</v>
      </c>
    </row>
    <row r="1751" spans="1:14" x14ac:dyDescent="0.25">
      <c r="A1751">
        <v>1533.2184850000001</v>
      </c>
      <c r="B1751" s="1">
        <f>DATE(2014,7,12) + TIME(5,14,37)</f>
        <v>41832.2184837963</v>
      </c>
      <c r="C1751">
        <v>80</v>
      </c>
      <c r="D1751">
        <v>79.947364807</v>
      </c>
      <c r="E1751">
        <v>50</v>
      </c>
      <c r="F1751">
        <v>46.489028931</v>
      </c>
      <c r="G1751">
        <v>1366.0224608999999</v>
      </c>
      <c r="H1751">
        <v>1356.1024170000001</v>
      </c>
      <c r="I1751">
        <v>1302.3063964999999</v>
      </c>
      <c r="J1751">
        <v>1288.7316894999999</v>
      </c>
      <c r="K1751">
        <v>1650</v>
      </c>
      <c r="L1751">
        <v>0</v>
      </c>
      <c r="M1751">
        <v>0</v>
      </c>
      <c r="N1751">
        <v>1650</v>
      </c>
    </row>
    <row r="1752" spans="1:14" x14ac:dyDescent="0.25">
      <c r="A1752">
        <v>1534.715999</v>
      </c>
      <c r="B1752" s="1">
        <f>DATE(2014,7,13) + TIME(17,11,2)</f>
        <v>41833.715995370374</v>
      </c>
      <c r="C1752">
        <v>80</v>
      </c>
      <c r="D1752">
        <v>79.947372436999999</v>
      </c>
      <c r="E1752">
        <v>50</v>
      </c>
      <c r="F1752">
        <v>46.434364318999997</v>
      </c>
      <c r="G1752">
        <v>1365.9841309000001</v>
      </c>
      <c r="H1752">
        <v>1356.072876</v>
      </c>
      <c r="I1752">
        <v>1302.2767334</v>
      </c>
      <c r="J1752">
        <v>1288.6820068</v>
      </c>
      <c r="K1752">
        <v>1650</v>
      </c>
      <c r="L1752">
        <v>0</v>
      </c>
      <c r="M1752">
        <v>0</v>
      </c>
      <c r="N1752">
        <v>1650</v>
      </c>
    </row>
    <row r="1753" spans="1:14" x14ac:dyDescent="0.25">
      <c r="A1753">
        <v>1536.249906</v>
      </c>
      <c r="B1753" s="1">
        <f>DATE(2014,7,15) + TIME(5,59,51)</f>
        <v>41835.249895833331</v>
      </c>
      <c r="C1753">
        <v>80</v>
      </c>
      <c r="D1753">
        <v>79.947372436999999</v>
      </c>
      <c r="E1753">
        <v>50</v>
      </c>
      <c r="F1753">
        <v>46.379241942999997</v>
      </c>
      <c r="G1753">
        <v>1365.9455565999999</v>
      </c>
      <c r="H1753">
        <v>1356.0432129000001</v>
      </c>
      <c r="I1753">
        <v>1302.2462158000001</v>
      </c>
      <c r="J1753">
        <v>1288.6307373</v>
      </c>
      <c r="K1753">
        <v>1650</v>
      </c>
      <c r="L1753">
        <v>0</v>
      </c>
      <c r="M1753">
        <v>0</v>
      </c>
      <c r="N1753">
        <v>1650</v>
      </c>
    </row>
    <row r="1754" spans="1:14" x14ac:dyDescent="0.25">
      <c r="A1754">
        <v>1537.8265919999999</v>
      </c>
      <c r="B1754" s="1">
        <f>DATE(2014,7,16) + TIME(19,50,17)</f>
        <v>41836.826585648145</v>
      </c>
      <c r="C1754">
        <v>80</v>
      </c>
      <c r="D1754">
        <v>79.947372436999999</v>
      </c>
      <c r="E1754">
        <v>50</v>
      </c>
      <c r="F1754">
        <v>46.323547363000003</v>
      </c>
      <c r="G1754">
        <v>1365.9066161999999</v>
      </c>
      <c r="H1754">
        <v>1356.0131836</v>
      </c>
      <c r="I1754">
        <v>1302.2145995999999</v>
      </c>
      <c r="J1754">
        <v>1288.5775146000001</v>
      </c>
      <c r="K1754">
        <v>1650</v>
      </c>
      <c r="L1754">
        <v>0</v>
      </c>
      <c r="M1754">
        <v>0</v>
      </c>
      <c r="N1754">
        <v>1650</v>
      </c>
    </row>
    <row r="1755" spans="1:14" x14ac:dyDescent="0.25">
      <c r="A1755">
        <v>1539.434917</v>
      </c>
      <c r="B1755" s="1">
        <f>DATE(2014,7,18) + TIME(10,26,16)</f>
        <v>41838.434907407405</v>
      </c>
      <c r="C1755">
        <v>80</v>
      </c>
      <c r="D1755">
        <v>79.947380065999994</v>
      </c>
      <c r="E1755">
        <v>50</v>
      </c>
      <c r="F1755">
        <v>46.267433167</v>
      </c>
      <c r="G1755">
        <v>1365.8670654</v>
      </c>
      <c r="H1755">
        <v>1355.9826660000001</v>
      </c>
      <c r="I1755">
        <v>1302.1820068</v>
      </c>
      <c r="J1755">
        <v>1288.5223389</v>
      </c>
      <c r="K1755">
        <v>1650</v>
      </c>
      <c r="L1755">
        <v>0</v>
      </c>
      <c r="M1755">
        <v>0</v>
      </c>
      <c r="N1755">
        <v>1650</v>
      </c>
    </row>
    <row r="1756" spans="1:14" x14ac:dyDescent="0.25">
      <c r="A1756">
        <v>1541.064605</v>
      </c>
      <c r="B1756" s="1">
        <f>DATE(2014,7,20) + TIME(1,33,1)</f>
        <v>41840.06459490741</v>
      </c>
      <c r="C1756">
        <v>80</v>
      </c>
      <c r="D1756">
        <v>79.947380065999994</v>
      </c>
      <c r="E1756">
        <v>50</v>
      </c>
      <c r="F1756">
        <v>46.211223601999997</v>
      </c>
      <c r="G1756">
        <v>1365.8273925999999</v>
      </c>
      <c r="H1756">
        <v>1355.9519043</v>
      </c>
      <c r="I1756">
        <v>1302.1484375</v>
      </c>
      <c r="J1756">
        <v>1288.4654541</v>
      </c>
      <c r="K1756">
        <v>1650</v>
      </c>
      <c r="L1756">
        <v>0</v>
      </c>
      <c r="M1756">
        <v>0</v>
      </c>
      <c r="N1756">
        <v>1650</v>
      </c>
    </row>
    <row r="1757" spans="1:14" x14ac:dyDescent="0.25">
      <c r="A1757">
        <v>1542.70174</v>
      </c>
      <c r="B1757" s="1">
        <f>DATE(2014,7,21) + TIME(16,50,30)</f>
        <v>41841.701736111114</v>
      </c>
      <c r="C1757">
        <v>80</v>
      </c>
      <c r="D1757">
        <v>79.947387695000003</v>
      </c>
      <c r="E1757">
        <v>50</v>
      </c>
      <c r="F1757">
        <v>46.155364990000002</v>
      </c>
      <c r="G1757">
        <v>1365.7875977000001</v>
      </c>
      <c r="H1757">
        <v>1355.9210204999999</v>
      </c>
      <c r="I1757">
        <v>1302.1141356999999</v>
      </c>
      <c r="J1757">
        <v>1288.4072266000001</v>
      </c>
      <c r="K1757">
        <v>1650</v>
      </c>
      <c r="L1757">
        <v>0</v>
      </c>
      <c r="M1757">
        <v>0</v>
      </c>
      <c r="N1757">
        <v>1650</v>
      </c>
    </row>
    <row r="1758" spans="1:14" x14ac:dyDescent="0.25">
      <c r="A1758">
        <v>1544.3514580000001</v>
      </c>
      <c r="B1758" s="1">
        <f>DATE(2014,7,23) + TIME(8,26,6)</f>
        <v>41843.351458333331</v>
      </c>
      <c r="C1758">
        <v>80</v>
      </c>
      <c r="D1758">
        <v>79.947395325000002</v>
      </c>
      <c r="E1758">
        <v>50</v>
      </c>
      <c r="F1758">
        <v>46.100082397000001</v>
      </c>
      <c r="G1758">
        <v>1365.7482910000001</v>
      </c>
      <c r="H1758">
        <v>1355.8905029</v>
      </c>
      <c r="I1758">
        <v>1302.0795897999999</v>
      </c>
      <c r="J1758">
        <v>1288.3481445</v>
      </c>
      <c r="K1758">
        <v>1650</v>
      </c>
      <c r="L1758">
        <v>0</v>
      </c>
      <c r="M1758">
        <v>0</v>
      </c>
      <c r="N1758">
        <v>1650</v>
      </c>
    </row>
    <row r="1759" spans="1:14" x14ac:dyDescent="0.25">
      <c r="A1759">
        <v>1546.018939</v>
      </c>
      <c r="B1759" s="1">
        <f>DATE(2014,7,25) + TIME(0,27,16)</f>
        <v>41845.018935185188</v>
      </c>
      <c r="C1759">
        <v>80</v>
      </c>
      <c r="D1759">
        <v>79.947395325000002</v>
      </c>
      <c r="E1759">
        <v>50</v>
      </c>
      <c r="F1759">
        <v>46.045425414999997</v>
      </c>
      <c r="G1759">
        <v>1365.7091064000001</v>
      </c>
      <c r="H1759">
        <v>1355.8599853999999</v>
      </c>
      <c r="I1759">
        <v>1302.0445557</v>
      </c>
      <c r="J1759">
        <v>1288.2879639</v>
      </c>
      <c r="K1759">
        <v>1650</v>
      </c>
      <c r="L1759">
        <v>0</v>
      </c>
      <c r="M1759">
        <v>0</v>
      </c>
      <c r="N1759">
        <v>1650</v>
      </c>
    </row>
    <row r="1760" spans="1:14" x14ac:dyDescent="0.25">
      <c r="A1760">
        <v>1547.709478</v>
      </c>
      <c r="B1760" s="1">
        <f>DATE(2014,7,26) + TIME(17,1,38)</f>
        <v>41846.709467592591</v>
      </c>
      <c r="C1760">
        <v>80</v>
      </c>
      <c r="D1760">
        <v>79.947402953999998</v>
      </c>
      <c r="E1760">
        <v>50</v>
      </c>
      <c r="F1760">
        <v>45.991386413999997</v>
      </c>
      <c r="G1760">
        <v>1365.6701660000001</v>
      </c>
      <c r="H1760">
        <v>1355.8295897999999</v>
      </c>
      <c r="I1760">
        <v>1302.0090332</v>
      </c>
      <c r="J1760">
        <v>1288.2266846</v>
      </c>
      <c r="K1760">
        <v>1650</v>
      </c>
      <c r="L1760">
        <v>0</v>
      </c>
      <c r="M1760">
        <v>0</v>
      </c>
      <c r="N1760">
        <v>1650</v>
      </c>
    </row>
    <row r="1761" spans="1:14" x14ac:dyDescent="0.25">
      <c r="A1761">
        <v>1549.428639</v>
      </c>
      <c r="B1761" s="1">
        <f>DATE(2014,7,28) + TIME(10,17,14)</f>
        <v>41848.42863425926</v>
      </c>
      <c r="C1761">
        <v>80</v>
      </c>
      <c r="D1761">
        <v>79.947410583000007</v>
      </c>
      <c r="E1761">
        <v>50</v>
      </c>
      <c r="F1761">
        <v>45.937931061</v>
      </c>
      <c r="G1761">
        <v>1365.6311035000001</v>
      </c>
      <c r="H1761">
        <v>1355.7989502</v>
      </c>
      <c r="I1761">
        <v>1301.9729004000001</v>
      </c>
      <c r="J1761">
        <v>1288.1641846</v>
      </c>
      <c r="K1761">
        <v>1650</v>
      </c>
      <c r="L1761">
        <v>0</v>
      </c>
      <c r="M1761">
        <v>0</v>
      </c>
      <c r="N1761">
        <v>1650</v>
      </c>
    </row>
    <row r="1762" spans="1:14" x14ac:dyDescent="0.25">
      <c r="A1762">
        <v>1551.1823280000001</v>
      </c>
      <c r="B1762" s="1">
        <f>DATE(2014,7,30) + TIME(4,22,33)</f>
        <v>41850.182326388887</v>
      </c>
      <c r="C1762">
        <v>80</v>
      </c>
      <c r="D1762">
        <v>79.947425842000001</v>
      </c>
      <c r="E1762">
        <v>50</v>
      </c>
      <c r="F1762">
        <v>45.885036468999999</v>
      </c>
      <c r="G1762">
        <v>1365.5917969</v>
      </c>
      <c r="H1762">
        <v>1355.7683105000001</v>
      </c>
      <c r="I1762">
        <v>1301.9360352000001</v>
      </c>
      <c r="J1762">
        <v>1288.1003418</v>
      </c>
      <c r="K1762">
        <v>1650</v>
      </c>
      <c r="L1762">
        <v>0</v>
      </c>
      <c r="M1762">
        <v>0</v>
      </c>
      <c r="N1762">
        <v>1650</v>
      </c>
    </row>
    <row r="1763" spans="1:14" x14ac:dyDescent="0.25">
      <c r="A1763">
        <v>1552.0911639999999</v>
      </c>
      <c r="B1763" s="1">
        <f>DATE(2014,7,31) + TIME(2,11,16)</f>
        <v>41851.091157407405</v>
      </c>
      <c r="C1763">
        <v>80</v>
      </c>
      <c r="D1763">
        <v>79.947418213000006</v>
      </c>
      <c r="E1763">
        <v>50</v>
      </c>
      <c r="F1763">
        <v>45.847633362000003</v>
      </c>
      <c r="G1763">
        <v>1365.5522461</v>
      </c>
      <c r="H1763">
        <v>1355.7371826000001</v>
      </c>
      <c r="I1763">
        <v>1301.9005127</v>
      </c>
      <c r="J1763">
        <v>1288.041626</v>
      </c>
      <c r="K1763">
        <v>1650</v>
      </c>
      <c r="L1763">
        <v>0</v>
      </c>
      <c r="M1763">
        <v>0</v>
      </c>
      <c r="N1763">
        <v>1650</v>
      </c>
    </row>
    <row r="1764" spans="1:14" x14ac:dyDescent="0.25">
      <c r="A1764">
        <v>1553</v>
      </c>
      <c r="B1764" s="1">
        <f>DATE(2014,8,1) + TIME(0,0,0)</f>
        <v>41852</v>
      </c>
      <c r="C1764">
        <v>80</v>
      </c>
      <c r="D1764">
        <v>79.947418213000006</v>
      </c>
      <c r="E1764">
        <v>50</v>
      </c>
      <c r="F1764">
        <v>45.815200806</v>
      </c>
      <c r="G1764">
        <v>1365.5318603999999</v>
      </c>
      <c r="H1764">
        <v>1355.7210693</v>
      </c>
      <c r="I1764">
        <v>1301.8793945</v>
      </c>
      <c r="J1764">
        <v>1288.003418</v>
      </c>
      <c r="K1764">
        <v>1650</v>
      </c>
      <c r="L1764">
        <v>0</v>
      </c>
      <c r="M1764">
        <v>0</v>
      </c>
      <c r="N1764">
        <v>1650</v>
      </c>
    </row>
    <row r="1765" spans="1:14" x14ac:dyDescent="0.25">
      <c r="A1765">
        <v>1554.8176719999999</v>
      </c>
      <c r="B1765" s="1">
        <f>DATE(2014,8,2) + TIME(19,37,26)</f>
        <v>41853.817662037036</v>
      </c>
      <c r="C1765">
        <v>80</v>
      </c>
      <c r="D1765">
        <v>79.947441100999995</v>
      </c>
      <c r="E1765">
        <v>50</v>
      </c>
      <c r="F1765">
        <v>45.773906707999998</v>
      </c>
      <c r="G1765">
        <v>1365.5118408000001</v>
      </c>
      <c r="H1765">
        <v>1355.7053223</v>
      </c>
      <c r="I1765">
        <v>1301.8572998</v>
      </c>
      <c r="J1765">
        <v>1287.9614257999999</v>
      </c>
      <c r="K1765">
        <v>1650</v>
      </c>
      <c r="L1765">
        <v>0</v>
      </c>
      <c r="M1765">
        <v>0</v>
      </c>
      <c r="N1765">
        <v>1650</v>
      </c>
    </row>
    <row r="1766" spans="1:14" x14ac:dyDescent="0.25">
      <c r="A1766">
        <v>1556.654538</v>
      </c>
      <c r="B1766" s="1">
        <f>DATE(2014,8,4) + TIME(15,42,32)</f>
        <v>41855.654537037037</v>
      </c>
      <c r="C1766">
        <v>80</v>
      </c>
      <c r="D1766">
        <v>79.947456360000004</v>
      </c>
      <c r="E1766">
        <v>50</v>
      </c>
      <c r="F1766">
        <v>45.727775573999999</v>
      </c>
      <c r="G1766">
        <v>1365.4720459</v>
      </c>
      <c r="H1766">
        <v>1355.6739502</v>
      </c>
      <c r="I1766">
        <v>1301.8199463000001</v>
      </c>
      <c r="J1766">
        <v>1287.8967285000001</v>
      </c>
      <c r="K1766">
        <v>1650</v>
      </c>
      <c r="L1766">
        <v>0</v>
      </c>
      <c r="M1766">
        <v>0</v>
      </c>
      <c r="N1766">
        <v>1650</v>
      </c>
    </row>
    <row r="1767" spans="1:14" x14ac:dyDescent="0.25">
      <c r="A1767">
        <v>1558.5308190000001</v>
      </c>
      <c r="B1767" s="1">
        <f>DATE(2014,8,6) + TIME(12,44,22)</f>
        <v>41857.530810185184</v>
      </c>
      <c r="C1767">
        <v>80</v>
      </c>
      <c r="D1767">
        <v>79.947471618999998</v>
      </c>
      <c r="E1767">
        <v>50</v>
      </c>
      <c r="F1767">
        <v>45.680454253999997</v>
      </c>
      <c r="G1767">
        <v>1365.432251</v>
      </c>
      <c r="H1767">
        <v>1355.6424560999999</v>
      </c>
      <c r="I1767">
        <v>1301.7814940999999</v>
      </c>
      <c r="J1767">
        <v>1287.8291016000001</v>
      </c>
      <c r="K1767">
        <v>1650</v>
      </c>
      <c r="L1767">
        <v>0</v>
      </c>
      <c r="M1767">
        <v>0</v>
      </c>
      <c r="N1767">
        <v>1650</v>
      </c>
    </row>
    <row r="1768" spans="1:14" x14ac:dyDescent="0.25">
      <c r="A1768">
        <v>1560.45281</v>
      </c>
      <c r="B1768" s="1">
        <f>DATE(2014,8,8) + TIME(10,52,2)</f>
        <v>41859.452800925923</v>
      </c>
      <c r="C1768">
        <v>80</v>
      </c>
      <c r="D1768">
        <v>79.947479247999993</v>
      </c>
      <c r="E1768">
        <v>50</v>
      </c>
      <c r="F1768">
        <v>45.633415221999996</v>
      </c>
      <c r="G1768">
        <v>1365.3919678</v>
      </c>
      <c r="H1768">
        <v>1355.6105957</v>
      </c>
      <c r="I1768">
        <v>1301.7419434000001</v>
      </c>
      <c r="J1768">
        <v>1287.7591553</v>
      </c>
      <c r="K1768">
        <v>1650</v>
      </c>
      <c r="L1768">
        <v>0</v>
      </c>
      <c r="M1768">
        <v>0</v>
      </c>
      <c r="N1768">
        <v>1650</v>
      </c>
    </row>
    <row r="1769" spans="1:14" x14ac:dyDescent="0.25">
      <c r="A1769">
        <v>1562.3953979999999</v>
      </c>
      <c r="B1769" s="1">
        <f>DATE(2014,8,10) + TIME(9,29,22)</f>
        <v>41861.39539351852</v>
      </c>
      <c r="C1769">
        <v>80</v>
      </c>
      <c r="D1769">
        <v>79.947494507000002</v>
      </c>
      <c r="E1769">
        <v>50</v>
      </c>
      <c r="F1769">
        <v>45.587646483999997</v>
      </c>
      <c r="G1769">
        <v>1365.3513184000001</v>
      </c>
      <c r="H1769">
        <v>1355.5783690999999</v>
      </c>
      <c r="I1769">
        <v>1301.7017822</v>
      </c>
      <c r="J1769">
        <v>1287.6876221</v>
      </c>
      <c r="K1769">
        <v>1650</v>
      </c>
      <c r="L1769">
        <v>0</v>
      </c>
      <c r="M1769">
        <v>0</v>
      </c>
      <c r="N1769">
        <v>1650</v>
      </c>
    </row>
    <row r="1770" spans="1:14" x14ac:dyDescent="0.25">
      <c r="A1770">
        <v>1564.3593820000001</v>
      </c>
      <c r="B1770" s="1">
        <f>DATE(2014,8,12) + TIME(8,37,30)</f>
        <v>41863.359375</v>
      </c>
      <c r="C1770">
        <v>80</v>
      </c>
      <c r="D1770">
        <v>79.947509765999996</v>
      </c>
      <c r="E1770">
        <v>50</v>
      </c>
      <c r="F1770">
        <v>45.543823242000002</v>
      </c>
      <c r="G1770">
        <v>1365.3106689000001</v>
      </c>
      <c r="H1770">
        <v>1355.5460204999999</v>
      </c>
      <c r="I1770">
        <v>1301.6612548999999</v>
      </c>
      <c r="J1770">
        <v>1287.6153564000001</v>
      </c>
      <c r="K1770">
        <v>1650</v>
      </c>
      <c r="L1770">
        <v>0</v>
      </c>
      <c r="M1770">
        <v>0</v>
      </c>
      <c r="N1770">
        <v>1650</v>
      </c>
    </row>
    <row r="1771" spans="1:14" x14ac:dyDescent="0.25">
      <c r="A1771">
        <v>1566.3513089999999</v>
      </c>
      <c r="B1771" s="1">
        <f>DATE(2014,8,14) + TIME(8,25,53)</f>
        <v>41865.351307870369</v>
      </c>
      <c r="C1771">
        <v>80</v>
      </c>
      <c r="D1771">
        <v>79.947525024000001</v>
      </c>
      <c r="E1771">
        <v>50</v>
      </c>
      <c r="F1771">
        <v>45.502330780000001</v>
      </c>
      <c r="G1771">
        <v>1365.2700195</v>
      </c>
      <c r="H1771">
        <v>1355.5135498</v>
      </c>
      <c r="I1771">
        <v>1301.6206055</v>
      </c>
      <c r="J1771">
        <v>1287.5424805</v>
      </c>
      <c r="K1771">
        <v>1650</v>
      </c>
      <c r="L1771">
        <v>0</v>
      </c>
      <c r="M1771">
        <v>0</v>
      </c>
      <c r="N1771">
        <v>1650</v>
      </c>
    </row>
    <row r="1772" spans="1:14" x14ac:dyDescent="0.25">
      <c r="A1772">
        <v>1568.3638350000001</v>
      </c>
      <c r="B1772" s="1">
        <f>DATE(2014,8,16) + TIME(8,43,55)</f>
        <v>41867.36383101852</v>
      </c>
      <c r="C1772">
        <v>80</v>
      </c>
      <c r="D1772">
        <v>79.947547912999994</v>
      </c>
      <c r="E1772">
        <v>50</v>
      </c>
      <c r="F1772">
        <v>45.463535309000001</v>
      </c>
      <c r="G1772">
        <v>1365.2293701000001</v>
      </c>
      <c r="H1772">
        <v>1355.4810791</v>
      </c>
      <c r="I1772">
        <v>1301.5799560999999</v>
      </c>
      <c r="J1772">
        <v>1287.4691161999999</v>
      </c>
      <c r="K1772">
        <v>1650</v>
      </c>
      <c r="L1772">
        <v>0</v>
      </c>
      <c r="M1772">
        <v>0</v>
      </c>
      <c r="N1772">
        <v>1650</v>
      </c>
    </row>
    <row r="1773" spans="1:14" x14ac:dyDescent="0.25">
      <c r="A1773">
        <v>1570.3964080000001</v>
      </c>
      <c r="B1773" s="1">
        <f>DATE(2014,8,18) + TIME(9,30,49)</f>
        <v>41869.39640046296</v>
      </c>
      <c r="C1773">
        <v>80</v>
      </c>
      <c r="D1773">
        <v>79.947563170999999</v>
      </c>
      <c r="E1773">
        <v>50</v>
      </c>
      <c r="F1773">
        <v>45.427799225000001</v>
      </c>
      <c r="G1773">
        <v>1365.1887207</v>
      </c>
      <c r="H1773">
        <v>1355.4484863</v>
      </c>
      <c r="I1773">
        <v>1301.5394286999999</v>
      </c>
      <c r="J1773">
        <v>1287.3955077999999</v>
      </c>
      <c r="K1773">
        <v>1650</v>
      </c>
      <c r="L1773">
        <v>0</v>
      </c>
      <c r="M1773">
        <v>0</v>
      </c>
      <c r="N1773">
        <v>1650</v>
      </c>
    </row>
    <row r="1774" spans="1:14" x14ac:dyDescent="0.25">
      <c r="A1774">
        <v>1572.455222</v>
      </c>
      <c r="B1774" s="1">
        <f>DATE(2014,8,20) + TIME(10,55,31)</f>
        <v>41871.45521990741</v>
      </c>
      <c r="C1774">
        <v>80</v>
      </c>
      <c r="D1774">
        <v>79.947578429999993</v>
      </c>
      <c r="E1774">
        <v>50</v>
      </c>
      <c r="F1774">
        <v>45.395423889</v>
      </c>
      <c r="G1774">
        <v>1365.1480713000001</v>
      </c>
      <c r="H1774">
        <v>1355.4158935999999</v>
      </c>
      <c r="I1774">
        <v>1301.4991454999999</v>
      </c>
      <c r="J1774">
        <v>1287.3221435999999</v>
      </c>
      <c r="K1774">
        <v>1650</v>
      </c>
      <c r="L1774">
        <v>0</v>
      </c>
      <c r="M1774">
        <v>0</v>
      </c>
      <c r="N1774">
        <v>1650</v>
      </c>
    </row>
    <row r="1775" spans="1:14" x14ac:dyDescent="0.25">
      <c r="A1775">
        <v>1574.546771</v>
      </c>
      <c r="B1775" s="1">
        <f>DATE(2014,8,22) + TIME(13,7,21)</f>
        <v>41873.546770833331</v>
      </c>
      <c r="C1775">
        <v>80</v>
      </c>
      <c r="D1775">
        <v>79.947601317999997</v>
      </c>
      <c r="E1775">
        <v>50</v>
      </c>
      <c r="F1775">
        <v>45.366714477999999</v>
      </c>
      <c r="G1775">
        <v>1365.1074219</v>
      </c>
      <c r="H1775">
        <v>1355.3831786999999</v>
      </c>
      <c r="I1775">
        <v>1301.4589844</v>
      </c>
      <c r="J1775">
        <v>1287.2486572</v>
      </c>
      <c r="K1775">
        <v>1650</v>
      </c>
      <c r="L1775">
        <v>0</v>
      </c>
      <c r="M1775">
        <v>0</v>
      </c>
      <c r="N1775">
        <v>1650</v>
      </c>
    </row>
    <row r="1776" spans="1:14" x14ac:dyDescent="0.25">
      <c r="A1776">
        <v>1576.6779100000001</v>
      </c>
      <c r="B1776" s="1">
        <f>DATE(2014,8,24) + TIME(16,16,11)</f>
        <v>41875.677905092591</v>
      </c>
      <c r="C1776">
        <v>80</v>
      </c>
      <c r="D1776">
        <v>79.947624207000004</v>
      </c>
      <c r="E1776">
        <v>50</v>
      </c>
      <c r="F1776">
        <v>45.342010498</v>
      </c>
      <c r="G1776">
        <v>1365.0665283000001</v>
      </c>
      <c r="H1776">
        <v>1355.3502197</v>
      </c>
      <c r="I1776">
        <v>1301.4190673999999</v>
      </c>
      <c r="J1776">
        <v>1287.1751709</v>
      </c>
      <c r="K1776">
        <v>1650</v>
      </c>
      <c r="L1776">
        <v>0</v>
      </c>
      <c r="M1776">
        <v>0</v>
      </c>
      <c r="N1776">
        <v>1650</v>
      </c>
    </row>
    <row r="1777" spans="1:14" x14ac:dyDescent="0.25">
      <c r="A1777">
        <v>1578.8560239999999</v>
      </c>
      <c r="B1777" s="1">
        <f>DATE(2014,8,26) + TIME(20,32,40)</f>
        <v>41877.85601851852</v>
      </c>
      <c r="C1777">
        <v>80</v>
      </c>
      <c r="D1777">
        <v>79.947647094999994</v>
      </c>
      <c r="E1777">
        <v>50</v>
      </c>
      <c r="F1777">
        <v>45.321716309000003</v>
      </c>
      <c r="G1777">
        <v>1365.0253906</v>
      </c>
      <c r="H1777">
        <v>1355.3168945</v>
      </c>
      <c r="I1777">
        <v>1301.3792725000001</v>
      </c>
      <c r="J1777">
        <v>1287.1018065999999</v>
      </c>
      <c r="K1777">
        <v>1650</v>
      </c>
      <c r="L1777">
        <v>0</v>
      </c>
      <c r="M1777">
        <v>0</v>
      </c>
      <c r="N1777">
        <v>1650</v>
      </c>
    </row>
    <row r="1778" spans="1:14" x14ac:dyDescent="0.25">
      <c r="A1778">
        <v>1581.089367</v>
      </c>
      <c r="B1778" s="1">
        <f>DATE(2014,8,29) + TIME(2,8,41)</f>
        <v>41880.089363425926</v>
      </c>
      <c r="C1778">
        <v>80</v>
      </c>
      <c r="D1778">
        <v>79.947669982999997</v>
      </c>
      <c r="E1778">
        <v>50</v>
      </c>
      <c r="F1778">
        <v>45.30632782</v>
      </c>
      <c r="G1778">
        <v>1364.9837646000001</v>
      </c>
      <c r="H1778">
        <v>1355.2830810999999</v>
      </c>
      <c r="I1778">
        <v>1301.3397216999999</v>
      </c>
      <c r="J1778">
        <v>1287.0284423999999</v>
      </c>
      <c r="K1778">
        <v>1650</v>
      </c>
      <c r="L1778">
        <v>0</v>
      </c>
      <c r="M1778">
        <v>0</v>
      </c>
      <c r="N1778">
        <v>1650</v>
      </c>
    </row>
    <row r="1779" spans="1:14" x14ac:dyDescent="0.25">
      <c r="A1779">
        <v>1583.349322</v>
      </c>
      <c r="B1779" s="1">
        <f>DATE(2014,8,31) + TIME(8,23,1)</f>
        <v>41882.349317129629</v>
      </c>
      <c r="C1779">
        <v>80</v>
      </c>
      <c r="D1779">
        <v>79.947692871000001</v>
      </c>
      <c r="E1779">
        <v>50</v>
      </c>
      <c r="F1779">
        <v>45.296520233000003</v>
      </c>
      <c r="G1779">
        <v>1364.9415283000001</v>
      </c>
      <c r="H1779">
        <v>1355.2487793</v>
      </c>
      <c r="I1779">
        <v>1301.3005370999999</v>
      </c>
      <c r="J1779">
        <v>1286.9552002</v>
      </c>
      <c r="K1779">
        <v>1650</v>
      </c>
      <c r="L1779">
        <v>0</v>
      </c>
      <c r="M1779">
        <v>0</v>
      </c>
      <c r="N1779">
        <v>1650</v>
      </c>
    </row>
    <row r="1780" spans="1:14" x14ac:dyDescent="0.25">
      <c r="A1780">
        <v>1584</v>
      </c>
      <c r="B1780" s="1">
        <f>DATE(2014,9,1) + TIME(0,0,0)</f>
        <v>41883</v>
      </c>
      <c r="C1780">
        <v>80</v>
      </c>
      <c r="D1780">
        <v>79.947685242000006</v>
      </c>
      <c r="E1780">
        <v>50</v>
      </c>
      <c r="F1780">
        <v>45.294635773000003</v>
      </c>
      <c r="G1780">
        <v>1364.8994141000001</v>
      </c>
      <c r="H1780">
        <v>1355.2144774999999</v>
      </c>
      <c r="I1780">
        <v>1301.2705077999999</v>
      </c>
      <c r="J1780">
        <v>1286.8973389</v>
      </c>
      <c r="K1780">
        <v>1650</v>
      </c>
      <c r="L1780">
        <v>0</v>
      </c>
      <c r="M1780">
        <v>0</v>
      </c>
      <c r="N1780">
        <v>1650</v>
      </c>
    </row>
    <row r="1781" spans="1:14" x14ac:dyDescent="0.25">
      <c r="A1781">
        <v>1586.281614</v>
      </c>
      <c r="B1781" s="1">
        <f>DATE(2014,9,3) + TIME(6,45,31)</f>
        <v>41885.281608796293</v>
      </c>
      <c r="C1781">
        <v>80</v>
      </c>
      <c r="D1781">
        <v>79.947715759000005</v>
      </c>
      <c r="E1781">
        <v>50</v>
      </c>
      <c r="F1781">
        <v>45.293540954999997</v>
      </c>
      <c r="G1781">
        <v>1364.8870850000001</v>
      </c>
      <c r="H1781">
        <v>1355.2043457</v>
      </c>
      <c r="I1781">
        <v>1301.2489014</v>
      </c>
      <c r="J1781">
        <v>1286.8588867000001</v>
      </c>
      <c r="K1781">
        <v>1650</v>
      </c>
      <c r="L1781">
        <v>0</v>
      </c>
      <c r="M1781">
        <v>0</v>
      </c>
      <c r="N1781">
        <v>1650</v>
      </c>
    </row>
    <row r="1782" spans="1:14" x14ac:dyDescent="0.25">
      <c r="A1782">
        <v>1588.604662</v>
      </c>
      <c r="B1782" s="1">
        <f>DATE(2014,9,5) + TIME(14,30,42)</f>
        <v>41887.60465277778</v>
      </c>
      <c r="C1782">
        <v>80</v>
      </c>
      <c r="D1782">
        <v>79.947746276999993</v>
      </c>
      <c r="E1782">
        <v>50</v>
      </c>
      <c r="F1782">
        <v>45.299076079999999</v>
      </c>
      <c r="G1782">
        <v>1364.8450928</v>
      </c>
      <c r="H1782">
        <v>1355.1700439000001</v>
      </c>
      <c r="I1782">
        <v>1301.2136230000001</v>
      </c>
      <c r="J1782">
        <v>1286.7918701000001</v>
      </c>
      <c r="K1782">
        <v>1650</v>
      </c>
      <c r="L1782">
        <v>0</v>
      </c>
      <c r="M1782">
        <v>0</v>
      </c>
      <c r="N1782">
        <v>1650</v>
      </c>
    </row>
    <row r="1783" spans="1:14" x14ac:dyDescent="0.25">
      <c r="A1783">
        <v>1590.9495879999999</v>
      </c>
      <c r="B1783" s="1">
        <f>DATE(2014,9,7) + TIME(22,47,24)</f>
        <v>41889.949583333335</v>
      </c>
      <c r="C1783">
        <v>80</v>
      </c>
      <c r="D1783">
        <v>79.947776794000006</v>
      </c>
      <c r="E1783">
        <v>50</v>
      </c>
      <c r="F1783">
        <v>45.312145233000003</v>
      </c>
      <c r="G1783">
        <v>1364.8026123</v>
      </c>
      <c r="H1783">
        <v>1355.1352539</v>
      </c>
      <c r="I1783">
        <v>1301.1783447</v>
      </c>
      <c r="J1783">
        <v>1286.7248535000001</v>
      </c>
      <c r="K1783">
        <v>1650</v>
      </c>
      <c r="L1783">
        <v>0</v>
      </c>
      <c r="M1783">
        <v>0</v>
      </c>
      <c r="N1783">
        <v>1650</v>
      </c>
    </row>
    <row r="1784" spans="1:14" x14ac:dyDescent="0.25">
      <c r="A1784">
        <v>1593.3236549999999</v>
      </c>
      <c r="B1784" s="1">
        <f>DATE(2014,9,10) + TIME(7,46,3)</f>
        <v>41892.323645833334</v>
      </c>
      <c r="C1784">
        <v>80</v>
      </c>
      <c r="D1784">
        <v>79.947799683</v>
      </c>
      <c r="E1784">
        <v>50</v>
      </c>
      <c r="F1784">
        <v>45.333446502999998</v>
      </c>
      <c r="G1784">
        <v>1364.7602539</v>
      </c>
      <c r="H1784">
        <v>1355.1003418</v>
      </c>
      <c r="I1784">
        <v>1301.144043</v>
      </c>
      <c r="J1784">
        <v>1286.6595459</v>
      </c>
      <c r="K1784">
        <v>1650</v>
      </c>
      <c r="L1784">
        <v>0</v>
      </c>
      <c r="M1784">
        <v>0</v>
      </c>
      <c r="N1784">
        <v>1650</v>
      </c>
    </row>
    <row r="1785" spans="1:14" x14ac:dyDescent="0.25">
      <c r="A1785">
        <v>1595.7347130000001</v>
      </c>
      <c r="B1785" s="1">
        <f>DATE(2014,9,12) + TIME(17,37,59)</f>
        <v>41894.734710648147</v>
      </c>
      <c r="C1785">
        <v>80</v>
      </c>
      <c r="D1785">
        <v>79.947830199999999</v>
      </c>
      <c r="E1785">
        <v>50</v>
      </c>
      <c r="F1785">
        <v>45.363731383999998</v>
      </c>
      <c r="G1785">
        <v>1364.7177733999999</v>
      </c>
      <c r="H1785">
        <v>1355.0654297000001</v>
      </c>
      <c r="I1785">
        <v>1301.1110839999999</v>
      </c>
      <c r="J1785">
        <v>1286.5965576000001</v>
      </c>
      <c r="K1785">
        <v>1650</v>
      </c>
      <c r="L1785">
        <v>0</v>
      </c>
      <c r="M1785">
        <v>0</v>
      </c>
      <c r="N1785">
        <v>1650</v>
      </c>
    </row>
    <row r="1786" spans="1:14" x14ac:dyDescent="0.25">
      <c r="A1786">
        <v>1598.190998</v>
      </c>
      <c r="B1786" s="1">
        <f>DATE(2014,9,15) + TIME(4,35,2)</f>
        <v>41897.190995370373</v>
      </c>
      <c r="C1786">
        <v>80</v>
      </c>
      <c r="D1786">
        <v>79.947860718000001</v>
      </c>
      <c r="E1786">
        <v>50</v>
      </c>
      <c r="F1786">
        <v>45.403823852999999</v>
      </c>
      <c r="G1786">
        <v>1364.6750488</v>
      </c>
      <c r="H1786">
        <v>1355.0301514</v>
      </c>
      <c r="I1786">
        <v>1301.0795897999999</v>
      </c>
      <c r="J1786">
        <v>1286.5362548999999</v>
      </c>
      <c r="K1786">
        <v>1650</v>
      </c>
      <c r="L1786">
        <v>0</v>
      </c>
      <c r="M1786">
        <v>0</v>
      </c>
      <c r="N1786">
        <v>1650</v>
      </c>
    </row>
    <row r="1787" spans="1:14" x14ac:dyDescent="0.25">
      <c r="A1787">
        <v>1600.7010640000001</v>
      </c>
      <c r="B1787" s="1">
        <f>DATE(2014,9,17) + TIME(16,49,31)</f>
        <v>41899.701053240744</v>
      </c>
      <c r="C1787">
        <v>80</v>
      </c>
      <c r="D1787">
        <v>79.947891235</v>
      </c>
      <c r="E1787">
        <v>50</v>
      </c>
      <c r="F1787">
        <v>45.454677582000002</v>
      </c>
      <c r="G1787">
        <v>1364.6320800999999</v>
      </c>
      <c r="H1787">
        <v>1354.9945068</v>
      </c>
      <c r="I1787">
        <v>1301.0496826000001</v>
      </c>
      <c r="J1787">
        <v>1286.4787598</v>
      </c>
      <c r="K1787">
        <v>1650</v>
      </c>
      <c r="L1787">
        <v>0</v>
      </c>
      <c r="M1787">
        <v>0</v>
      </c>
      <c r="N1787">
        <v>1650</v>
      </c>
    </row>
    <row r="1788" spans="1:14" x14ac:dyDescent="0.25">
      <c r="A1788">
        <v>1603.2741000000001</v>
      </c>
      <c r="B1788" s="1">
        <f>DATE(2014,9,20) + TIME(6,34,42)</f>
        <v>41902.274097222224</v>
      </c>
      <c r="C1788">
        <v>80</v>
      </c>
      <c r="D1788">
        <v>79.947921753000003</v>
      </c>
      <c r="E1788">
        <v>50</v>
      </c>
      <c r="F1788">
        <v>45.517410278</v>
      </c>
      <c r="G1788">
        <v>1364.588501</v>
      </c>
      <c r="H1788">
        <v>1354.958374</v>
      </c>
      <c r="I1788">
        <v>1301.0214844</v>
      </c>
      <c r="J1788">
        <v>1286.4245605000001</v>
      </c>
      <c r="K1788">
        <v>1650</v>
      </c>
      <c r="L1788">
        <v>0</v>
      </c>
      <c r="M1788">
        <v>0</v>
      </c>
      <c r="N1788">
        <v>1650</v>
      </c>
    </row>
    <row r="1789" spans="1:14" x14ac:dyDescent="0.25">
      <c r="A1789">
        <v>1605.8815079999999</v>
      </c>
      <c r="B1789" s="1">
        <f>DATE(2014,9,22) + TIME(21,9,22)</f>
        <v>41904.881504629629</v>
      </c>
      <c r="C1789">
        <v>80</v>
      </c>
      <c r="D1789">
        <v>79.947952271000005</v>
      </c>
      <c r="E1789">
        <v>50</v>
      </c>
      <c r="F1789">
        <v>45.592945098999998</v>
      </c>
      <c r="G1789">
        <v>1364.5443115</v>
      </c>
      <c r="H1789">
        <v>1354.9216309000001</v>
      </c>
      <c r="I1789">
        <v>1300.9952393000001</v>
      </c>
      <c r="J1789">
        <v>1286.3740233999999</v>
      </c>
      <c r="K1789">
        <v>1650</v>
      </c>
      <c r="L1789">
        <v>0</v>
      </c>
      <c r="M1789">
        <v>0</v>
      </c>
      <c r="N1789">
        <v>1650</v>
      </c>
    </row>
    <row r="1790" spans="1:14" x14ac:dyDescent="0.25">
      <c r="A1790">
        <v>1607.1867580000001</v>
      </c>
      <c r="B1790" s="1">
        <f>DATE(2014,9,24) + TIME(4,28,55)</f>
        <v>41906.186747685184</v>
      </c>
      <c r="C1790">
        <v>80</v>
      </c>
      <c r="D1790">
        <v>79.947959900000001</v>
      </c>
      <c r="E1790">
        <v>50</v>
      </c>
      <c r="F1790">
        <v>45.660495758000003</v>
      </c>
      <c r="G1790">
        <v>1364.5</v>
      </c>
      <c r="H1790">
        <v>1354.8847656</v>
      </c>
      <c r="I1790">
        <v>1300.9780272999999</v>
      </c>
      <c r="J1790">
        <v>1286.3337402</v>
      </c>
      <c r="K1790">
        <v>1650</v>
      </c>
      <c r="L1790">
        <v>0</v>
      </c>
      <c r="M1790">
        <v>0</v>
      </c>
      <c r="N1790">
        <v>1650</v>
      </c>
    </row>
    <row r="1791" spans="1:14" x14ac:dyDescent="0.25">
      <c r="A1791">
        <v>1608.4920090000001</v>
      </c>
      <c r="B1791" s="1">
        <f>DATE(2014,9,25) + TIME(11,48,29)</f>
        <v>41907.492002314815</v>
      </c>
      <c r="C1791">
        <v>80</v>
      </c>
      <c r="D1791">
        <v>79.947967528999996</v>
      </c>
      <c r="E1791">
        <v>50</v>
      </c>
      <c r="F1791">
        <v>45.720661163000003</v>
      </c>
      <c r="G1791">
        <v>1364.4777832</v>
      </c>
      <c r="H1791">
        <v>1354.8662108999999</v>
      </c>
      <c r="I1791">
        <v>1300.9637451000001</v>
      </c>
      <c r="J1791">
        <v>1286.3100586</v>
      </c>
      <c r="K1791">
        <v>1650</v>
      </c>
      <c r="L1791">
        <v>0</v>
      </c>
      <c r="M1791">
        <v>0</v>
      </c>
      <c r="N1791">
        <v>1650</v>
      </c>
    </row>
    <row r="1792" spans="1:14" x14ac:dyDescent="0.25">
      <c r="A1792">
        <v>1609.7972600000001</v>
      </c>
      <c r="B1792" s="1">
        <f>DATE(2014,9,26) + TIME(19,8,3)</f>
        <v>41908.797256944446</v>
      </c>
      <c r="C1792">
        <v>80</v>
      </c>
      <c r="D1792">
        <v>79.947982788000004</v>
      </c>
      <c r="E1792">
        <v>50</v>
      </c>
      <c r="F1792">
        <v>45.778964995999999</v>
      </c>
      <c r="G1792">
        <v>1364.4560547000001</v>
      </c>
      <c r="H1792">
        <v>1354.8479004000001</v>
      </c>
      <c r="I1792">
        <v>1300.9520264</v>
      </c>
      <c r="J1792">
        <v>1286.2894286999999</v>
      </c>
      <c r="K1792">
        <v>1650</v>
      </c>
      <c r="L1792">
        <v>0</v>
      </c>
      <c r="M1792">
        <v>0</v>
      </c>
      <c r="N1792">
        <v>1650</v>
      </c>
    </row>
    <row r="1793" spans="1:14" x14ac:dyDescent="0.25">
      <c r="A1793">
        <v>1612.407762</v>
      </c>
      <c r="B1793" s="1">
        <f>DATE(2014,9,29) + TIME(9,47,10)</f>
        <v>41911.407754629632</v>
      </c>
      <c r="C1793">
        <v>80</v>
      </c>
      <c r="D1793">
        <v>79.948036193999997</v>
      </c>
      <c r="E1793">
        <v>50</v>
      </c>
      <c r="F1793">
        <v>45.856365203999999</v>
      </c>
      <c r="G1793">
        <v>1364.4344481999999</v>
      </c>
      <c r="H1793">
        <v>1354.8298339999999</v>
      </c>
      <c r="I1793">
        <v>1300.9372559000001</v>
      </c>
      <c r="J1793">
        <v>1286.2678223</v>
      </c>
      <c r="K1793">
        <v>1650</v>
      </c>
      <c r="L1793">
        <v>0</v>
      </c>
      <c r="M1793">
        <v>0</v>
      </c>
      <c r="N1793">
        <v>1650</v>
      </c>
    </row>
    <row r="1794" spans="1:14" x14ac:dyDescent="0.25">
      <c r="A1794">
        <v>1614</v>
      </c>
      <c r="B1794" s="1">
        <f>DATE(2014,10,1) + TIME(0,0,0)</f>
        <v>41913</v>
      </c>
      <c r="C1794">
        <v>80</v>
      </c>
      <c r="D1794">
        <v>79.948043823000006</v>
      </c>
      <c r="E1794">
        <v>50</v>
      </c>
      <c r="F1794">
        <v>45.948837279999999</v>
      </c>
      <c r="G1794">
        <v>1364.3913574000001</v>
      </c>
      <c r="H1794">
        <v>1354.7937012</v>
      </c>
      <c r="I1794">
        <v>1300.9277344</v>
      </c>
      <c r="J1794">
        <v>1286.2409668</v>
      </c>
      <c r="K1794">
        <v>1650</v>
      </c>
      <c r="L1794">
        <v>0</v>
      </c>
      <c r="M1794">
        <v>0</v>
      </c>
      <c r="N1794">
        <v>1650</v>
      </c>
    </row>
    <row r="1795" spans="1:14" x14ac:dyDescent="0.25">
      <c r="A1795">
        <v>1616.6208750000001</v>
      </c>
      <c r="B1795" s="1">
        <f>DATE(2014,10,3) + TIME(14,54,3)</f>
        <v>41915.620868055557</v>
      </c>
      <c r="C1795">
        <v>80</v>
      </c>
      <c r="D1795">
        <v>79.948089600000003</v>
      </c>
      <c r="E1795">
        <v>50</v>
      </c>
      <c r="F1795">
        <v>46.054107666</v>
      </c>
      <c r="G1795">
        <v>1364.3652344</v>
      </c>
      <c r="H1795">
        <v>1354.7717285000001</v>
      </c>
      <c r="I1795">
        <v>1300.9133300999999</v>
      </c>
      <c r="J1795">
        <v>1286.2218018000001</v>
      </c>
      <c r="K1795">
        <v>1650</v>
      </c>
      <c r="L1795">
        <v>0</v>
      </c>
      <c r="M1795">
        <v>0</v>
      </c>
      <c r="N1795">
        <v>1650</v>
      </c>
    </row>
    <row r="1796" spans="1:14" x14ac:dyDescent="0.25">
      <c r="A1796">
        <v>1619.3322049999999</v>
      </c>
      <c r="B1796" s="1">
        <f>DATE(2014,10,6) + TIME(7,58,22)</f>
        <v>41918.332199074073</v>
      </c>
      <c r="C1796">
        <v>80</v>
      </c>
      <c r="D1796">
        <v>79.948127747000001</v>
      </c>
      <c r="E1796">
        <v>50</v>
      </c>
      <c r="F1796">
        <v>46.189071654999999</v>
      </c>
      <c r="G1796">
        <v>1364.3227539</v>
      </c>
      <c r="H1796">
        <v>1354.7360839999999</v>
      </c>
      <c r="I1796">
        <v>1300.9024658000001</v>
      </c>
      <c r="J1796">
        <v>1286.2001952999999</v>
      </c>
      <c r="K1796">
        <v>1650</v>
      </c>
      <c r="L1796">
        <v>0</v>
      </c>
      <c r="M1796">
        <v>0</v>
      </c>
      <c r="N1796">
        <v>1650</v>
      </c>
    </row>
    <row r="1797" spans="1:14" x14ac:dyDescent="0.25">
      <c r="A1797">
        <v>1622.111431</v>
      </c>
      <c r="B1797" s="1">
        <f>DATE(2014,10,9) + TIME(2,40,27)</f>
        <v>41921.11142361111</v>
      </c>
      <c r="C1797">
        <v>80</v>
      </c>
      <c r="D1797">
        <v>79.948165893999999</v>
      </c>
      <c r="E1797">
        <v>50</v>
      </c>
      <c r="F1797">
        <v>46.345256804999998</v>
      </c>
      <c r="G1797">
        <v>1364.2792969</v>
      </c>
      <c r="H1797">
        <v>1354.6993408000001</v>
      </c>
      <c r="I1797">
        <v>1300.8931885</v>
      </c>
      <c r="J1797">
        <v>1286.1833495999999</v>
      </c>
      <c r="K1797">
        <v>1650</v>
      </c>
      <c r="L1797">
        <v>0</v>
      </c>
      <c r="M1797">
        <v>0</v>
      </c>
      <c r="N1797">
        <v>1650</v>
      </c>
    </row>
    <row r="1798" spans="1:14" x14ac:dyDescent="0.25">
      <c r="A1798">
        <v>1624.9708909999999</v>
      </c>
      <c r="B1798" s="1">
        <f>DATE(2014,10,11) + TIME(23,18,4)</f>
        <v>41923.970879629633</v>
      </c>
      <c r="C1798">
        <v>80</v>
      </c>
      <c r="D1798">
        <v>79.948204040999997</v>
      </c>
      <c r="E1798">
        <v>50</v>
      </c>
      <c r="F1798">
        <v>46.519886016999997</v>
      </c>
      <c r="G1798">
        <v>1364.2352295000001</v>
      </c>
      <c r="H1798">
        <v>1354.6622314000001</v>
      </c>
      <c r="I1798">
        <v>1300.8862305</v>
      </c>
      <c r="J1798">
        <v>1286.1722411999999</v>
      </c>
      <c r="K1798">
        <v>1650</v>
      </c>
      <c r="L1798">
        <v>0</v>
      </c>
      <c r="M1798">
        <v>0</v>
      </c>
      <c r="N1798">
        <v>1650</v>
      </c>
    </row>
    <row r="1799" spans="1:14" x14ac:dyDescent="0.25">
      <c r="A1799">
        <v>1627.8936940000001</v>
      </c>
      <c r="B1799" s="1">
        <f>DATE(2014,10,14) + TIME(21,26,55)</f>
        <v>41926.893692129626</v>
      </c>
      <c r="C1799">
        <v>80</v>
      </c>
      <c r="D1799">
        <v>79.948249817000004</v>
      </c>
      <c r="E1799">
        <v>50</v>
      </c>
      <c r="F1799">
        <v>46.712280272999998</v>
      </c>
      <c r="G1799">
        <v>1364.1904297000001</v>
      </c>
      <c r="H1799">
        <v>1354.6243896000001</v>
      </c>
      <c r="I1799">
        <v>1300.8822021000001</v>
      </c>
      <c r="J1799">
        <v>1286.1674805</v>
      </c>
      <c r="K1799">
        <v>1650</v>
      </c>
      <c r="L1799">
        <v>0</v>
      </c>
      <c r="M1799">
        <v>0</v>
      </c>
      <c r="N1799">
        <v>1650</v>
      </c>
    </row>
    <row r="1800" spans="1:14" x14ac:dyDescent="0.25">
      <c r="A1800">
        <v>1630.8512720000001</v>
      </c>
      <c r="B1800" s="1">
        <f>DATE(2014,10,17) + TIME(20,25,49)</f>
        <v>41929.851261574076</v>
      </c>
      <c r="C1800">
        <v>80</v>
      </c>
      <c r="D1800">
        <v>79.948287964000002</v>
      </c>
      <c r="E1800">
        <v>50</v>
      </c>
      <c r="F1800">
        <v>46.921073913999997</v>
      </c>
      <c r="G1800">
        <v>1364.1453856999999</v>
      </c>
      <c r="H1800">
        <v>1354.5861815999999</v>
      </c>
      <c r="I1800">
        <v>1300.8813477000001</v>
      </c>
      <c r="J1800">
        <v>1286.1695557</v>
      </c>
      <c r="K1800">
        <v>1650</v>
      </c>
      <c r="L1800">
        <v>0</v>
      </c>
      <c r="M1800">
        <v>0</v>
      </c>
      <c r="N1800">
        <v>1650</v>
      </c>
    </row>
    <row r="1801" spans="1:14" x14ac:dyDescent="0.25">
      <c r="A1801">
        <v>1633.8532270000001</v>
      </c>
      <c r="B1801" s="1">
        <f>DATE(2014,10,20) + TIME(20,28,38)</f>
        <v>41932.853217592594</v>
      </c>
      <c r="C1801">
        <v>80</v>
      </c>
      <c r="D1801">
        <v>79.948333739999995</v>
      </c>
      <c r="E1801">
        <v>50</v>
      </c>
      <c r="F1801">
        <v>47.144645691000001</v>
      </c>
      <c r="G1801">
        <v>1364.1003418</v>
      </c>
      <c r="H1801">
        <v>1354.5479736</v>
      </c>
      <c r="I1801">
        <v>1300.8835449000001</v>
      </c>
      <c r="J1801">
        <v>1286.1784668</v>
      </c>
      <c r="K1801">
        <v>1650</v>
      </c>
      <c r="L1801">
        <v>0</v>
      </c>
      <c r="M1801">
        <v>0</v>
      </c>
      <c r="N1801">
        <v>1650</v>
      </c>
    </row>
    <row r="1802" spans="1:14" x14ac:dyDescent="0.25">
      <c r="A1802">
        <v>1636.909764</v>
      </c>
      <c r="B1802" s="1">
        <f>DATE(2014,10,23) + TIME(21,50,3)</f>
        <v>41935.909756944442</v>
      </c>
      <c r="C1802">
        <v>80</v>
      </c>
      <c r="D1802">
        <v>79.948379517000006</v>
      </c>
      <c r="E1802">
        <v>50</v>
      </c>
      <c r="F1802">
        <v>47.382350922000001</v>
      </c>
      <c r="G1802">
        <v>1364.0552978999999</v>
      </c>
      <c r="H1802">
        <v>1354.5096435999999</v>
      </c>
      <c r="I1802">
        <v>1300.8890381000001</v>
      </c>
      <c r="J1802">
        <v>1286.1940918</v>
      </c>
      <c r="K1802">
        <v>1650</v>
      </c>
      <c r="L1802">
        <v>0</v>
      </c>
      <c r="M1802">
        <v>0</v>
      </c>
      <c r="N1802">
        <v>1650</v>
      </c>
    </row>
    <row r="1803" spans="1:14" x14ac:dyDescent="0.25">
      <c r="A1803">
        <v>1640.0318569999999</v>
      </c>
      <c r="B1803" s="1">
        <f>DATE(2014,10,27) + TIME(0,45,52)</f>
        <v>41939.031851851854</v>
      </c>
      <c r="C1803">
        <v>80</v>
      </c>
      <c r="D1803">
        <v>79.948417664000004</v>
      </c>
      <c r="E1803">
        <v>50</v>
      </c>
      <c r="F1803">
        <v>47.633853911999999</v>
      </c>
      <c r="G1803">
        <v>1364.0101318</v>
      </c>
      <c r="H1803">
        <v>1354.4713135</v>
      </c>
      <c r="I1803">
        <v>1300.8975829999999</v>
      </c>
      <c r="J1803">
        <v>1286.2166748</v>
      </c>
      <c r="K1803">
        <v>1650</v>
      </c>
      <c r="L1803">
        <v>0</v>
      </c>
      <c r="M1803">
        <v>0</v>
      </c>
      <c r="N1803">
        <v>1650</v>
      </c>
    </row>
    <row r="1804" spans="1:14" x14ac:dyDescent="0.25">
      <c r="A1804">
        <v>1643.2145820000001</v>
      </c>
      <c r="B1804" s="1">
        <f>DATE(2014,10,30) + TIME(5,8,59)</f>
        <v>41942.214571759258</v>
      </c>
      <c r="C1804">
        <v>80</v>
      </c>
      <c r="D1804">
        <v>79.948463439999998</v>
      </c>
      <c r="E1804">
        <v>50</v>
      </c>
      <c r="F1804">
        <v>47.898406981999997</v>
      </c>
      <c r="G1804">
        <v>1363.9648437999999</v>
      </c>
      <c r="H1804">
        <v>1354.4327393000001</v>
      </c>
      <c r="I1804">
        <v>1300.9094238</v>
      </c>
      <c r="J1804">
        <v>1286.2458495999999</v>
      </c>
      <c r="K1804">
        <v>1650</v>
      </c>
      <c r="L1804">
        <v>0</v>
      </c>
      <c r="M1804">
        <v>0</v>
      </c>
      <c r="N1804">
        <v>1650</v>
      </c>
    </row>
    <row r="1805" spans="1:14" x14ac:dyDescent="0.25">
      <c r="A1805">
        <v>1645</v>
      </c>
      <c r="B1805" s="1">
        <f>DATE(2014,11,1) + TIME(0,0,0)</f>
        <v>41944</v>
      </c>
      <c r="C1805">
        <v>80</v>
      </c>
      <c r="D1805">
        <v>79.948478699000006</v>
      </c>
      <c r="E1805">
        <v>50</v>
      </c>
      <c r="F1805">
        <v>48.126453400000003</v>
      </c>
      <c r="G1805">
        <v>1363.9194336</v>
      </c>
      <c r="H1805">
        <v>1354.394043</v>
      </c>
      <c r="I1805">
        <v>1300.9306641000001</v>
      </c>
      <c r="J1805">
        <v>1286.2801514</v>
      </c>
      <c r="K1805">
        <v>1650</v>
      </c>
      <c r="L1805">
        <v>0</v>
      </c>
      <c r="M1805">
        <v>0</v>
      </c>
      <c r="N1805">
        <v>1650</v>
      </c>
    </row>
    <row r="1806" spans="1:14" x14ac:dyDescent="0.25">
      <c r="A1806">
        <v>1645.0000010000001</v>
      </c>
      <c r="B1806" s="1">
        <f>DATE(2014,11,1) + TIME(0,0,0)</f>
        <v>41944</v>
      </c>
      <c r="C1806">
        <v>80</v>
      </c>
      <c r="D1806">
        <v>79.948394774999997</v>
      </c>
      <c r="E1806">
        <v>50</v>
      </c>
      <c r="F1806">
        <v>48.126533508000001</v>
      </c>
      <c r="G1806">
        <v>1353.7946777</v>
      </c>
      <c r="H1806">
        <v>1345.9162598</v>
      </c>
      <c r="I1806">
        <v>1316.2723389</v>
      </c>
      <c r="J1806">
        <v>1301.5812988</v>
      </c>
      <c r="K1806">
        <v>0</v>
      </c>
      <c r="L1806">
        <v>1650</v>
      </c>
      <c r="M1806">
        <v>1650</v>
      </c>
      <c r="N1806">
        <v>0</v>
      </c>
    </row>
    <row r="1807" spans="1:14" x14ac:dyDescent="0.25">
      <c r="A1807">
        <v>1645.000004</v>
      </c>
      <c r="B1807" s="1">
        <f>DATE(2014,11,1) + TIME(0,0,0)</f>
        <v>41944</v>
      </c>
      <c r="C1807">
        <v>80</v>
      </c>
      <c r="D1807">
        <v>79.948181152000004</v>
      </c>
      <c r="E1807">
        <v>50</v>
      </c>
      <c r="F1807">
        <v>48.126758574999997</v>
      </c>
      <c r="G1807">
        <v>1352.2805175999999</v>
      </c>
      <c r="H1807">
        <v>1344.4016113</v>
      </c>
      <c r="I1807">
        <v>1317.9136963000001</v>
      </c>
      <c r="J1807">
        <v>1303.3204346</v>
      </c>
      <c r="K1807">
        <v>0</v>
      </c>
      <c r="L1807">
        <v>1650</v>
      </c>
      <c r="M1807">
        <v>1650</v>
      </c>
      <c r="N1807">
        <v>0</v>
      </c>
    </row>
    <row r="1808" spans="1:14" x14ac:dyDescent="0.25">
      <c r="A1808">
        <v>1645.0000130000001</v>
      </c>
      <c r="B1808" s="1">
        <f>DATE(2014,11,1) + TIME(0,0,1)</f>
        <v>41944.000011574077</v>
      </c>
      <c r="C1808">
        <v>80</v>
      </c>
      <c r="D1808">
        <v>79.947746276999993</v>
      </c>
      <c r="E1808">
        <v>50</v>
      </c>
      <c r="F1808">
        <v>48.12726593</v>
      </c>
      <c r="G1808">
        <v>1349.2237548999999</v>
      </c>
      <c r="H1808">
        <v>1341.3443603999999</v>
      </c>
      <c r="I1808">
        <v>1321.6799315999999</v>
      </c>
      <c r="J1808">
        <v>1307.2430420000001</v>
      </c>
      <c r="K1808">
        <v>0</v>
      </c>
      <c r="L1808">
        <v>1650</v>
      </c>
      <c r="M1808">
        <v>1650</v>
      </c>
      <c r="N1808">
        <v>0</v>
      </c>
    </row>
    <row r="1809" spans="1:14" x14ac:dyDescent="0.25">
      <c r="A1809">
        <v>1645.0000399999999</v>
      </c>
      <c r="B1809" s="1">
        <f>DATE(2014,11,1) + TIME(0,0,3)</f>
        <v>41944.000034722223</v>
      </c>
      <c r="C1809">
        <v>80</v>
      </c>
      <c r="D1809">
        <v>79.947105407999999</v>
      </c>
      <c r="E1809">
        <v>50</v>
      </c>
      <c r="F1809">
        <v>48.128131865999997</v>
      </c>
      <c r="G1809">
        <v>1344.7575684000001</v>
      </c>
      <c r="H1809">
        <v>1336.8795166</v>
      </c>
      <c r="I1809">
        <v>1328.1622314000001</v>
      </c>
      <c r="J1809">
        <v>1313.8179932</v>
      </c>
      <c r="K1809">
        <v>0</v>
      </c>
      <c r="L1809">
        <v>1650</v>
      </c>
      <c r="M1809">
        <v>1650</v>
      </c>
      <c r="N1809">
        <v>0</v>
      </c>
    </row>
    <row r="1810" spans="1:14" x14ac:dyDescent="0.25">
      <c r="A1810">
        <v>1645.000121</v>
      </c>
      <c r="B1810" s="1">
        <f>DATE(2014,11,1) + TIME(0,0,10)</f>
        <v>41944.000115740739</v>
      </c>
      <c r="C1810">
        <v>80</v>
      </c>
      <c r="D1810">
        <v>79.946388244999994</v>
      </c>
      <c r="E1810">
        <v>50</v>
      </c>
      <c r="F1810">
        <v>48.129276275999999</v>
      </c>
      <c r="G1810">
        <v>1339.7861327999999</v>
      </c>
      <c r="H1810">
        <v>1331.911499</v>
      </c>
      <c r="I1810">
        <v>1336.3186035000001</v>
      </c>
      <c r="J1810">
        <v>1321.9622803</v>
      </c>
      <c r="K1810">
        <v>0</v>
      </c>
      <c r="L1810">
        <v>1650</v>
      </c>
      <c r="M1810">
        <v>1650</v>
      </c>
      <c r="N1810">
        <v>0</v>
      </c>
    </row>
    <row r="1811" spans="1:14" x14ac:dyDescent="0.25">
      <c r="A1811">
        <v>1645.000364</v>
      </c>
      <c r="B1811" s="1">
        <f>DATE(2014,11,1) + TIME(0,0,31)</f>
        <v>41944.000358796293</v>
      </c>
      <c r="C1811">
        <v>80</v>
      </c>
      <c r="D1811">
        <v>79.945640564000001</v>
      </c>
      <c r="E1811">
        <v>50</v>
      </c>
      <c r="F1811">
        <v>48.130733489999997</v>
      </c>
      <c r="G1811">
        <v>1334.7801514</v>
      </c>
      <c r="H1811">
        <v>1326.9030762</v>
      </c>
      <c r="I1811">
        <v>1344.8870850000001</v>
      </c>
      <c r="J1811">
        <v>1330.4993896000001</v>
      </c>
      <c r="K1811">
        <v>0</v>
      </c>
      <c r="L1811">
        <v>1650</v>
      </c>
      <c r="M1811">
        <v>1650</v>
      </c>
      <c r="N1811">
        <v>0</v>
      </c>
    </row>
    <row r="1812" spans="1:14" x14ac:dyDescent="0.25">
      <c r="A1812">
        <v>1645.0010930000001</v>
      </c>
      <c r="B1812" s="1">
        <f>DATE(2014,11,1) + TIME(0,1,34)</f>
        <v>41944.001087962963</v>
      </c>
      <c r="C1812">
        <v>80</v>
      </c>
      <c r="D1812">
        <v>79.944801330999994</v>
      </c>
      <c r="E1812">
        <v>50</v>
      </c>
      <c r="F1812">
        <v>48.132987976000003</v>
      </c>
      <c r="G1812">
        <v>1329.7015381000001</v>
      </c>
      <c r="H1812">
        <v>1321.7681885</v>
      </c>
      <c r="I1812">
        <v>1353.5854492000001</v>
      </c>
      <c r="J1812">
        <v>1339.1522216999999</v>
      </c>
      <c r="K1812">
        <v>0</v>
      </c>
      <c r="L1812">
        <v>1650</v>
      </c>
      <c r="M1812">
        <v>1650</v>
      </c>
      <c r="N1812">
        <v>0</v>
      </c>
    </row>
    <row r="1813" spans="1:14" x14ac:dyDescent="0.25">
      <c r="A1813">
        <v>1645.0032799999999</v>
      </c>
      <c r="B1813" s="1">
        <f>DATE(2014,11,1) + TIME(0,4,43)</f>
        <v>41944.003275462965</v>
      </c>
      <c r="C1813">
        <v>80</v>
      </c>
      <c r="D1813">
        <v>79.943702697999996</v>
      </c>
      <c r="E1813">
        <v>50</v>
      </c>
      <c r="F1813">
        <v>48.137580872000001</v>
      </c>
      <c r="G1813">
        <v>1324.4881591999999</v>
      </c>
      <c r="H1813">
        <v>1316.4006348</v>
      </c>
      <c r="I1813">
        <v>1362.177124</v>
      </c>
      <c r="J1813">
        <v>1347.6452637</v>
      </c>
      <c r="K1813">
        <v>0</v>
      </c>
      <c r="L1813">
        <v>1650</v>
      </c>
      <c r="M1813">
        <v>1650</v>
      </c>
      <c r="N1813">
        <v>0</v>
      </c>
    </row>
    <row r="1814" spans="1:14" x14ac:dyDescent="0.25">
      <c r="A1814">
        <v>1645.0098410000001</v>
      </c>
      <c r="B1814" s="1">
        <f>DATE(2014,11,1) + TIME(0,14,10)</f>
        <v>41944.009837962964</v>
      </c>
      <c r="C1814">
        <v>80</v>
      </c>
      <c r="D1814">
        <v>79.941917419000006</v>
      </c>
      <c r="E1814">
        <v>50</v>
      </c>
      <c r="F1814">
        <v>48.149112701</v>
      </c>
      <c r="G1814">
        <v>1319.6193848</v>
      </c>
      <c r="H1814">
        <v>1311.3808594</v>
      </c>
      <c r="I1814">
        <v>1369.5498047000001</v>
      </c>
      <c r="J1814">
        <v>1354.8864745999999</v>
      </c>
      <c r="K1814">
        <v>0</v>
      </c>
      <c r="L1814">
        <v>1650</v>
      </c>
      <c r="M1814">
        <v>1650</v>
      </c>
      <c r="N1814">
        <v>0</v>
      </c>
    </row>
    <row r="1815" spans="1:14" x14ac:dyDescent="0.25">
      <c r="A1815">
        <v>1645.029524</v>
      </c>
      <c r="B1815" s="1">
        <f>DATE(2014,11,1) + TIME(0,42,30)</f>
        <v>41944.029513888891</v>
      </c>
      <c r="C1815">
        <v>80</v>
      </c>
      <c r="D1815">
        <v>79.938133239999999</v>
      </c>
      <c r="E1815">
        <v>50</v>
      </c>
      <c r="F1815">
        <v>48.181213378999999</v>
      </c>
      <c r="G1815">
        <v>1316.0273437999999</v>
      </c>
      <c r="H1815">
        <v>1307.7266846</v>
      </c>
      <c r="I1815">
        <v>1374.2607422000001</v>
      </c>
      <c r="J1815">
        <v>1359.5101318</v>
      </c>
      <c r="K1815">
        <v>0</v>
      </c>
      <c r="L1815">
        <v>1650</v>
      </c>
      <c r="M1815">
        <v>1650</v>
      </c>
      <c r="N1815">
        <v>0</v>
      </c>
    </row>
    <row r="1816" spans="1:14" x14ac:dyDescent="0.25">
      <c r="A1816">
        <v>1645.088573</v>
      </c>
      <c r="B1816" s="1">
        <f>DATE(2014,11,1) + TIME(2,7,32)</f>
        <v>41944.088564814818</v>
      </c>
      <c r="C1816">
        <v>80</v>
      </c>
      <c r="D1816">
        <v>79.928413391000007</v>
      </c>
      <c r="E1816">
        <v>50</v>
      </c>
      <c r="F1816">
        <v>48.271347046000002</v>
      </c>
      <c r="G1816">
        <v>1314.2412108999999</v>
      </c>
      <c r="H1816">
        <v>1305.9268798999999</v>
      </c>
      <c r="I1816">
        <v>1375.9647216999999</v>
      </c>
      <c r="J1816">
        <v>1361.2131348</v>
      </c>
      <c r="K1816">
        <v>0</v>
      </c>
      <c r="L1816">
        <v>1650</v>
      </c>
      <c r="M1816">
        <v>1650</v>
      </c>
      <c r="N1816">
        <v>0</v>
      </c>
    </row>
    <row r="1817" spans="1:14" x14ac:dyDescent="0.25">
      <c r="A1817">
        <v>1645.1804979999999</v>
      </c>
      <c r="B1817" s="1">
        <f>DATE(2014,11,1) + TIME(4,19,55)</f>
        <v>41944.180497685185</v>
      </c>
      <c r="C1817">
        <v>80</v>
      </c>
      <c r="D1817">
        <v>79.914154053000004</v>
      </c>
      <c r="E1817">
        <v>50</v>
      </c>
      <c r="F1817">
        <v>48.400501251000001</v>
      </c>
      <c r="G1817">
        <v>1313.7967529</v>
      </c>
      <c r="H1817">
        <v>1305.4802245999999</v>
      </c>
      <c r="I1817">
        <v>1376.0795897999999</v>
      </c>
      <c r="J1817">
        <v>1361.3762207</v>
      </c>
      <c r="K1817">
        <v>0</v>
      </c>
      <c r="L1817">
        <v>1650</v>
      </c>
      <c r="M1817">
        <v>1650</v>
      </c>
      <c r="N1817">
        <v>0</v>
      </c>
    </row>
    <row r="1818" spans="1:14" x14ac:dyDescent="0.25">
      <c r="A1818">
        <v>1645.277257</v>
      </c>
      <c r="B1818" s="1">
        <f>DATE(2014,11,1) + TIME(6,39,14)</f>
        <v>41944.277245370373</v>
      </c>
      <c r="C1818">
        <v>80</v>
      </c>
      <c r="D1818">
        <v>79.899528502999999</v>
      </c>
      <c r="E1818">
        <v>50</v>
      </c>
      <c r="F1818">
        <v>48.525367737000003</v>
      </c>
      <c r="G1818">
        <v>1313.7052002</v>
      </c>
      <c r="H1818">
        <v>1305.3879394999999</v>
      </c>
      <c r="I1818">
        <v>1375.9609375</v>
      </c>
      <c r="J1818">
        <v>1361.3085937999999</v>
      </c>
      <c r="K1818">
        <v>0</v>
      </c>
      <c r="L1818">
        <v>1650</v>
      </c>
      <c r="M1818">
        <v>1650</v>
      </c>
      <c r="N1818">
        <v>0</v>
      </c>
    </row>
    <row r="1819" spans="1:14" x14ac:dyDescent="0.25">
      <c r="A1819">
        <v>1645.379396</v>
      </c>
      <c r="B1819" s="1">
        <f>DATE(2014,11,1) + TIME(9,6,19)</f>
        <v>41944.379386574074</v>
      </c>
      <c r="C1819">
        <v>80</v>
      </c>
      <c r="D1819">
        <v>79.884452820000007</v>
      </c>
      <c r="E1819">
        <v>50</v>
      </c>
      <c r="F1819">
        <v>48.645950317</v>
      </c>
      <c r="G1819">
        <v>1313.6820068</v>
      </c>
      <c r="H1819">
        <v>1305.3645019999999</v>
      </c>
      <c r="I1819">
        <v>1375.8323975000001</v>
      </c>
      <c r="J1819">
        <v>1361.2303466999999</v>
      </c>
      <c r="K1819">
        <v>0</v>
      </c>
      <c r="L1819">
        <v>1650</v>
      </c>
      <c r="M1819">
        <v>1650</v>
      </c>
      <c r="N1819">
        <v>0</v>
      </c>
    </row>
    <row r="1820" spans="1:14" x14ac:dyDescent="0.25">
      <c r="A1820">
        <v>1645.487631</v>
      </c>
      <c r="B1820" s="1">
        <f>DATE(2014,11,1) + TIME(11,42,11)</f>
        <v>41944.487627314818</v>
      </c>
      <c r="C1820">
        <v>80</v>
      </c>
      <c r="D1820">
        <v>79.868850707999997</v>
      </c>
      <c r="E1820">
        <v>50</v>
      </c>
      <c r="F1820">
        <v>48.762279509999999</v>
      </c>
      <c r="G1820">
        <v>1313.6739502</v>
      </c>
      <c r="H1820">
        <v>1305.3560791</v>
      </c>
      <c r="I1820">
        <v>1375.7109375</v>
      </c>
      <c r="J1820">
        <v>1361.1579589999999</v>
      </c>
      <c r="K1820">
        <v>0</v>
      </c>
      <c r="L1820">
        <v>1650</v>
      </c>
      <c r="M1820">
        <v>1650</v>
      </c>
      <c r="N1820">
        <v>0</v>
      </c>
    </row>
    <row r="1821" spans="1:14" x14ac:dyDescent="0.25">
      <c r="A1821">
        <v>1645.602838</v>
      </c>
      <c r="B1821" s="1">
        <f>DATE(2014,11,1) + TIME(14,28,5)</f>
        <v>41944.602835648147</v>
      </c>
      <c r="C1821">
        <v>80</v>
      </c>
      <c r="D1821">
        <v>79.852638244999994</v>
      </c>
      <c r="E1821">
        <v>50</v>
      </c>
      <c r="F1821">
        <v>48.874385834000002</v>
      </c>
      <c r="G1821">
        <v>1313.6694336</v>
      </c>
      <c r="H1821">
        <v>1305.3510742000001</v>
      </c>
      <c r="I1821">
        <v>1375.5946045000001</v>
      </c>
      <c r="J1821">
        <v>1361.0891113</v>
      </c>
      <c r="K1821">
        <v>0</v>
      </c>
      <c r="L1821">
        <v>1650</v>
      </c>
      <c r="M1821">
        <v>1650</v>
      </c>
      <c r="N1821">
        <v>0</v>
      </c>
    </row>
    <row r="1822" spans="1:14" x14ac:dyDescent="0.25">
      <c r="A1822">
        <v>1645.7260839999999</v>
      </c>
      <c r="B1822" s="1">
        <f>DATE(2014,11,1) + TIME(17,25,33)</f>
        <v>41944.726076388892</v>
      </c>
      <c r="C1822">
        <v>80</v>
      </c>
      <c r="D1822">
        <v>79.835708617999998</v>
      </c>
      <c r="E1822">
        <v>50</v>
      </c>
      <c r="F1822">
        <v>48.982276917</v>
      </c>
      <c r="G1822">
        <v>1313.6655272999999</v>
      </c>
      <c r="H1822">
        <v>1305.3468018000001</v>
      </c>
      <c r="I1822">
        <v>1375.4818115</v>
      </c>
      <c r="J1822">
        <v>1361.0224608999999</v>
      </c>
      <c r="K1822">
        <v>0</v>
      </c>
      <c r="L1822">
        <v>1650</v>
      </c>
      <c r="M1822">
        <v>1650</v>
      </c>
      <c r="N1822">
        <v>0</v>
      </c>
    </row>
    <row r="1823" spans="1:14" x14ac:dyDescent="0.25">
      <c r="A1823">
        <v>1645.858686</v>
      </c>
      <c r="B1823" s="1">
        <f>DATE(2014,11,1) + TIME(20,36,30)</f>
        <v>41944.858680555553</v>
      </c>
      <c r="C1823">
        <v>80</v>
      </c>
      <c r="D1823">
        <v>79.817947387999993</v>
      </c>
      <c r="E1823">
        <v>50</v>
      </c>
      <c r="F1823">
        <v>49.085945129000002</v>
      </c>
      <c r="G1823">
        <v>1313.6616211</v>
      </c>
      <c r="H1823">
        <v>1305.3424072</v>
      </c>
      <c r="I1823">
        <v>1375.3718262</v>
      </c>
      <c r="J1823">
        <v>1360.9573975000001</v>
      </c>
      <c r="K1823">
        <v>0</v>
      </c>
      <c r="L1823">
        <v>1650</v>
      </c>
      <c r="M1823">
        <v>1650</v>
      </c>
      <c r="N1823">
        <v>0</v>
      </c>
    </row>
    <row r="1824" spans="1:14" x14ac:dyDescent="0.25">
      <c r="A1824">
        <v>1646.0022939999999</v>
      </c>
      <c r="B1824" s="1">
        <f>DATE(2014,11,2) + TIME(0,3,18)</f>
        <v>41945.002291666664</v>
      </c>
      <c r="C1824">
        <v>80</v>
      </c>
      <c r="D1824">
        <v>79.799201964999995</v>
      </c>
      <c r="E1824">
        <v>50</v>
      </c>
      <c r="F1824">
        <v>49.185352324999997</v>
      </c>
      <c r="G1824">
        <v>1313.6575928</v>
      </c>
      <c r="H1824">
        <v>1305.3378906</v>
      </c>
      <c r="I1824">
        <v>1375.2646483999999</v>
      </c>
      <c r="J1824">
        <v>1360.8936768000001</v>
      </c>
      <c r="K1824">
        <v>0</v>
      </c>
      <c r="L1824">
        <v>1650</v>
      </c>
      <c r="M1824">
        <v>1650</v>
      </c>
      <c r="N1824">
        <v>0</v>
      </c>
    </row>
    <row r="1825" spans="1:14" x14ac:dyDescent="0.25">
      <c r="A1825">
        <v>1646.1589839999999</v>
      </c>
      <c r="B1825" s="1">
        <f>DATE(2014,11,2) + TIME(3,48,56)</f>
        <v>41945.15898148148</v>
      </c>
      <c r="C1825">
        <v>80</v>
      </c>
      <c r="D1825">
        <v>79.779289246000005</v>
      </c>
      <c r="E1825">
        <v>50</v>
      </c>
      <c r="F1825">
        <v>49.280429839999996</v>
      </c>
      <c r="G1825">
        <v>1313.6531981999999</v>
      </c>
      <c r="H1825">
        <v>1305.3330077999999</v>
      </c>
      <c r="I1825">
        <v>1375.1599120999999</v>
      </c>
      <c r="J1825">
        <v>1360.8311768000001</v>
      </c>
      <c r="K1825">
        <v>0</v>
      </c>
      <c r="L1825">
        <v>1650</v>
      </c>
      <c r="M1825">
        <v>1650</v>
      </c>
      <c r="N1825">
        <v>0</v>
      </c>
    </row>
    <row r="1826" spans="1:14" x14ac:dyDescent="0.25">
      <c r="A1826">
        <v>1646.3315</v>
      </c>
      <c r="B1826" s="1">
        <f>DATE(2014,11,2) + TIME(7,57,21)</f>
        <v>41945.331493055557</v>
      </c>
      <c r="C1826">
        <v>80</v>
      </c>
      <c r="D1826">
        <v>79.757965088000006</v>
      </c>
      <c r="E1826">
        <v>50</v>
      </c>
      <c r="F1826">
        <v>49.371086120999998</v>
      </c>
      <c r="G1826">
        <v>1313.6484375</v>
      </c>
      <c r="H1826">
        <v>1305.3276367000001</v>
      </c>
      <c r="I1826">
        <v>1375.0574951000001</v>
      </c>
      <c r="J1826">
        <v>1360.7697754000001</v>
      </c>
      <c r="K1826">
        <v>0</v>
      </c>
      <c r="L1826">
        <v>1650</v>
      </c>
      <c r="M1826">
        <v>1650</v>
      </c>
      <c r="N1826">
        <v>0</v>
      </c>
    </row>
    <row r="1827" spans="1:14" x14ac:dyDescent="0.25">
      <c r="A1827">
        <v>1646.523488</v>
      </c>
      <c r="B1827" s="1">
        <f>DATE(2014,11,2) + TIME(12,33,49)</f>
        <v>41945.5234837963</v>
      </c>
      <c r="C1827">
        <v>80</v>
      </c>
      <c r="D1827">
        <v>79.734916686999995</v>
      </c>
      <c r="E1827">
        <v>50</v>
      </c>
      <c r="F1827">
        <v>49.457187652999998</v>
      </c>
      <c r="G1827">
        <v>1313.6433105000001</v>
      </c>
      <c r="H1827">
        <v>1305.3217772999999</v>
      </c>
      <c r="I1827">
        <v>1374.9572754000001</v>
      </c>
      <c r="J1827">
        <v>1360.7093506000001</v>
      </c>
      <c r="K1827">
        <v>0</v>
      </c>
      <c r="L1827">
        <v>1650</v>
      </c>
      <c r="M1827">
        <v>1650</v>
      </c>
      <c r="N1827">
        <v>0</v>
      </c>
    </row>
    <row r="1828" spans="1:14" x14ac:dyDescent="0.25">
      <c r="A1828">
        <v>1646.7399250000001</v>
      </c>
      <c r="B1828" s="1">
        <f>DATE(2014,11,2) + TIME(17,45,29)</f>
        <v>41945.739918981482</v>
      </c>
      <c r="C1828">
        <v>80</v>
      </c>
      <c r="D1828">
        <v>79.709732056000007</v>
      </c>
      <c r="E1828">
        <v>50</v>
      </c>
      <c r="F1828">
        <v>49.538547516000001</v>
      </c>
      <c r="G1828">
        <v>1313.6375731999999</v>
      </c>
      <c r="H1828">
        <v>1305.3153076000001</v>
      </c>
      <c r="I1828">
        <v>1374.8591309000001</v>
      </c>
      <c r="J1828">
        <v>1360.6499022999999</v>
      </c>
      <c r="K1828">
        <v>0</v>
      </c>
      <c r="L1828">
        <v>1650</v>
      </c>
      <c r="M1828">
        <v>1650</v>
      </c>
      <c r="N1828">
        <v>0</v>
      </c>
    </row>
    <row r="1829" spans="1:14" x14ac:dyDescent="0.25">
      <c r="A1829">
        <v>1646.987846</v>
      </c>
      <c r="B1829" s="1">
        <f>DATE(2014,11,2) + TIME(23,42,29)</f>
        <v>41945.987835648149</v>
      </c>
      <c r="C1829">
        <v>80</v>
      </c>
      <c r="D1829">
        <v>79.681838988999999</v>
      </c>
      <c r="E1829">
        <v>50</v>
      </c>
      <c r="F1829">
        <v>49.614902495999999</v>
      </c>
      <c r="G1829">
        <v>1313.6311035000001</v>
      </c>
      <c r="H1829">
        <v>1305.3081055</v>
      </c>
      <c r="I1829">
        <v>1374.7628173999999</v>
      </c>
      <c r="J1829">
        <v>1360.5910644999999</v>
      </c>
      <c r="K1829">
        <v>0</v>
      </c>
      <c r="L1829">
        <v>1650</v>
      </c>
      <c r="M1829">
        <v>1650</v>
      </c>
      <c r="N1829">
        <v>0</v>
      </c>
    </row>
    <row r="1830" spans="1:14" x14ac:dyDescent="0.25">
      <c r="A1830">
        <v>1647.277601</v>
      </c>
      <c r="B1830" s="1">
        <f>DATE(2014,11,3) + TIME(6,39,44)</f>
        <v>41946.277592592596</v>
      </c>
      <c r="C1830">
        <v>80</v>
      </c>
      <c r="D1830">
        <v>79.650444031000006</v>
      </c>
      <c r="E1830">
        <v>50</v>
      </c>
      <c r="F1830">
        <v>49.685901641999997</v>
      </c>
      <c r="G1830">
        <v>1313.6239014</v>
      </c>
      <c r="H1830">
        <v>1305.2998047000001</v>
      </c>
      <c r="I1830">
        <v>1374.6683350000001</v>
      </c>
      <c r="J1830">
        <v>1360.5328368999999</v>
      </c>
      <c r="K1830">
        <v>0</v>
      </c>
      <c r="L1830">
        <v>1650</v>
      </c>
      <c r="M1830">
        <v>1650</v>
      </c>
      <c r="N1830">
        <v>0</v>
      </c>
    </row>
    <row r="1831" spans="1:14" x14ac:dyDescent="0.25">
      <c r="A1831">
        <v>1647.4513959999999</v>
      </c>
      <c r="B1831" s="1">
        <f>DATE(2014,11,3) + TIME(10,50,0)</f>
        <v>41946.451388888891</v>
      </c>
      <c r="C1831">
        <v>80</v>
      </c>
      <c r="D1831">
        <v>79.630172728999995</v>
      </c>
      <c r="E1831">
        <v>50</v>
      </c>
      <c r="F1831">
        <v>49.722808837999999</v>
      </c>
      <c r="G1831">
        <v>1313.6152344</v>
      </c>
      <c r="H1831">
        <v>1305.2907714999999</v>
      </c>
      <c r="I1831">
        <v>1374.6124268000001</v>
      </c>
      <c r="J1831">
        <v>1360.4969481999999</v>
      </c>
      <c r="K1831">
        <v>0</v>
      </c>
      <c r="L1831">
        <v>1650</v>
      </c>
      <c r="M1831">
        <v>1650</v>
      </c>
      <c r="N1831">
        <v>0</v>
      </c>
    </row>
    <row r="1832" spans="1:14" x14ac:dyDescent="0.25">
      <c r="A1832">
        <v>1647.7989869999999</v>
      </c>
      <c r="B1832" s="1">
        <f>DATE(2014,11,3) + TIME(19,10,32)</f>
        <v>41946.798981481479</v>
      </c>
      <c r="C1832">
        <v>80</v>
      </c>
      <c r="D1832">
        <v>79.594558715999995</v>
      </c>
      <c r="E1832">
        <v>50</v>
      </c>
      <c r="F1832">
        <v>49.779300689999999</v>
      </c>
      <c r="G1832">
        <v>1313.6104736</v>
      </c>
      <c r="H1832">
        <v>1305.2844238</v>
      </c>
      <c r="I1832">
        <v>1374.5327147999999</v>
      </c>
      <c r="J1832">
        <v>1360.4481201000001</v>
      </c>
      <c r="K1832">
        <v>0</v>
      </c>
      <c r="L1832">
        <v>1650</v>
      </c>
      <c r="M1832">
        <v>1650</v>
      </c>
      <c r="N1832">
        <v>0</v>
      </c>
    </row>
    <row r="1833" spans="1:14" x14ac:dyDescent="0.25">
      <c r="A1833">
        <v>1648.1484760000001</v>
      </c>
      <c r="B1833" s="1">
        <f>DATE(2014,11,4) + TIME(3,33,48)</f>
        <v>41947.148472222223</v>
      </c>
      <c r="C1833">
        <v>80</v>
      </c>
      <c r="D1833">
        <v>79.558685303000004</v>
      </c>
      <c r="E1833">
        <v>50</v>
      </c>
      <c r="F1833">
        <v>49.822753906000003</v>
      </c>
      <c r="G1833">
        <v>1313.6003418</v>
      </c>
      <c r="H1833">
        <v>1305.2733154</v>
      </c>
      <c r="I1833">
        <v>1374.4597168</v>
      </c>
      <c r="J1833">
        <v>1360.4013672000001</v>
      </c>
      <c r="K1833">
        <v>0</v>
      </c>
      <c r="L1833">
        <v>1650</v>
      </c>
      <c r="M1833">
        <v>1650</v>
      </c>
      <c r="N1833">
        <v>0</v>
      </c>
    </row>
    <row r="1834" spans="1:14" x14ac:dyDescent="0.25">
      <c r="A1834">
        <v>1648.5098599999999</v>
      </c>
      <c r="B1834" s="1">
        <f>DATE(2014,11,4) + TIME(12,14,11)</f>
        <v>41947.50984953704</v>
      </c>
      <c r="C1834">
        <v>80</v>
      </c>
      <c r="D1834">
        <v>79.521865844999994</v>
      </c>
      <c r="E1834">
        <v>50</v>
      </c>
      <c r="F1834">
        <v>49.856884002999998</v>
      </c>
      <c r="G1834">
        <v>1313.590332</v>
      </c>
      <c r="H1834">
        <v>1305.2619629000001</v>
      </c>
      <c r="I1834">
        <v>1374.3962402</v>
      </c>
      <c r="J1834">
        <v>1360.3603516000001</v>
      </c>
      <c r="K1834">
        <v>0</v>
      </c>
      <c r="L1834">
        <v>1650</v>
      </c>
      <c r="M1834">
        <v>1650</v>
      </c>
      <c r="N1834">
        <v>0</v>
      </c>
    </row>
    <row r="1835" spans="1:14" x14ac:dyDescent="0.25">
      <c r="A1835">
        <v>1648.8871349999999</v>
      </c>
      <c r="B1835" s="1">
        <f>DATE(2014,11,4) + TIME(21,17,28)</f>
        <v>41947.887129629627</v>
      </c>
      <c r="C1835">
        <v>80</v>
      </c>
      <c r="D1835">
        <v>79.483818053999997</v>
      </c>
      <c r="E1835">
        <v>50</v>
      </c>
      <c r="F1835">
        <v>49.883689879999999</v>
      </c>
      <c r="G1835">
        <v>1313.5799560999999</v>
      </c>
      <c r="H1835">
        <v>1305.2503661999999</v>
      </c>
      <c r="I1835">
        <v>1374.3399658000001</v>
      </c>
      <c r="J1835">
        <v>1360.3234863</v>
      </c>
      <c r="K1835">
        <v>0</v>
      </c>
      <c r="L1835">
        <v>1650</v>
      </c>
      <c r="M1835">
        <v>1650</v>
      </c>
      <c r="N1835">
        <v>0</v>
      </c>
    </row>
    <row r="1836" spans="1:14" x14ac:dyDescent="0.25">
      <c r="A1836">
        <v>1649.285249</v>
      </c>
      <c r="B1836" s="1">
        <f>DATE(2014,11,5) + TIME(6,50,45)</f>
        <v>41948.285243055558</v>
      </c>
      <c r="C1836">
        <v>80</v>
      </c>
      <c r="D1836">
        <v>79.444190978999998</v>
      </c>
      <c r="E1836">
        <v>50</v>
      </c>
      <c r="F1836">
        <v>49.904712676999999</v>
      </c>
      <c r="G1836">
        <v>1313.5692139</v>
      </c>
      <c r="H1836">
        <v>1305.2381591999999</v>
      </c>
      <c r="I1836">
        <v>1374.2894286999999</v>
      </c>
      <c r="J1836">
        <v>1360.2900391000001</v>
      </c>
      <c r="K1836">
        <v>0</v>
      </c>
      <c r="L1836">
        <v>1650</v>
      </c>
      <c r="M1836">
        <v>1650</v>
      </c>
      <c r="N1836">
        <v>0</v>
      </c>
    </row>
    <row r="1837" spans="1:14" x14ac:dyDescent="0.25">
      <c r="A1837">
        <v>1649.7097940000001</v>
      </c>
      <c r="B1837" s="1">
        <f>DATE(2014,11,5) + TIME(17,2,6)</f>
        <v>41948.709791666668</v>
      </c>
      <c r="C1837">
        <v>80</v>
      </c>
      <c r="D1837">
        <v>79.402580260999997</v>
      </c>
      <c r="E1837">
        <v>50</v>
      </c>
      <c r="F1837">
        <v>49.921115874999998</v>
      </c>
      <c r="G1837">
        <v>1313.5579834</v>
      </c>
      <c r="H1837">
        <v>1305.2253418</v>
      </c>
      <c r="I1837">
        <v>1374.2434082</v>
      </c>
      <c r="J1837">
        <v>1360.2592772999999</v>
      </c>
      <c r="K1837">
        <v>0</v>
      </c>
      <c r="L1837">
        <v>1650</v>
      </c>
      <c r="M1837">
        <v>1650</v>
      </c>
      <c r="N1837">
        <v>0</v>
      </c>
    </row>
    <row r="1838" spans="1:14" x14ac:dyDescent="0.25">
      <c r="A1838">
        <v>1650.1671699999999</v>
      </c>
      <c r="B1838" s="1">
        <f>DATE(2014,11,6) + TIME(4,0,43)</f>
        <v>41949.167164351849</v>
      </c>
      <c r="C1838">
        <v>80</v>
      </c>
      <c r="D1838">
        <v>79.358535767000006</v>
      </c>
      <c r="E1838">
        <v>50</v>
      </c>
      <c r="F1838">
        <v>49.933811188</v>
      </c>
      <c r="G1838">
        <v>1313.5460204999999</v>
      </c>
      <c r="H1838">
        <v>1305.2116699000001</v>
      </c>
      <c r="I1838">
        <v>1374.2008057</v>
      </c>
      <c r="J1838">
        <v>1360.2304687999999</v>
      </c>
      <c r="K1838">
        <v>0</v>
      </c>
      <c r="L1838">
        <v>1650</v>
      </c>
      <c r="M1838">
        <v>1650</v>
      </c>
      <c r="N1838">
        <v>0</v>
      </c>
    </row>
    <row r="1839" spans="1:14" x14ac:dyDescent="0.25">
      <c r="A1839">
        <v>1650.6549600000001</v>
      </c>
      <c r="B1839" s="1">
        <f>DATE(2014,11,6) + TIME(15,43,8)</f>
        <v>41949.654953703706</v>
      </c>
      <c r="C1839">
        <v>80</v>
      </c>
      <c r="D1839">
        <v>79.312194824000002</v>
      </c>
      <c r="E1839">
        <v>50</v>
      </c>
      <c r="F1839">
        <v>49.943378447999997</v>
      </c>
      <c r="G1839">
        <v>1313.5330810999999</v>
      </c>
      <c r="H1839">
        <v>1305.1968993999999</v>
      </c>
      <c r="I1839">
        <v>1374.1612548999999</v>
      </c>
      <c r="J1839">
        <v>1360.2033690999999</v>
      </c>
      <c r="K1839">
        <v>0</v>
      </c>
      <c r="L1839">
        <v>1650</v>
      </c>
      <c r="M1839">
        <v>1650</v>
      </c>
      <c r="N1839">
        <v>0</v>
      </c>
    </row>
    <row r="1840" spans="1:14" x14ac:dyDescent="0.25">
      <c r="A1840">
        <v>1651.1808189999999</v>
      </c>
      <c r="B1840" s="1">
        <f>DATE(2014,11,7) + TIME(4,20,22)</f>
        <v>41950.180810185186</v>
      </c>
      <c r="C1840">
        <v>80</v>
      </c>
      <c r="D1840">
        <v>79.263069153000004</v>
      </c>
      <c r="E1840">
        <v>50</v>
      </c>
      <c r="F1840">
        <v>49.950531005999999</v>
      </c>
      <c r="G1840">
        <v>1313.5192870999999</v>
      </c>
      <c r="H1840">
        <v>1305.1812743999999</v>
      </c>
      <c r="I1840">
        <v>1374.1241454999999</v>
      </c>
      <c r="J1840">
        <v>1360.1776123</v>
      </c>
      <c r="K1840">
        <v>0</v>
      </c>
      <c r="L1840">
        <v>1650</v>
      </c>
      <c r="M1840">
        <v>1650</v>
      </c>
      <c r="N1840">
        <v>0</v>
      </c>
    </row>
    <row r="1841" spans="1:14" x14ac:dyDescent="0.25">
      <c r="A1841">
        <v>1651.7536070000001</v>
      </c>
      <c r="B1841" s="1">
        <f>DATE(2014,11,7) + TIME(18,5,11)</f>
        <v>41950.753599537034</v>
      </c>
      <c r="C1841">
        <v>80</v>
      </c>
      <c r="D1841">
        <v>79.210563660000005</v>
      </c>
      <c r="E1841">
        <v>50</v>
      </c>
      <c r="F1841">
        <v>49.955814361999998</v>
      </c>
      <c r="G1841">
        <v>1313.5045166</v>
      </c>
      <c r="H1841">
        <v>1305.1643065999999</v>
      </c>
      <c r="I1841">
        <v>1374.0887451000001</v>
      </c>
      <c r="J1841">
        <v>1360.1529541</v>
      </c>
      <c r="K1841">
        <v>0</v>
      </c>
      <c r="L1841">
        <v>1650</v>
      </c>
      <c r="M1841">
        <v>1650</v>
      </c>
      <c r="N1841">
        <v>0</v>
      </c>
    </row>
    <row r="1842" spans="1:14" x14ac:dyDescent="0.25">
      <c r="A1842">
        <v>1652.3848029999999</v>
      </c>
      <c r="B1842" s="1">
        <f>DATE(2014,11,8) + TIME(9,14,6)</f>
        <v>41951.384791666664</v>
      </c>
      <c r="C1842">
        <v>80</v>
      </c>
      <c r="D1842">
        <v>79.153945922999995</v>
      </c>
      <c r="E1842">
        <v>50</v>
      </c>
      <c r="F1842">
        <v>49.959659576</v>
      </c>
      <c r="G1842">
        <v>1313.4884033000001</v>
      </c>
      <c r="H1842">
        <v>1305.1457519999999</v>
      </c>
      <c r="I1842">
        <v>1374.0544434000001</v>
      </c>
      <c r="J1842">
        <v>1360.1289062000001</v>
      </c>
      <c r="K1842">
        <v>0</v>
      </c>
      <c r="L1842">
        <v>1650</v>
      </c>
      <c r="M1842">
        <v>1650</v>
      </c>
      <c r="N1842">
        <v>0</v>
      </c>
    </row>
    <row r="1843" spans="1:14" x14ac:dyDescent="0.25">
      <c r="A1843">
        <v>1653.089813</v>
      </c>
      <c r="B1843" s="1">
        <f>DATE(2014,11,9) + TIME(2,9,19)</f>
        <v>41952.089803240742</v>
      </c>
      <c r="C1843">
        <v>80</v>
      </c>
      <c r="D1843">
        <v>79.092231749999996</v>
      </c>
      <c r="E1843">
        <v>50</v>
      </c>
      <c r="F1843">
        <v>49.962421417000002</v>
      </c>
      <c r="G1843">
        <v>1313.4707031</v>
      </c>
      <c r="H1843">
        <v>1305.1252440999999</v>
      </c>
      <c r="I1843">
        <v>1374.0205077999999</v>
      </c>
      <c r="J1843">
        <v>1360.1051024999999</v>
      </c>
      <c r="K1843">
        <v>0</v>
      </c>
      <c r="L1843">
        <v>1650</v>
      </c>
      <c r="M1843">
        <v>1650</v>
      </c>
      <c r="N1843">
        <v>0</v>
      </c>
    </row>
    <row r="1844" spans="1:14" x14ac:dyDescent="0.25">
      <c r="A1844">
        <v>1653.8435669999999</v>
      </c>
      <c r="B1844" s="1">
        <f>DATE(2014,11,9) + TIME(20,14,44)</f>
        <v>41952.843564814815</v>
      </c>
      <c r="C1844">
        <v>80</v>
      </c>
      <c r="D1844">
        <v>79.026596068999993</v>
      </c>
      <c r="E1844">
        <v>50</v>
      </c>
      <c r="F1844">
        <v>49.964290619000003</v>
      </c>
      <c r="G1844">
        <v>1313.4506836</v>
      </c>
      <c r="H1844">
        <v>1305.1024170000001</v>
      </c>
      <c r="I1844">
        <v>1373.9865723</v>
      </c>
      <c r="J1844">
        <v>1360.0811768000001</v>
      </c>
      <c r="K1844">
        <v>0</v>
      </c>
      <c r="L1844">
        <v>1650</v>
      </c>
      <c r="M1844">
        <v>1650</v>
      </c>
      <c r="N1844">
        <v>0</v>
      </c>
    </row>
    <row r="1845" spans="1:14" x14ac:dyDescent="0.25">
      <c r="A1845">
        <v>1654.604302</v>
      </c>
      <c r="B1845" s="1">
        <f>DATE(2014,11,10) + TIME(14,30,11)</f>
        <v>41953.60429398148</v>
      </c>
      <c r="C1845">
        <v>80</v>
      </c>
      <c r="D1845">
        <v>78.959434509000005</v>
      </c>
      <c r="E1845">
        <v>50</v>
      </c>
      <c r="F1845">
        <v>49.965503693000002</v>
      </c>
      <c r="G1845">
        <v>1313.4291992000001</v>
      </c>
      <c r="H1845">
        <v>1305.0778809000001</v>
      </c>
      <c r="I1845">
        <v>1373.9538574000001</v>
      </c>
      <c r="J1845">
        <v>1360.0579834</v>
      </c>
      <c r="K1845">
        <v>0</v>
      </c>
      <c r="L1845">
        <v>1650</v>
      </c>
      <c r="M1845">
        <v>1650</v>
      </c>
      <c r="N1845">
        <v>0</v>
      </c>
    </row>
    <row r="1846" spans="1:14" x14ac:dyDescent="0.25">
      <c r="A1846">
        <v>1655.382243</v>
      </c>
      <c r="B1846" s="1">
        <f>DATE(2014,11,11) + TIME(9,10,25)</f>
        <v>41954.382233796299</v>
      </c>
      <c r="C1846">
        <v>80</v>
      </c>
      <c r="D1846">
        <v>78.890876770000006</v>
      </c>
      <c r="E1846">
        <v>50</v>
      </c>
      <c r="F1846">
        <v>49.966308593999997</v>
      </c>
      <c r="G1846">
        <v>1313.4074707</v>
      </c>
      <c r="H1846">
        <v>1305.0527344</v>
      </c>
      <c r="I1846">
        <v>1373.9235839999999</v>
      </c>
      <c r="J1846">
        <v>1360.036499</v>
      </c>
      <c r="K1846">
        <v>0</v>
      </c>
      <c r="L1846">
        <v>1650</v>
      </c>
      <c r="M1846">
        <v>1650</v>
      </c>
      <c r="N1846">
        <v>0</v>
      </c>
    </row>
    <row r="1847" spans="1:14" x14ac:dyDescent="0.25">
      <c r="A1847">
        <v>1656.187068</v>
      </c>
      <c r="B1847" s="1">
        <f>DATE(2014,11,12) + TIME(4,29,22)</f>
        <v>41955.187060185184</v>
      </c>
      <c r="C1847">
        <v>80</v>
      </c>
      <c r="D1847">
        <v>78.820716857999997</v>
      </c>
      <c r="E1847">
        <v>50</v>
      </c>
      <c r="F1847">
        <v>49.966854095000002</v>
      </c>
      <c r="G1847">
        <v>1313.3851318</v>
      </c>
      <c r="H1847">
        <v>1305.0268555</v>
      </c>
      <c r="I1847">
        <v>1373.8952637</v>
      </c>
      <c r="J1847">
        <v>1360.0164795000001</v>
      </c>
      <c r="K1847">
        <v>0</v>
      </c>
      <c r="L1847">
        <v>1650</v>
      </c>
      <c r="M1847">
        <v>1650</v>
      </c>
      <c r="N1847">
        <v>0</v>
      </c>
    </row>
    <row r="1848" spans="1:14" x14ac:dyDescent="0.25">
      <c r="A1848">
        <v>1657.028591</v>
      </c>
      <c r="B1848" s="1">
        <f>DATE(2014,11,13) + TIME(0,41,10)</f>
        <v>41956.028587962966</v>
      </c>
      <c r="C1848">
        <v>80</v>
      </c>
      <c r="D1848">
        <v>78.748527526999993</v>
      </c>
      <c r="E1848">
        <v>50</v>
      </c>
      <c r="F1848">
        <v>49.967231750000003</v>
      </c>
      <c r="G1848">
        <v>1313.3619385</v>
      </c>
      <c r="H1848">
        <v>1304.9997559000001</v>
      </c>
      <c r="I1848">
        <v>1373.8680420000001</v>
      </c>
      <c r="J1848">
        <v>1359.9973144999999</v>
      </c>
      <c r="K1848">
        <v>0</v>
      </c>
      <c r="L1848">
        <v>1650</v>
      </c>
      <c r="M1848">
        <v>1650</v>
      </c>
      <c r="N1848">
        <v>0</v>
      </c>
    </row>
    <row r="1849" spans="1:14" x14ac:dyDescent="0.25">
      <c r="A1849">
        <v>1657.917645</v>
      </c>
      <c r="B1849" s="1">
        <f>DATE(2014,11,13) + TIME(22,1,24)</f>
        <v>41956.917638888888</v>
      </c>
      <c r="C1849">
        <v>80</v>
      </c>
      <c r="D1849">
        <v>78.673736571999996</v>
      </c>
      <c r="E1849">
        <v>50</v>
      </c>
      <c r="F1849">
        <v>49.967498779000003</v>
      </c>
      <c r="G1849">
        <v>1313.3374022999999</v>
      </c>
      <c r="H1849">
        <v>1304.9710693</v>
      </c>
      <c r="I1849">
        <v>1373.8416748</v>
      </c>
      <c r="J1849">
        <v>1359.9787598</v>
      </c>
      <c r="K1849">
        <v>0</v>
      </c>
      <c r="L1849">
        <v>1650</v>
      </c>
      <c r="M1849">
        <v>1650</v>
      </c>
      <c r="N1849">
        <v>0</v>
      </c>
    </row>
    <row r="1850" spans="1:14" x14ac:dyDescent="0.25">
      <c r="A1850">
        <v>1658.86698</v>
      </c>
      <c r="B1850" s="1">
        <f>DATE(2014,11,14) + TIME(20,48,27)</f>
        <v>41957.866979166669</v>
      </c>
      <c r="C1850">
        <v>80</v>
      </c>
      <c r="D1850">
        <v>78.595611571999996</v>
      </c>
      <c r="E1850">
        <v>50</v>
      </c>
      <c r="F1850">
        <v>49.967693328999999</v>
      </c>
      <c r="G1850">
        <v>1313.3114014</v>
      </c>
      <c r="H1850">
        <v>1304.9405518000001</v>
      </c>
      <c r="I1850">
        <v>1373.8156738</v>
      </c>
      <c r="J1850">
        <v>1359.9605713000001</v>
      </c>
      <c r="K1850">
        <v>0</v>
      </c>
      <c r="L1850">
        <v>1650</v>
      </c>
      <c r="M1850">
        <v>1650</v>
      </c>
      <c r="N1850">
        <v>0</v>
      </c>
    </row>
    <row r="1851" spans="1:14" x14ac:dyDescent="0.25">
      <c r="A1851">
        <v>1659.892756</v>
      </c>
      <c r="B1851" s="1">
        <f>DATE(2014,11,15) + TIME(21,25,34)</f>
        <v>41958.892754629633</v>
      </c>
      <c r="C1851">
        <v>80</v>
      </c>
      <c r="D1851">
        <v>78.513237000000004</v>
      </c>
      <c r="E1851">
        <v>50</v>
      </c>
      <c r="F1851">
        <v>49.967838286999999</v>
      </c>
      <c r="G1851">
        <v>1313.2834473</v>
      </c>
      <c r="H1851">
        <v>1304.9075928</v>
      </c>
      <c r="I1851">
        <v>1373.7899170000001</v>
      </c>
      <c r="J1851">
        <v>1359.9425048999999</v>
      </c>
      <c r="K1851">
        <v>0</v>
      </c>
      <c r="L1851">
        <v>1650</v>
      </c>
      <c r="M1851">
        <v>1650</v>
      </c>
      <c r="N1851">
        <v>0</v>
      </c>
    </row>
    <row r="1852" spans="1:14" x14ac:dyDescent="0.25">
      <c r="A1852">
        <v>1660.9993930000001</v>
      </c>
      <c r="B1852" s="1">
        <f>DATE(2014,11,16) + TIME(23,59,7)</f>
        <v>41959.999386574076</v>
      </c>
      <c r="C1852">
        <v>80</v>
      </c>
      <c r="D1852">
        <v>78.426124572999996</v>
      </c>
      <c r="E1852">
        <v>50</v>
      </c>
      <c r="F1852">
        <v>49.967948913999997</v>
      </c>
      <c r="G1852">
        <v>1313.2528076000001</v>
      </c>
      <c r="H1852">
        <v>1304.8714600000001</v>
      </c>
      <c r="I1852">
        <v>1373.7639160000001</v>
      </c>
      <c r="J1852">
        <v>1359.9244385</v>
      </c>
      <c r="K1852">
        <v>0</v>
      </c>
      <c r="L1852">
        <v>1650</v>
      </c>
      <c r="M1852">
        <v>1650</v>
      </c>
      <c r="N1852">
        <v>0</v>
      </c>
    </row>
    <row r="1853" spans="1:14" x14ac:dyDescent="0.25">
      <c r="A1853">
        <v>1662.1666760000001</v>
      </c>
      <c r="B1853" s="1">
        <f>DATE(2014,11,18) + TIME(4,0,0)</f>
        <v>41961.166666666664</v>
      </c>
      <c r="C1853">
        <v>80</v>
      </c>
      <c r="D1853">
        <v>78.334892272999994</v>
      </c>
      <c r="E1853">
        <v>50</v>
      </c>
      <c r="F1853">
        <v>49.968029022000003</v>
      </c>
      <c r="G1853">
        <v>1313.2194824000001</v>
      </c>
      <c r="H1853">
        <v>1304.8319091999999</v>
      </c>
      <c r="I1853">
        <v>1373.7379149999999</v>
      </c>
      <c r="J1853">
        <v>1359.9063721</v>
      </c>
      <c r="K1853">
        <v>0</v>
      </c>
      <c r="L1853">
        <v>1650</v>
      </c>
      <c r="M1853">
        <v>1650</v>
      </c>
      <c r="N1853">
        <v>0</v>
      </c>
    </row>
    <row r="1854" spans="1:14" x14ac:dyDescent="0.25">
      <c r="A1854">
        <v>1663.38543</v>
      </c>
      <c r="B1854" s="1">
        <f>DATE(2014,11,19) + TIME(9,15,1)</f>
        <v>41962.385428240741</v>
      </c>
      <c r="C1854">
        <v>80</v>
      </c>
      <c r="D1854">
        <v>78.240234375</v>
      </c>
      <c r="E1854">
        <v>50</v>
      </c>
      <c r="F1854">
        <v>49.968090056999998</v>
      </c>
      <c r="G1854">
        <v>1313.1837158000001</v>
      </c>
      <c r="H1854">
        <v>1304.7894286999999</v>
      </c>
      <c r="I1854">
        <v>1373.7122803</v>
      </c>
      <c r="J1854">
        <v>1359.8885498</v>
      </c>
      <c r="K1854">
        <v>0</v>
      </c>
      <c r="L1854">
        <v>1650</v>
      </c>
      <c r="M1854">
        <v>1650</v>
      </c>
      <c r="N1854">
        <v>0</v>
      </c>
    </row>
    <row r="1855" spans="1:14" x14ac:dyDescent="0.25">
      <c r="A1855">
        <v>1664.6352139999999</v>
      </c>
      <c r="B1855" s="1">
        <f>DATE(2014,11,20) + TIME(15,14,42)</f>
        <v>41963.635208333333</v>
      </c>
      <c r="C1855">
        <v>80</v>
      </c>
      <c r="D1855">
        <v>78.143348693999997</v>
      </c>
      <c r="E1855">
        <v>50</v>
      </c>
      <c r="F1855">
        <v>49.968135834000002</v>
      </c>
      <c r="G1855">
        <v>1313.145874</v>
      </c>
      <c r="H1855">
        <v>1304.7442627</v>
      </c>
      <c r="I1855">
        <v>1373.6873779</v>
      </c>
      <c r="J1855">
        <v>1359.8713379000001</v>
      </c>
      <c r="K1855">
        <v>0</v>
      </c>
      <c r="L1855">
        <v>1650</v>
      </c>
      <c r="M1855">
        <v>1650</v>
      </c>
      <c r="N1855">
        <v>0</v>
      </c>
    </row>
    <row r="1856" spans="1:14" x14ac:dyDescent="0.25">
      <c r="A1856">
        <v>1665.9125329999999</v>
      </c>
      <c r="B1856" s="1">
        <f>DATE(2014,11,21) + TIME(21,54,2)</f>
        <v>41964.912523148145</v>
      </c>
      <c r="C1856">
        <v>80</v>
      </c>
      <c r="D1856">
        <v>78.045028686999999</v>
      </c>
      <c r="E1856">
        <v>50</v>
      </c>
      <c r="F1856">
        <v>49.968170166</v>
      </c>
      <c r="G1856">
        <v>1313.1065673999999</v>
      </c>
      <c r="H1856">
        <v>1304.6968993999999</v>
      </c>
      <c r="I1856">
        <v>1373.6635742000001</v>
      </c>
      <c r="J1856">
        <v>1359.8548584</v>
      </c>
      <c r="K1856">
        <v>0</v>
      </c>
      <c r="L1856">
        <v>1650</v>
      </c>
      <c r="M1856">
        <v>1650</v>
      </c>
      <c r="N1856">
        <v>0</v>
      </c>
    </row>
    <row r="1857" spans="1:14" x14ac:dyDescent="0.25">
      <c r="A1857">
        <v>1667.2327809999999</v>
      </c>
      <c r="B1857" s="1">
        <f>DATE(2014,11,23) + TIME(5,35,12)</f>
        <v>41966.232777777775</v>
      </c>
      <c r="C1857">
        <v>80</v>
      </c>
      <c r="D1857">
        <v>77.945121764999996</v>
      </c>
      <c r="E1857">
        <v>50</v>
      </c>
      <c r="F1857">
        <v>49.968200684000003</v>
      </c>
      <c r="G1857">
        <v>1313.0656738</v>
      </c>
      <c r="H1857">
        <v>1304.6473389</v>
      </c>
      <c r="I1857">
        <v>1373.6407471</v>
      </c>
      <c r="J1857">
        <v>1359.8392334</v>
      </c>
      <c r="K1857">
        <v>0</v>
      </c>
      <c r="L1857">
        <v>1650</v>
      </c>
      <c r="M1857">
        <v>1650</v>
      </c>
      <c r="N1857">
        <v>0</v>
      </c>
    </row>
    <row r="1858" spans="1:14" x14ac:dyDescent="0.25">
      <c r="A1858">
        <v>1668.612048</v>
      </c>
      <c r="B1858" s="1">
        <f>DATE(2014,11,24) + TIME(14,41,20)</f>
        <v>41967.612037037034</v>
      </c>
      <c r="C1858">
        <v>80</v>
      </c>
      <c r="D1858">
        <v>77.843017578000001</v>
      </c>
      <c r="E1858">
        <v>50</v>
      </c>
      <c r="F1858">
        <v>49.968223571999999</v>
      </c>
      <c r="G1858">
        <v>1313.0227050999999</v>
      </c>
      <c r="H1858">
        <v>1304.5950928</v>
      </c>
      <c r="I1858">
        <v>1373.6186522999999</v>
      </c>
      <c r="J1858">
        <v>1359.8240966999999</v>
      </c>
      <c r="K1858">
        <v>0</v>
      </c>
      <c r="L1858">
        <v>1650</v>
      </c>
      <c r="M1858">
        <v>1650</v>
      </c>
      <c r="N1858">
        <v>0</v>
      </c>
    </row>
    <row r="1859" spans="1:14" x14ac:dyDescent="0.25">
      <c r="A1859">
        <v>1670.047863</v>
      </c>
      <c r="B1859" s="1">
        <f>DATE(2014,11,26) + TIME(1,8,55)</f>
        <v>41969.047858796293</v>
      </c>
      <c r="C1859">
        <v>80</v>
      </c>
      <c r="D1859">
        <v>77.738517760999997</v>
      </c>
      <c r="E1859">
        <v>50</v>
      </c>
      <c r="F1859">
        <v>49.968246460000003</v>
      </c>
      <c r="G1859">
        <v>1312.9770507999999</v>
      </c>
      <c r="H1859">
        <v>1304.5393065999999</v>
      </c>
      <c r="I1859">
        <v>1373.5968018000001</v>
      </c>
      <c r="J1859">
        <v>1359.8092041</v>
      </c>
      <c r="K1859">
        <v>0</v>
      </c>
      <c r="L1859">
        <v>1650</v>
      </c>
      <c r="M1859">
        <v>1650</v>
      </c>
      <c r="N1859">
        <v>0</v>
      </c>
    </row>
    <row r="1860" spans="1:14" x14ac:dyDescent="0.25">
      <c r="A1860">
        <v>1671.5260989999999</v>
      </c>
      <c r="B1860" s="1">
        <f>DATE(2014,11,27) + TIME(12,37,34)</f>
        <v>41970.526087962964</v>
      </c>
      <c r="C1860">
        <v>80</v>
      </c>
      <c r="D1860">
        <v>77.632057189999998</v>
      </c>
      <c r="E1860">
        <v>50</v>
      </c>
      <c r="F1860">
        <v>49.968265533</v>
      </c>
      <c r="G1860">
        <v>1312.9287108999999</v>
      </c>
      <c r="H1860">
        <v>1304.4799805</v>
      </c>
      <c r="I1860">
        <v>1373.5755615</v>
      </c>
      <c r="J1860">
        <v>1359.7946777</v>
      </c>
      <c r="K1860">
        <v>0</v>
      </c>
      <c r="L1860">
        <v>1650</v>
      </c>
      <c r="M1860">
        <v>1650</v>
      </c>
      <c r="N1860">
        <v>0</v>
      </c>
    </row>
    <row r="1861" spans="1:14" x14ac:dyDescent="0.25">
      <c r="A1861">
        <v>1673.045294</v>
      </c>
      <c r="B1861" s="1">
        <f>DATE(2014,11,29) + TIME(1,5,13)</f>
        <v>41972.045289351852</v>
      </c>
      <c r="C1861">
        <v>80</v>
      </c>
      <c r="D1861">
        <v>77.524002074999999</v>
      </c>
      <c r="E1861">
        <v>50</v>
      </c>
      <c r="F1861">
        <v>49.968284607000001</v>
      </c>
      <c r="G1861">
        <v>1312.8779297000001</v>
      </c>
      <c r="H1861">
        <v>1304.4173584</v>
      </c>
      <c r="I1861">
        <v>1373.5549315999999</v>
      </c>
      <c r="J1861">
        <v>1359.7806396000001</v>
      </c>
      <c r="K1861">
        <v>0</v>
      </c>
      <c r="L1861">
        <v>1650</v>
      </c>
      <c r="M1861">
        <v>1650</v>
      </c>
      <c r="N1861">
        <v>0</v>
      </c>
    </row>
    <row r="1862" spans="1:14" x14ac:dyDescent="0.25">
      <c r="A1862">
        <v>1674.590778</v>
      </c>
      <c r="B1862" s="1">
        <f>DATE(2014,11,30) + TIME(14,10,43)</f>
        <v>41973.590775462966</v>
      </c>
      <c r="C1862">
        <v>80</v>
      </c>
      <c r="D1862">
        <v>77.415023804</v>
      </c>
      <c r="E1862">
        <v>50</v>
      </c>
      <c r="F1862">
        <v>49.968303679999998</v>
      </c>
      <c r="G1862">
        <v>1312.824707</v>
      </c>
      <c r="H1862">
        <v>1304.3514404</v>
      </c>
      <c r="I1862">
        <v>1373.5347899999999</v>
      </c>
      <c r="J1862">
        <v>1359.7669678</v>
      </c>
      <c r="K1862">
        <v>0</v>
      </c>
      <c r="L1862">
        <v>1650</v>
      </c>
      <c r="M1862">
        <v>1650</v>
      </c>
      <c r="N1862">
        <v>0</v>
      </c>
    </row>
    <row r="1863" spans="1:14" x14ac:dyDescent="0.25">
      <c r="A1863">
        <v>1675</v>
      </c>
      <c r="B1863" s="1">
        <f>DATE(2014,12,1) + TIME(0,0,0)</f>
        <v>41974</v>
      </c>
      <c r="C1863">
        <v>80</v>
      </c>
      <c r="D1863">
        <v>77.366569518999995</v>
      </c>
      <c r="E1863">
        <v>50</v>
      </c>
      <c r="F1863">
        <v>49.968303679999998</v>
      </c>
      <c r="G1863">
        <v>1312.7702637</v>
      </c>
      <c r="H1863">
        <v>1304.2890625</v>
      </c>
      <c r="I1863">
        <v>1373.5150146000001</v>
      </c>
      <c r="J1863">
        <v>1359.753418</v>
      </c>
      <c r="K1863">
        <v>0</v>
      </c>
      <c r="L1863">
        <v>1650</v>
      </c>
      <c r="M1863">
        <v>1650</v>
      </c>
      <c r="N1863">
        <v>0</v>
      </c>
    </row>
    <row r="1864" spans="1:14" x14ac:dyDescent="0.25">
      <c r="A1864">
        <v>1676.576497</v>
      </c>
      <c r="B1864" s="1">
        <f>DATE(2014,12,2) + TIME(13,50,9)</f>
        <v>41975.576493055552</v>
      </c>
      <c r="C1864">
        <v>80</v>
      </c>
      <c r="D1864">
        <v>77.268127441000004</v>
      </c>
      <c r="E1864">
        <v>50</v>
      </c>
      <c r="F1864">
        <v>49.968326568999998</v>
      </c>
      <c r="G1864">
        <v>1312.7536620999999</v>
      </c>
      <c r="H1864">
        <v>1304.2615966999999</v>
      </c>
      <c r="I1864">
        <v>1373.5107422000001</v>
      </c>
      <c r="J1864">
        <v>1359.7506103999999</v>
      </c>
      <c r="K1864">
        <v>0</v>
      </c>
      <c r="L1864">
        <v>1650</v>
      </c>
      <c r="M1864">
        <v>1650</v>
      </c>
      <c r="N1864">
        <v>0</v>
      </c>
    </row>
    <row r="1865" spans="1:14" x14ac:dyDescent="0.25">
      <c r="A1865">
        <v>1678.1936020000001</v>
      </c>
      <c r="B1865" s="1">
        <f>DATE(2014,12,4) + TIME(4,38,47)</f>
        <v>41977.193599537037</v>
      </c>
      <c r="C1865">
        <v>80</v>
      </c>
      <c r="D1865">
        <v>77.162887573000006</v>
      </c>
      <c r="E1865">
        <v>50</v>
      </c>
      <c r="F1865">
        <v>49.968345642000003</v>
      </c>
      <c r="G1865">
        <v>1312.6965332</v>
      </c>
      <c r="H1865">
        <v>1304.1904297000001</v>
      </c>
      <c r="I1865">
        <v>1373.4923096</v>
      </c>
      <c r="J1865">
        <v>1359.7381591999999</v>
      </c>
      <c r="K1865">
        <v>0</v>
      </c>
      <c r="L1865">
        <v>1650</v>
      </c>
      <c r="M1865">
        <v>1650</v>
      </c>
      <c r="N1865">
        <v>0</v>
      </c>
    </row>
    <row r="1866" spans="1:14" x14ac:dyDescent="0.25">
      <c r="A1866">
        <v>1679.8448410000001</v>
      </c>
      <c r="B1866" s="1">
        <f>DATE(2014,12,5) + TIME(20,16,34)</f>
        <v>41978.844837962963</v>
      </c>
      <c r="C1866">
        <v>80</v>
      </c>
      <c r="D1866">
        <v>77.054168700999995</v>
      </c>
      <c r="E1866">
        <v>50</v>
      </c>
      <c r="F1866">
        <v>49.968364716000004</v>
      </c>
      <c r="G1866">
        <v>1312.6363524999999</v>
      </c>
      <c r="H1866">
        <v>1304.1147461</v>
      </c>
      <c r="I1866">
        <v>1373.4743652</v>
      </c>
      <c r="J1866">
        <v>1359.7260742000001</v>
      </c>
      <c r="K1866">
        <v>0</v>
      </c>
      <c r="L1866">
        <v>1650</v>
      </c>
      <c r="M1866">
        <v>1650</v>
      </c>
      <c r="N1866">
        <v>0</v>
      </c>
    </row>
    <row r="1867" spans="1:14" x14ac:dyDescent="0.25">
      <c r="A1867">
        <v>1681.534486</v>
      </c>
      <c r="B1867" s="1">
        <f>DATE(2014,12,7) + TIME(12,49,39)</f>
        <v>41980.534479166665</v>
      </c>
      <c r="C1867">
        <v>80</v>
      </c>
      <c r="D1867">
        <v>76.943428040000001</v>
      </c>
      <c r="E1867">
        <v>50</v>
      </c>
      <c r="F1867">
        <v>49.968383789000001</v>
      </c>
      <c r="G1867">
        <v>1312.5736084</v>
      </c>
      <c r="H1867">
        <v>1304.0352783000001</v>
      </c>
      <c r="I1867">
        <v>1373.4570312000001</v>
      </c>
      <c r="J1867">
        <v>1359.7143555</v>
      </c>
      <c r="K1867">
        <v>0</v>
      </c>
      <c r="L1867">
        <v>1650</v>
      </c>
      <c r="M1867">
        <v>1650</v>
      </c>
      <c r="N1867">
        <v>0</v>
      </c>
    </row>
    <row r="1868" spans="1:14" x14ac:dyDescent="0.25">
      <c r="A1868">
        <v>1683.250622</v>
      </c>
      <c r="B1868" s="1">
        <f>DATE(2014,12,9) + TIME(6,0,53)</f>
        <v>41982.250613425924</v>
      </c>
      <c r="C1868">
        <v>80</v>
      </c>
      <c r="D1868">
        <v>76.831619262999993</v>
      </c>
      <c r="E1868">
        <v>50</v>
      </c>
      <c r="F1868">
        <v>49.968406676999997</v>
      </c>
      <c r="G1868">
        <v>1312.5079346</v>
      </c>
      <c r="H1868">
        <v>1303.9517822</v>
      </c>
      <c r="I1868">
        <v>1373.4400635</v>
      </c>
      <c r="J1868">
        <v>1359.7028809000001</v>
      </c>
      <c r="K1868">
        <v>0</v>
      </c>
      <c r="L1868">
        <v>1650</v>
      </c>
      <c r="M1868">
        <v>1650</v>
      </c>
      <c r="N1868">
        <v>0</v>
      </c>
    </row>
    <row r="1869" spans="1:14" x14ac:dyDescent="0.25">
      <c r="A1869">
        <v>1684.9953820000001</v>
      </c>
      <c r="B1869" s="1">
        <f>DATE(2014,12,10) + TIME(23,53,21)</f>
        <v>41983.995381944442</v>
      </c>
      <c r="C1869">
        <v>80</v>
      </c>
      <c r="D1869">
        <v>76.719230651999993</v>
      </c>
      <c r="E1869">
        <v>50</v>
      </c>
      <c r="F1869">
        <v>49.968425750999998</v>
      </c>
      <c r="G1869">
        <v>1312.4399414</v>
      </c>
      <c r="H1869">
        <v>1303.8647461</v>
      </c>
      <c r="I1869">
        <v>1373.4237060999999</v>
      </c>
      <c r="J1869">
        <v>1359.6918945</v>
      </c>
      <c r="K1869">
        <v>0</v>
      </c>
      <c r="L1869">
        <v>1650</v>
      </c>
      <c r="M1869">
        <v>1650</v>
      </c>
      <c r="N1869">
        <v>0</v>
      </c>
    </row>
    <row r="1870" spans="1:14" x14ac:dyDescent="0.25">
      <c r="A1870">
        <v>1686.773643</v>
      </c>
      <c r="B1870" s="1">
        <f>DATE(2014,12,12) + TIME(18,34,2)</f>
        <v>41985.773634259262</v>
      </c>
      <c r="C1870">
        <v>80</v>
      </c>
      <c r="D1870">
        <v>76.606307982999994</v>
      </c>
      <c r="E1870">
        <v>50</v>
      </c>
      <c r="F1870">
        <v>49.968448639000002</v>
      </c>
      <c r="G1870">
        <v>1312.3693848</v>
      </c>
      <c r="H1870">
        <v>1303.7740478999999</v>
      </c>
      <c r="I1870">
        <v>1373.4078368999999</v>
      </c>
      <c r="J1870">
        <v>1359.6811522999999</v>
      </c>
      <c r="K1870">
        <v>0</v>
      </c>
      <c r="L1870">
        <v>1650</v>
      </c>
      <c r="M1870">
        <v>1650</v>
      </c>
      <c r="N1870">
        <v>0</v>
      </c>
    </row>
    <row r="1871" spans="1:14" x14ac:dyDescent="0.25">
      <c r="A1871">
        <v>1688.5897620000001</v>
      </c>
      <c r="B1871" s="1">
        <f>DATE(2014,12,14) + TIME(14,9,15)</f>
        <v>41987.589756944442</v>
      </c>
      <c r="C1871">
        <v>80</v>
      </c>
      <c r="D1871">
        <v>76.492713928000001</v>
      </c>
      <c r="E1871">
        <v>50</v>
      </c>
      <c r="F1871">
        <v>49.968471526999998</v>
      </c>
      <c r="G1871">
        <v>1312.2958983999999</v>
      </c>
      <c r="H1871">
        <v>1303.6793213000001</v>
      </c>
      <c r="I1871">
        <v>1373.3923339999999</v>
      </c>
      <c r="J1871">
        <v>1359.6707764</v>
      </c>
      <c r="K1871">
        <v>0</v>
      </c>
      <c r="L1871">
        <v>1650</v>
      </c>
      <c r="M1871">
        <v>1650</v>
      </c>
      <c r="N1871">
        <v>0</v>
      </c>
    </row>
    <row r="1872" spans="1:14" x14ac:dyDescent="0.25">
      <c r="A1872">
        <v>1690.4481559999999</v>
      </c>
      <c r="B1872" s="1">
        <f>DATE(2014,12,16) + TIME(10,45,20)</f>
        <v>41989.448148148149</v>
      </c>
      <c r="C1872">
        <v>80</v>
      </c>
      <c r="D1872">
        <v>76.378219603999995</v>
      </c>
      <c r="E1872">
        <v>50</v>
      </c>
      <c r="F1872">
        <v>49.968494415000002</v>
      </c>
      <c r="G1872">
        <v>1312.2194824000001</v>
      </c>
      <c r="H1872">
        <v>1303.5803223</v>
      </c>
      <c r="I1872">
        <v>1373.3771973</v>
      </c>
      <c r="J1872">
        <v>1359.6606445</v>
      </c>
      <c r="K1872">
        <v>0</v>
      </c>
      <c r="L1872">
        <v>1650</v>
      </c>
      <c r="M1872">
        <v>1650</v>
      </c>
      <c r="N1872">
        <v>0</v>
      </c>
    </row>
    <row r="1873" spans="1:14" x14ac:dyDescent="0.25">
      <c r="A1873">
        <v>1692.3533580000001</v>
      </c>
      <c r="B1873" s="1">
        <f>DATE(2014,12,18) + TIME(8,28,50)</f>
        <v>41991.353356481479</v>
      </c>
      <c r="C1873">
        <v>80</v>
      </c>
      <c r="D1873">
        <v>76.262580872000001</v>
      </c>
      <c r="E1873">
        <v>50</v>
      </c>
      <c r="F1873">
        <v>49.968517302999999</v>
      </c>
      <c r="G1873">
        <v>1312.1397704999999</v>
      </c>
      <c r="H1873">
        <v>1303.4765625</v>
      </c>
      <c r="I1873">
        <v>1373.3623047000001</v>
      </c>
      <c r="J1873">
        <v>1359.6506348</v>
      </c>
      <c r="K1873">
        <v>0</v>
      </c>
      <c r="L1873">
        <v>1650</v>
      </c>
      <c r="M1873">
        <v>1650</v>
      </c>
      <c r="N1873">
        <v>0</v>
      </c>
    </row>
    <row r="1874" spans="1:14" x14ac:dyDescent="0.25">
      <c r="A1874">
        <v>1694.3101630000001</v>
      </c>
      <c r="B1874" s="1">
        <f>DATE(2014,12,20) + TIME(7,26,38)</f>
        <v>41993.310162037036</v>
      </c>
      <c r="C1874">
        <v>80</v>
      </c>
      <c r="D1874">
        <v>76.145538329999994</v>
      </c>
      <c r="E1874">
        <v>50</v>
      </c>
      <c r="F1874">
        <v>49.968544006000002</v>
      </c>
      <c r="G1874">
        <v>1312.0565185999999</v>
      </c>
      <c r="H1874">
        <v>1303.3677978999999</v>
      </c>
      <c r="I1874">
        <v>1373.3477783000001</v>
      </c>
      <c r="J1874">
        <v>1359.6408690999999</v>
      </c>
      <c r="K1874">
        <v>0</v>
      </c>
      <c r="L1874">
        <v>1650</v>
      </c>
      <c r="M1874">
        <v>1650</v>
      </c>
      <c r="N1874">
        <v>0</v>
      </c>
    </row>
    <row r="1875" spans="1:14" x14ac:dyDescent="0.25">
      <c r="A1875">
        <v>1696.323531</v>
      </c>
      <c r="B1875" s="1">
        <f>DATE(2014,12,22) + TIME(7,45,53)</f>
        <v>41995.323530092595</v>
      </c>
      <c r="C1875">
        <v>80</v>
      </c>
      <c r="D1875">
        <v>76.026802063000005</v>
      </c>
      <c r="E1875">
        <v>50</v>
      </c>
      <c r="F1875">
        <v>49.968570708999998</v>
      </c>
      <c r="G1875">
        <v>1311.9692382999999</v>
      </c>
      <c r="H1875">
        <v>1303.253418</v>
      </c>
      <c r="I1875">
        <v>1373.333374</v>
      </c>
      <c r="J1875">
        <v>1359.6313477000001</v>
      </c>
      <c r="K1875">
        <v>0</v>
      </c>
      <c r="L1875">
        <v>1650</v>
      </c>
      <c r="M1875">
        <v>1650</v>
      </c>
      <c r="N1875">
        <v>0</v>
      </c>
    </row>
    <row r="1876" spans="1:14" x14ac:dyDescent="0.25">
      <c r="A1876">
        <v>1698.3790530000001</v>
      </c>
      <c r="B1876" s="1">
        <f>DATE(2014,12,24) + TIME(9,5,50)</f>
        <v>41997.379050925927</v>
      </c>
      <c r="C1876">
        <v>80</v>
      </c>
      <c r="D1876">
        <v>75.906532287999994</v>
      </c>
      <c r="E1876">
        <v>50</v>
      </c>
      <c r="F1876">
        <v>49.968597412000001</v>
      </c>
      <c r="G1876">
        <v>1311.8778076000001</v>
      </c>
      <c r="H1876">
        <v>1303.1331786999999</v>
      </c>
      <c r="I1876">
        <v>1373.3192139</v>
      </c>
      <c r="J1876">
        <v>1359.6218262</v>
      </c>
      <c r="K1876">
        <v>0</v>
      </c>
      <c r="L1876">
        <v>1650</v>
      </c>
      <c r="M1876">
        <v>1650</v>
      </c>
      <c r="N1876">
        <v>0</v>
      </c>
    </row>
    <row r="1877" spans="1:14" x14ac:dyDescent="0.25">
      <c r="A1877">
        <v>1700.4735470000001</v>
      </c>
      <c r="B1877" s="1">
        <f>DATE(2014,12,26) + TIME(11,21,54)</f>
        <v>41999.473541666666</v>
      </c>
      <c r="C1877">
        <v>80</v>
      </c>
      <c r="D1877">
        <v>75.785011291999993</v>
      </c>
      <c r="E1877">
        <v>50</v>
      </c>
      <c r="F1877">
        <v>49.968624114999997</v>
      </c>
      <c r="G1877">
        <v>1311.7825928</v>
      </c>
      <c r="H1877">
        <v>1303.0074463000001</v>
      </c>
      <c r="I1877">
        <v>1373.3052978999999</v>
      </c>
      <c r="J1877">
        <v>1359.6124268000001</v>
      </c>
      <c r="K1877">
        <v>0</v>
      </c>
      <c r="L1877">
        <v>1650</v>
      </c>
      <c r="M1877">
        <v>1650</v>
      </c>
      <c r="N1877">
        <v>0</v>
      </c>
    </row>
    <row r="1878" spans="1:14" x14ac:dyDescent="0.25">
      <c r="A1878">
        <v>1702.6038470000001</v>
      </c>
      <c r="B1878" s="1">
        <f>DATE(2014,12,28) + TIME(14,29,32)</f>
        <v>42001.603842592594</v>
      </c>
      <c r="C1878">
        <v>80</v>
      </c>
      <c r="D1878">
        <v>75.662460327000005</v>
      </c>
      <c r="E1878">
        <v>50</v>
      </c>
      <c r="F1878">
        <v>49.968654633</v>
      </c>
      <c r="G1878">
        <v>1311.6835937999999</v>
      </c>
      <c r="H1878">
        <v>1302.8763428</v>
      </c>
      <c r="I1878">
        <v>1373.291626</v>
      </c>
      <c r="J1878">
        <v>1359.6033935999999</v>
      </c>
      <c r="K1878">
        <v>0</v>
      </c>
      <c r="L1878">
        <v>1650</v>
      </c>
      <c r="M1878">
        <v>1650</v>
      </c>
      <c r="N1878">
        <v>0</v>
      </c>
    </row>
    <row r="1879" spans="1:14" x14ac:dyDescent="0.25">
      <c r="A1879">
        <v>1704.7625949999999</v>
      </c>
      <c r="B1879" s="1">
        <f>DATE(2014,12,30) + TIME(18,18,8)</f>
        <v>42003.762592592589</v>
      </c>
      <c r="C1879">
        <v>80</v>
      </c>
      <c r="D1879">
        <v>75.539100646999998</v>
      </c>
      <c r="E1879">
        <v>50</v>
      </c>
      <c r="F1879">
        <v>49.968681334999999</v>
      </c>
      <c r="G1879">
        <v>1311.5810547000001</v>
      </c>
      <c r="H1879">
        <v>1302.7399902</v>
      </c>
      <c r="I1879">
        <v>1373.2781981999999</v>
      </c>
      <c r="J1879">
        <v>1359.5943603999999</v>
      </c>
      <c r="K1879">
        <v>0</v>
      </c>
      <c r="L1879">
        <v>1650</v>
      </c>
      <c r="M1879">
        <v>1650</v>
      </c>
      <c r="N1879">
        <v>0</v>
      </c>
    </row>
    <row r="1880" spans="1:14" x14ac:dyDescent="0.25">
      <c r="A1880">
        <v>1706</v>
      </c>
      <c r="B1880" s="1">
        <f>DATE(2015,1,1) + TIME(0,0,0)</f>
        <v>42005</v>
      </c>
      <c r="C1880">
        <v>80</v>
      </c>
      <c r="D1880">
        <v>75.441947936999995</v>
      </c>
      <c r="E1880">
        <v>50</v>
      </c>
      <c r="F1880">
        <v>49.968696594000001</v>
      </c>
      <c r="G1880">
        <v>1311.4777832</v>
      </c>
      <c r="H1880">
        <v>1302.6055908000001</v>
      </c>
      <c r="I1880">
        <v>1373.2647704999999</v>
      </c>
      <c r="J1880">
        <v>1359.5853271000001</v>
      </c>
      <c r="K1880">
        <v>0</v>
      </c>
      <c r="L1880">
        <v>1650</v>
      </c>
      <c r="M1880">
        <v>1650</v>
      </c>
      <c r="N1880">
        <v>0</v>
      </c>
    </row>
    <row r="1881" spans="1:14" x14ac:dyDescent="0.25">
      <c r="A1881">
        <v>1708.1929399999999</v>
      </c>
      <c r="B1881" s="1">
        <f>DATE(2015,1,3) + TIME(4,37,50)</f>
        <v>42007.192939814813</v>
      </c>
      <c r="C1881">
        <v>80</v>
      </c>
      <c r="D1881">
        <v>75.334938049000002</v>
      </c>
      <c r="E1881">
        <v>50</v>
      </c>
      <c r="F1881">
        <v>49.968727112000003</v>
      </c>
      <c r="G1881">
        <v>1311.409668</v>
      </c>
      <c r="H1881">
        <v>1302.5090332</v>
      </c>
      <c r="I1881">
        <v>1373.2580565999999</v>
      </c>
      <c r="J1881">
        <v>1359.5809326000001</v>
      </c>
      <c r="K1881">
        <v>0</v>
      </c>
      <c r="L1881">
        <v>1650</v>
      </c>
      <c r="M1881">
        <v>1650</v>
      </c>
      <c r="N1881">
        <v>0</v>
      </c>
    </row>
    <row r="1882" spans="1:14" x14ac:dyDescent="0.25">
      <c r="A1882">
        <v>1710.449764</v>
      </c>
      <c r="B1882" s="1">
        <f>DATE(2015,1,5) + TIME(10,47,39)</f>
        <v>42009.449756944443</v>
      </c>
      <c r="C1882">
        <v>80</v>
      </c>
      <c r="D1882">
        <v>75.215782165999997</v>
      </c>
      <c r="E1882">
        <v>50</v>
      </c>
      <c r="F1882">
        <v>49.968757629000002</v>
      </c>
      <c r="G1882">
        <v>1311.3015137</v>
      </c>
      <c r="H1882">
        <v>1302.3651123</v>
      </c>
      <c r="I1882">
        <v>1373.2453613</v>
      </c>
      <c r="J1882">
        <v>1359.5725098</v>
      </c>
      <c r="K1882">
        <v>0</v>
      </c>
      <c r="L1882">
        <v>1650</v>
      </c>
      <c r="M1882">
        <v>1650</v>
      </c>
      <c r="N1882">
        <v>0</v>
      </c>
    </row>
    <row r="1883" spans="1:14" x14ac:dyDescent="0.25">
      <c r="A1883">
        <v>1712.752125</v>
      </c>
      <c r="B1883" s="1">
        <f>DATE(2015,1,7) + TIME(18,3,3)</f>
        <v>42011.752118055556</v>
      </c>
      <c r="C1883">
        <v>80</v>
      </c>
      <c r="D1883">
        <v>75.090759277000004</v>
      </c>
      <c r="E1883">
        <v>50</v>
      </c>
      <c r="F1883">
        <v>49.968791961999997</v>
      </c>
      <c r="G1883">
        <v>1311.1866454999999</v>
      </c>
      <c r="H1883">
        <v>1302.2111815999999</v>
      </c>
      <c r="I1883">
        <v>1373.2329102000001</v>
      </c>
      <c r="J1883">
        <v>1359.5640868999999</v>
      </c>
      <c r="K1883">
        <v>0</v>
      </c>
      <c r="L1883">
        <v>1650</v>
      </c>
      <c r="M1883">
        <v>1650</v>
      </c>
      <c r="N1883">
        <v>0</v>
      </c>
    </row>
    <row r="1884" spans="1:14" x14ac:dyDescent="0.25">
      <c r="A1884">
        <v>1715.10546</v>
      </c>
      <c r="B1884" s="1">
        <f>DATE(2015,1,10) + TIME(2,31,51)</f>
        <v>42014.105451388888</v>
      </c>
      <c r="C1884">
        <v>80</v>
      </c>
      <c r="D1884">
        <v>74.962326050000001</v>
      </c>
      <c r="E1884">
        <v>50</v>
      </c>
      <c r="F1884">
        <v>49.968822479000004</v>
      </c>
      <c r="G1884">
        <v>1311.0668945</v>
      </c>
      <c r="H1884">
        <v>1302.0498047000001</v>
      </c>
      <c r="I1884">
        <v>1373.2205810999999</v>
      </c>
      <c r="J1884">
        <v>1359.5559082</v>
      </c>
      <c r="K1884">
        <v>0</v>
      </c>
      <c r="L1884">
        <v>1650</v>
      </c>
      <c r="M1884">
        <v>1650</v>
      </c>
      <c r="N1884">
        <v>0</v>
      </c>
    </row>
    <row r="1885" spans="1:14" x14ac:dyDescent="0.25">
      <c r="A1885">
        <v>1717.509472</v>
      </c>
      <c r="B1885" s="1">
        <f>DATE(2015,1,12) + TIME(12,13,38)</f>
        <v>42016.509467592594</v>
      </c>
      <c r="C1885">
        <v>80</v>
      </c>
      <c r="D1885">
        <v>74.831039429</v>
      </c>
      <c r="E1885">
        <v>50</v>
      </c>
      <c r="F1885">
        <v>49.968856811999999</v>
      </c>
      <c r="G1885">
        <v>1310.9422606999999</v>
      </c>
      <c r="H1885">
        <v>1301.8812256000001</v>
      </c>
      <c r="I1885">
        <v>1373.208374</v>
      </c>
      <c r="J1885">
        <v>1359.5477295000001</v>
      </c>
      <c r="K1885">
        <v>0</v>
      </c>
      <c r="L1885">
        <v>1650</v>
      </c>
      <c r="M1885">
        <v>1650</v>
      </c>
      <c r="N1885">
        <v>0</v>
      </c>
    </row>
    <row r="1886" spans="1:14" x14ac:dyDescent="0.25">
      <c r="A1886">
        <v>1719.948535</v>
      </c>
      <c r="B1886" s="1">
        <f>DATE(2015,1,14) + TIME(22,45,53)</f>
        <v>42018.948530092595</v>
      </c>
      <c r="C1886">
        <v>80</v>
      </c>
      <c r="D1886">
        <v>74.697456360000004</v>
      </c>
      <c r="E1886">
        <v>50</v>
      </c>
      <c r="F1886">
        <v>49.968891143999997</v>
      </c>
      <c r="G1886">
        <v>1310.8128661999999</v>
      </c>
      <c r="H1886">
        <v>1301.7055664</v>
      </c>
      <c r="I1886">
        <v>1373.1962891000001</v>
      </c>
      <c r="J1886">
        <v>1359.5396728999999</v>
      </c>
      <c r="K1886">
        <v>0</v>
      </c>
      <c r="L1886">
        <v>1650</v>
      </c>
      <c r="M1886">
        <v>1650</v>
      </c>
      <c r="N1886">
        <v>0</v>
      </c>
    </row>
    <row r="1887" spans="1:14" x14ac:dyDescent="0.25">
      <c r="A1887">
        <v>1722.428251</v>
      </c>
      <c r="B1887" s="1">
        <f>DATE(2015,1,17) + TIME(10,16,40)</f>
        <v>42021.428240740737</v>
      </c>
      <c r="C1887">
        <v>80</v>
      </c>
      <c r="D1887">
        <v>74.561752318999993</v>
      </c>
      <c r="E1887">
        <v>50</v>
      </c>
      <c r="F1887">
        <v>49.968925476000003</v>
      </c>
      <c r="G1887">
        <v>1310.6791992000001</v>
      </c>
      <c r="H1887">
        <v>1301.5238036999999</v>
      </c>
      <c r="I1887">
        <v>1373.1844481999999</v>
      </c>
      <c r="J1887">
        <v>1359.5317382999999</v>
      </c>
      <c r="K1887">
        <v>0</v>
      </c>
      <c r="L1887">
        <v>1650</v>
      </c>
      <c r="M1887">
        <v>1650</v>
      </c>
      <c r="N1887">
        <v>0</v>
      </c>
    </row>
    <row r="1888" spans="1:14" x14ac:dyDescent="0.25">
      <c r="A1888">
        <v>1724.9539749999999</v>
      </c>
      <c r="B1888" s="1">
        <f>DATE(2015,1,19) + TIME(22,53,43)</f>
        <v>42023.953969907408</v>
      </c>
      <c r="C1888">
        <v>80</v>
      </c>
      <c r="D1888">
        <v>74.423660278</v>
      </c>
      <c r="E1888">
        <v>50</v>
      </c>
      <c r="F1888">
        <v>49.968959808000001</v>
      </c>
      <c r="G1888">
        <v>1310.5413818</v>
      </c>
      <c r="H1888">
        <v>1301.3355713000001</v>
      </c>
      <c r="I1888">
        <v>1373.1727295000001</v>
      </c>
      <c r="J1888">
        <v>1359.5239257999999</v>
      </c>
      <c r="K1888">
        <v>0</v>
      </c>
      <c r="L1888">
        <v>1650</v>
      </c>
      <c r="M1888">
        <v>1650</v>
      </c>
      <c r="N1888">
        <v>0</v>
      </c>
    </row>
    <row r="1889" spans="1:14" x14ac:dyDescent="0.25">
      <c r="A1889">
        <v>1727.531074</v>
      </c>
      <c r="B1889" s="1">
        <f>DATE(2015,1,22) + TIME(12,44,44)</f>
        <v>42026.531064814815</v>
      </c>
      <c r="C1889">
        <v>80</v>
      </c>
      <c r="D1889">
        <v>74.282730103000006</v>
      </c>
      <c r="E1889">
        <v>50</v>
      </c>
      <c r="F1889">
        <v>49.968994141000003</v>
      </c>
      <c r="G1889">
        <v>1310.3988036999999</v>
      </c>
      <c r="H1889">
        <v>1301.1405029</v>
      </c>
      <c r="I1889">
        <v>1373.1611327999999</v>
      </c>
      <c r="J1889">
        <v>1359.5161132999999</v>
      </c>
      <c r="K1889">
        <v>0</v>
      </c>
      <c r="L1889">
        <v>1650</v>
      </c>
      <c r="M1889">
        <v>1650</v>
      </c>
      <c r="N1889">
        <v>0</v>
      </c>
    </row>
    <row r="1890" spans="1:14" x14ac:dyDescent="0.25">
      <c r="A1890">
        <v>1730.1649829999999</v>
      </c>
      <c r="B1890" s="1">
        <f>DATE(2015,1,25) + TIME(3,57,34)</f>
        <v>42029.164976851855</v>
      </c>
      <c r="C1890">
        <v>80</v>
      </c>
      <c r="D1890">
        <v>74.138442992999998</v>
      </c>
      <c r="E1890">
        <v>50</v>
      </c>
      <c r="F1890">
        <v>49.969032288000001</v>
      </c>
      <c r="G1890">
        <v>1310.2512207</v>
      </c>
      <c r="H1890">
        <v>1300.9379882999999</v>
      </c>
      <c r="I1890">
        <v>1373.1495361</v>
      </c>
      <c r="J1890">
        <v>1359.5084228999999</v>
      </c>
      <c r="K1890">
        <v>0</v>
      </c>
      <c r="L1890">
        <v>1650</v>
      </c>
      <c r="M1890">
        <v>1650</v>
      </c>
      <c r="N1890">
        <v>0</v>
      </c>
    </row>
    <row r="1891" spans="1:14" x14ac:dyDescent="0.25">
      <c r="A1891">
        <v>1732.8612969999999</v>
      </c>
      <c r="B1891" s="1">
        <f>DATE(2015,1,27) + TIME(20,40,16)</f>
        <v>42031.861296296294</v>
      </c>
      <c r="C1891">
        <v>80</v>
      </c>
      <c r="D1891">
        <v>73.990219116000006</v>
      </c>
      <c r="E1891">
        <v>50</v>
      </c>
      <c r="F1891">
        <v>49.969070434999999</v>
      </c>
      <c r="G1891">
        <v>1310.0982666</v>
      </c>
      <c r="H1891">
        <v>1300.7276611</v>
      </c>
      <c r="I1891">
        <v>1373.1379394999999</v>
      </c>
      <c r="J1891">
        <v>1359.5006103999999</v>
      </c>
      <c r="K1891">
        <v>0</v>
      </c>
      <c r="L1891">
        <v>1650</v>
      </c>
      <c r="M1891">
        <v>1650</v>
      </c>
      <c r="N1891">
        <v>0</v>
      </c>
    </row>
    <row r="1892" spans="1:14" x14ac:dyDescent="0.25">
      <c r="A1892">
        <v>1735.625888</v>
      </c>
      <c r="B1892" s="1">
        <f>DATE(2015,1,30) + TIME(15,1,16)</f>
        <v>42034.625879629632</v>
      </c>
      <c r="C1892">
        <v>80</v>
      </c>
      <c r="D1892">
        <v>73.837440490999995</v>
      </c>
      <c r="E1892">
        <v>50</v>
      </c>
      <c r="F1892">
        <v>49.969104766999997</v>
      </c>
      <c r="G1892">
        <v>1309.9396973</v>
      </c>
      <c r="H1892">
        <v>1300.5089111</v>
      </c>
      <c r="I1892">
        <v>1373.1264647999999</v>
      </c>
      <c r="J1892">
        <v>1359.4929199000001</v>
      </c>
      <c r="K1892">
        <v>0</v>
      </c>
      <c r="L1892">
        <v>1650</v>
      </c>
      <c r="M1892">
        <v>1650</v>
      </c>
      <c r="N1892">
        <v>0</v>
      </c>
    </row>
    <row r="1893" spans="1:14" x14ac:dyDescent="0.25">
      <c r="A1893">
        <v>1737</v>
      </c>
      <c r="B1893" s="1">
        <f>DATE(2015,2,1) + TIME(0,0,0)</f>
        <v>42036</v>
      </c>
      <c r="C1893">
        <v>80</v>
      </c>
      <c r="D1893">
        <v>73.717102050999998</v>
      </c>
      <c r="E1893">
        <v>50</v>
      </c>
      <c r="F1893">
        <v>49.969123840000002</v>
      </c>
      <c r="G1893">
        <v>1309.7808838000001</v>
      </c>
      <c r="H1893">
        <v>1300.2954102000001</v>
      </c>
      <c r="I1893">
        <v>1373.1142577999999</v>
      </c>
      <c r="J1893">
        <v>1359.4846190999999</v>
      </c>
      <c r="K1893">
        <v>0</v>
      </c>
      <c r="L1893">
        <v>1650</v>
      </c>
      <c r="M1893">
        <v>1650</v>
      </c>
      <c r="N1893">
        <v>0</v>
      </c>
    </row>
    <row r="1894" spans="1:14" x14ac:dyDescent="0.25">
      <c r="A1894">
        <v>1739.838886</v>
      </c>
      <c r="B1894" s="1">
        <f>DATE(2015,2,3) + TIME(20,7,59)</f>
        <v>42038.838877314818</v>
      </c>
      <c r="C1894">
        <v>80</v>
      </c>
      <c r="D1894">
        <v>73.587631225999999</v>
      </c>
      <c r="E1894">
        <v>50</v>
      </c>
      <c r="F1894">
        <v>49.969165801999999</v>
      </c>
      <c r="G1894">
        <v>1309.6834716999999</v>
      </c>
      <c r="H1894">
        <v>1300.1505127</v>
      </c>
      <c r="I1894">
        <v>1373.109375</v>
      </c>
      <c r="J1894">
        <v>1359.4814452999999</v>
      </c>
      <c r="K1894">
        <v>0</v>
      </c>
      <c r="L1894">
        <v>1650</v>
      </c>
      <c r="M1894">
        <v>1650</v>
      </c>
      <c r="N1894">
        <v>0</v>
      </c>
    </row>
    <row r="1895" spans="1:14" x14ac:dyDescent="0.25">
      <c r="A1895">
        <v>1742.782547</v>
      </c>
      <c r="B1895" s="1">
        <f>DATE(2015,2,6) + TIME(18,46,52)</f>
        <v>42041.782546296294</v>
      </c>
      <c r="C1895">
        <v>80</v>
      </c>
      <c r="D1895">
        <v>73.430831909000005</v>
      </c>
      <c r="E1895">
        <v>50</v>
      </c>
      <c r="F1895">
        <v>49.969203948999997</v>
      </c>
      <c r="G1895">
        <v>1309.5170897999999</v>
      </c>
      <c r="H1895">
        <v>1299.9221190999999</v>
      </c>
      <c r="I1895">
        <v>1373.0977783000001</v>
      </c>
      <c r="J1895">
        <v>1359.4736327999999</v>
      </c>
      <c r="K1895">
        <v>0</v>
      </c>
      <c r="L1895">
        <v>1650</v>
      </c>
      <c r="M1895">
        <v>1650</v>
      </c>
      <c r="N1895">
        <v>0</v>
      </c>
    </row>
    <row r="1896" spans="1:14" x14ac:dyDescent="0.25">
      <c r="A1896">
        <v>1745.7745190000001</v>
      </c>
      <c r="B1896" s="1">
        <f>DATE(2015,2,9) + TIME(18,35,18)</f>
        <v>42044.774513888886</v>
      </c>
      <c r="C1896">
        <v>80</v>
      </c>
      <c r="D1896">
        <v>73.260658264</v>
      </c>
      <c r="E1896">
        <v>50</v>
      </c>
      <c r="F1896">
        <v>49.969245911000002</v>
      </c>
      <c r="G1896">
        <v>1309.338501</v>
      </c>
      <c r="H1896">
        <v>1299.6744385</v>
      </c>
      <c r="I1896">
        <v>1373.0860596</v>
      </c>
      <c r="J1896">
        <v>1359.4655762</v>
      </c>
      <c r="K1896">
        <v>0</v>
      </c>
      <c r="L1896">
        <v>1650</v>
      </c>
      <c r="M1896">
        <v>1650</v>
      </c>
      <c r="N1896">
        <v>0</v>
      </c>
    </row>
    <row r="1897" spans="1:14" x14ac:dyDescent="0.25">
      <c r="A1897">
        <v>1748.8232700000001</v>
      </c>
      <c r="B1897" s="1">
        <f>DATE(2015,2,12) + TIME(19,45,30)</f>
        <v>42047.823263888888</v>
      </c>
      <c r="C1897">
        <v>80</v>
      </c>
      <c r="D1897">
        <v>73.082290649000001</v>
      </c>
      <c r="E1897">
        <v>50</v>
      </c>
      <c r="F1897">
        <v>49.969287872000002</v>
      </c>
      <c r="G1897">
        <v>1309.1531981999999</v>
      </c>
      <c r="H1897">
        <v>1299.4161377</v>
      </c>
      <c r="I1897">
        <v>1373.0743408000001</v>
      </c>
      <c r="J1897">
        <v>1359.4576416</v>
      </c>
      <c r="K1897">
        <v>0</v>
      </c>
      <c r="L1897">
        <v>1650</v>
      </c>
      <c r="M1897">
        <v>1650</v>
      </c>
      <c r="N1897">
        <v>0</v>
      </c>
    </row>
    <row r="1898" spans="1:14" x14ac:dyDescent="0.25">
      <c r="A1898">
        <v>1751.9362490000001</v>
      </c>
      <c r="B1898" s="1">
        <f>DATE(2015,2,15) + TIME(22,28,11)</f>
        <v>42050.936238425929</v>
      </c>
      <c r="C1898">
        <v>80</v>
      </c>
      <c r="D1898">
        <v>72.896492003999995</v>
      </c>
      <c r="E1898">
        <v>50</v>
      </c>
      <c r="F1898">
        <v>49.969329834</v>
      </c>
      <c r="G1898">
        <v>1308.9619141000001</v>
      </c>
      <c r="H1898">
        <v>1299.1485596</v>
      </c>
      <c r="I1898">
        <v>1373.0625</v>
      </c>
      <c r="J1898">
        <v>1359.449707</v>
      </c>
      <c r="K1898">
        <v>0</v>
      </c>
      <c r="L1898">
        <v>1650</v>
      </c>
      <c r="M1898">
        <v>1650</v>
      </c>
      <c r="N1898">
        <v>0</v>
      </c>
    </row>
    <row r="1899" spans="1:14" x14ac:dyDescent="0.25">
      <c r="A1899">
        <v>1755.12102</v>
      </c>
      <c r="B1899" s="1">
        <f>DATE(2015,2,19) + TIME(2,54,16)</f>
        <v>42054.121018518519</v>
      </c>
      <c r="C1899">
        <v>80</v>
      </c>
      <c r="D1899">
        <v>72.702743530000006</v>
      </c>
      <c r="E1899">
        <v>50</v>
      </c>
      <c r="F1899">
        <v>49.969371795999997</v>
      </c>
      <c r="G1899">
        <v>1308.7646483999999</v>
      </c>
      <c r="H1899">
        <v>1298.8718262</v>
      </c>
      <c r="I1899">
        <v>1373.0506591999999</v>
      </c>
      <c r="J1899">
        <v>1359.4416504000001</v>
      </c>
      <c r="K1899">
        <v>0</v>
      </c>
      <c r="L1899">
        <v>1650</v>
      </c>
      <c r="M1899">
        <v>1650</v>
      </c>
      <c r="N1899">
        <v>0</v>
      </c>
    </row>
    <row r="1900" spans="1:14" x14ac:dyDescent="0.25">
      <c r="A1900">
        <v>1758.3644469999999</v>
      </c>
      <c r="B1900" s="1">
        <f>DATE(2015,2,22) + TIME(8,44,48)</f>
        <v>42057.364444444444</v>
      </c>
      <c r="C1900">
        <v>80</v>
      </c>
      <c r="D1900">
        <v>72.500396729000002</v>
      </c>
      <c r="E1900">
        <v>50</v>
      </c>
      <c r="F1900">
        <v>49.969417571999998</v>
      </c>
      <c r="G1900">
        <v>1308.5610352000001</v>
      </c>
      <c r="H1900">
        <v>1298.5854492000001</v>
      </c>
      <c r="I1900">
        <v>1373.0386963000001</v>
      </c>
      <c r="J1900">
        <v>1359.4333495999999</v>
      </c>
      <c r="K1900">
        <v>0</v>
      </c>
      <c r="L1900">
        <v>1650</v>
      </c>
      <c r="M1900">
        <v>1650</v>
      </c>
      <c r="N1900">
        <v>0</v>
      </c>
    </row>
    <row r="1901" spans="1:14" x14ac:dyDescent="0.25">
      <c r="A1901">
        <v>1761.654777</v>
      </c>
      <c r="B1901" s="1">
        <f>DATE(2015,2,25) + TIME(15,42,52)</f>
        <v>42060.654768518521</v>
      </c>
      <c r="C1901">
        <v>80</v>
      </c>
      <c r="D1901">
        <v>72.289382935000006</v>
      </c>
      <c r="E1901">
        <v>50</v>
      </c>
      <c r="F1901">
        <v>49.969459534000002</v>
      </c>
      <c r="G1901">
        <v>1308.3519286999999</v>
      </c>
      <c r="H1901">
        <v>1298.2905272999999</v>
      </c>
      <c r="I1901">
        <v>1373.0266113</v>
      </c>
      <c r="J1901">
        <v>1359.4250488</v>
      </c>
      <c r="K1901">
        <v>0</v>
      </c>
      <c r="L1901">
        <v>1650</v>
      </c>
      <c r="M1901">
        <v>1650</v>
      </c>
      <c r="N1901">
        <v>0</v>
      </c>
    </row>
    <row r="1902" spans="1:14" x14ac:dyDescent="0.25">
      <c r="A1902">
        <v>1765</v>
      </c>
      <c r="B1902" s="1">
        <f>DATE(2015,3,1) + TIME(0,0,0)</f>
        <v>42064</v>
      </c>
      <c r="C1902">
        <v>80</v>
      </c>
      <c r="D1902">
        <v>72.069450377999999</v>
      </c>
      <c r="E1902">
        <v>50</v>
      </c>
      <c r="F1902">
        <v>49.969505310000002</v>
      </c>
      <c r="G1902">
        <v>1308.1379394999999</v>
      </c>
      <c r="H1902">
        <v>1297.9880370999999</v>
      </c>
      <c r="I1902">
        <v>1373.0144043</v>
      </c>
      <c r="J1902">
        <v>1359.416626</v>
      </c>
      <c r="K1902">
        <v>0</v>
      </c>
      <c r="L1902">
        <v>1650</v>
      </c>
      <c r="M1902">
        <v>1650</v>
      </c>
      <c r="N1902">
        <v>0</v>
      </c>
    </row>
    <row r="1903" spans="1:14" x14ac:dyDescent="0.25">
      <c r="A1903">
        <v>1768.3469259999999</v>
      </c>
      <c r="B1903" s="1">
        <f>DATE(2015,3,4) + TIME(8,19,34)</f>
        <v>42067.346921296295</v>
      </c>
      <c r="C1903">
        <v>80</v>
      </c>
      <c r="D1903">
        <v>71.840698242000002</v>
      </c>
      <c r="E1903">
        <v>50</v>
      </c>
      <c r="F1903">
        <v>49.969547272</v>
      </c>
      <c r="G1903">
        <v>1307.9193115</v>
      </c>
      <c r="H1903">
        <v>1297.6779785000001</v>
      </c>
      <c r="I1903">
        <v>1373.0020752</v>
      </c>
      <c r="J1903">
        <v>1359.4080810999999</v>
      </c>
      <c r="K1903">
        <v>0</v>
      </c>
      <c r="L1903">
        <v>1650</v>
      </c>
      <c r="M1903">
        <v>1650</v>
      </c>
      <c r="N1903">
        <v>0</v>
      </c>
    </row>
    <row r="1904" spans="1:14" x14ac:dyDescent="0.25">
      <c r="A1904">
        <v>1771.832643</v>
      </c>
      <c r="B1904" s="1">
        <f>DATE(2015,3,7) + TIME(19,59,0)</f>
        <v>42070.832638888889</v>
      </c>
      <c r="C1904">
        <v>80</v>
      </c>
      <c r="D1904">
        <v>71.602264403999996</v>
      </c>
      <c r="E1904">
        <v>50</v>
      </c>
      <c r="F1904">
        <v>49.969596863</v>
      </c>
      <c r="G1904">
        <v>1307.6983643000001</v>
      </c>
      <c r="H1904">
        <v>1297.3632812000001</v>
      </c>
      <c r="I1904">
        <v>1372.9898682</v>
      </c>
      <c r="J1904">
        <v>1359.3995361</v>
      </c>
      <c r="K1904">
        <v>0</v>
      </c>
      <c r="L1904">
        <v>1650</v>
      </c>
      <c r="M1904">
        <v>1650</v>
      </c>
      <c r="N1904">
        <v>0</v>
      </c>
    </row>
    <row r="1905" spans="1:14" x14ac:dyDescent="0.25">
      <c r="A1905">
        <v>1775.4003339999999</v>
      </c>
      <c r="B1905" s="1">
        <f>DATE(2015,3,11) + TIME(9,36,28)</f>
        <v>42074.400324074071</v>
      </c>
      <c r="C1905">
        <v>80</v>
      </c>
      <c r="D1905">
        <v>71.349403381000002</v>
      </c>
      <c r="E1905">
        <v>50</v>
      </c>
      <c r="F1905">
        <v>49.969642639</v>
      </c>
      <c r="G1905">
        <v>1307.4685059000001</v>
      </c>
      <c r="H1905">
        <v>1297.0356445</v>
      </c>
      <c r="I1905">
        <v>1372.9771728999999</v>
      </c>
      <c r="J1905">
        <v>1359.3905029</v>
      </c>
      <c r="K1905">
        <v>0</v>
      </c>
      <c r="L1905">
        <v>1650</v>
      </c>
      <c r="M1905">
        <v>1650</v>
      </c>
      <c r="N1905">
        <v>0</v>
      </c>
    </row>
    <row r="1906" spans="1:14" x14ac:dyDescent="0.25">
      <c r="A1906">
        <v>1779.061295</v>
      </c>
      <c r="B1906" s="1">
        <f>DATE(2015,3,15) + TIME(1,28,15)</f>
        <v>42078.061284722222</v>
      </c>
      <c r="C1906">
        <v>80</v>
      </c>
      <c r="D1906">
        <v>71.082099915000001</v>
      </c>
      <c r="E1906">
        <v>50</v>
      </c>
      <c r="F1906">
        <v>49.969688415999997</v>
      </c>
      <c r="G1906">
        <v>1307.2321777</v>
      </c>
      <c r="H1906">
        <v>1296.6976318</v>
      </c>
      <c r="I1906">
        <v>1372.9641113</v>
      </c>
      <c r="J1906">
        <v>1359.3813477000001</v>
      </c>
      <c r="K1906">
        <v>0</v>
      </c>
      <c r="L1906">
        <v>1650</v>
      </c>
      <c r="M1906">
        <v>1650</v>
      </c>
      <c r="N1906">
        <v>0</v>
      </c>
    </row>
    <row r="1907" spans="1:14" x14ac:dyDescent="0.25">
      <c r="A1907">
        <v>1782.8176109999999</v>
      </c>
      <c r="B1907" s="1">
        <f>DATE(2015,3,18) + TIME(19,37,21)</f>
        <v>42081.817604166667</v>
      </c>
      <c r="C1907">
        <v>80</v>
      </c>
      <c r="D1907">
        <v>70.799232482999997</v>
      </c>
      <c r="E1907">
        <v>50</v>
      </c>
      <c r="F1907">
        <v>49.969738006999997</v>
      </c>
      <c r="G1907">
        <v>1306.9890137</v>
      </c>
      <c r="H1907">
        <v>1296.3488769999999</v>
      </c>
      <c r="I1907">
        <v>1372.9506836</v>
      </c>
      <c r="J1907">
        <v>1359.3717041</v>
      </c>
      <c r="K1907">
        <v>0</v>
      </c>
      <c r="L1907">
        <v>1650</v>
      </c>
      <c r="M1907">
        <v>1650</v>
      </c>
      <c r="N1907">
        <v>0</v>
      </c>
    </row>
    <row r="1908" spans="1:14" x14ac:dyDescent="0.25">
      <c r="A1908">
        <v>1786.6518840000001</v>
      </c>
      <c r="B1908" s="1">
        <f>DATE(2015,3,22) + TIME(15,38,42)</f>
        <v>42085.651875000003</v>
      </c>
      <c r="C1908">
        <v>80</v>
      </c>
      <c r="D1908">
        <v>70.500091553000004</v>
      </c>
      <c r="E1908">
        <v>50</v>
      </c>
      <c r="F1908">
        <v>49.969787598000003</v>
      </c>
      <c r="G1908">
        <v>1306.7391356999999</v>
      </c>
      <c r="H1908">
        <v>1295.989624</v>
      </c>
      <c r="I1908">
        <v>1372.9367675999999</v>
      </c>
      <c r="J1908">
        <v>1359.3618164</v>
      </c>
      <c r="K1908">
        <v>0</v>
      </c>
      <c r="L1908">
        <v>1650</v>
      </c>
      <c r="M1908">
        <v>1650</v>
      </c>
      <c r="N1908">
        <v>0</v>
      </c>
    </row>
    <row r="1909" spans="1:14" x14ac:dyDescent="0.25">
      <c r="A1909">
        <v>1790.5764710000001</v>
      </c>
      <c r="B1909" s="1">
        <f>DATE(2015,3,26) + TIME(13,50,7)</f>
        <v>42089.576469907406</v>
      </c>
      <c r="C1909">
        <v>80</v>
      </c>
      <c r="D1909">
        <v>70.184623717999997</v>
      </c>
      <c r="E1909">
        <v>50</v>
      </c>
      <c r="F1909">
        <v>49.969837189000003</v>
      </c>
      <c r="G1909">
        <v>1306.4837646000001</v>
      </c>
      <c r="H1909">
        <v>1295.6210937999999</v>
      </c>
      <c r="I1909">
        <v>1372.9226074000001</v>
      </c>
      <c r="J1909">
        <v>1359.3515625</v>
      </c>
      <c r="K1909">
        <v>0</v>
      </c>
      <c r="L1909">
        <v>1650</v>
      </c>
      <c r="M1909">
        <v>1650</v>
      </c>
      <c r="N1909">
        <v>0</v>
      </c>
    </row>
    <row r="1910" spans="1:14" x14ac:dyDescent="0.25">
      <c r="A1910">
        <v>1794.6041869999999</v>
      </c>
      <c r="B1910" s="1">
        <f>DATE(2015,3,30) + TIME(14,30,1)</f>
        <v>42093.604178240741</v>
      </c>
      <c r="C1910">
        <v>80</v>
      </c>
      <c r="D1910">
        <v>69.850967406999999</v>
      </c>
      <c r="E1910">
        <v>50</v>
      </c>
      <c r="F1910">
        <v>49.969886780000003</v>
      </c>
      <c r="G1910">
        <v>1306.2227783000001</v>
      </c>
      <c r="H1910">
        <v>1295.2430420000001</v>
      </c>
      <c r="I1910">
        <v>1372.9079589999999</v>
      </c>
      <c r="J1910">
        <v>1359.3408202999999</v>
      </c>
      <c r="K1910">
        <v>0</v>
      </c>
      <c r="L1910">
        <v>1650</v>
      </c>
      <c r="M1910">
        <v>1650</v>
      </c>
      <c r="N1910">
        <v>0</v>
      </c>
    </row>
    <row r="1911" spans="1:14" x14ac:dyDescent="0.25">
      <c r="A1911">
        <v>1796</v>
      </c>
      <c r="B1911" s="1">
        <f>DATE(2015,4,1) + TIME(0,0,0)</f>
        <v>42095</v>
      </c>
      <c r="C1911">
        <v>80</v>
      </c>
      <c r="D1911">
        <v>69.599067688000005</v>
      </c>
      <c r="E1911">
        <v>50</v>
      </c>
      <c r="F1911">
        <v>49.969902038999997</v>
      </c>
      <c r="G1911">
        <v>1305.9672852000001</v>
      </c>
      <c r="H1911">
        <v>1294.8907471</v>
      </c>
      <c r="I1911">
        <v>1372.8919678</v>
      </c>
      <c r="J1911">
        <v>1359.3289795000001</v>
      </c>
      <c r="K1911">
        <v>0</v>
      </c>
      <c r="L1911">
        <v>1650</v>
      </c>
      <c r="M1911">
        <v>1650</v>
      </c>
      <c r="N1911"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Plot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Griendt, Toon van de</dc:creator>
  <cp:lastModifiedBy>Griendt, Toon van de</cp:lastModifiedBy>
  <dcterms:created xsi:type="dcterms:W3CDTF">2022-06-27T07:21:57Z</dcterms:created>
  <dcterms:modified xsi:type="dcterms:W3CDTF">2022-06-27T07:22:28Z</dcterms:modified>
</cp:coreProperties>
</file>