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C74755AB-D954-4C4D-BC9A-B741B24A7F61}" xr6:coauthVersionLast="47" xr6:coauthVersionMax="47" xr10:uidLastSave="{00000000-0000-0000-0000-000000000000}"/>
  <bookViews>
    <workbookView xWindow="1950" yWindow="1950" windowWidth="21600" windowHeight="11385" xr2:uid="{C08EBF3B-606A-45A5-A871-CE7155318252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0" i="1" l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<sst xmlns="http://schemas.openxmlformats.org/spreadsheetml/2006/main" count="15" uniqueCount="15">
  <si>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MODEL\SCENARIOS\2022\Parameterstudy_perm_storV_dT\perm10_V600_dt40.sr3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</si>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</sst>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4C7281-E585-4EE4-BFFD-447BB2EC51BE}" name="Table1" displayName="Table1" ref="A3:N1870" totalsRowShown="0">
  <autoFilter ref="A3:N1870" xr:uid="{8B4C7281-E585-4EE4-BFFD-447BB2EC51BE}"/>
  <tableColumns count="14">
    <tableColumn id="1" xr3:uid="{22C59273-8591-44A2-9152-49B164318A80}" name="Time (day)"/>
    <tableColumn id="2" xr3:uid="{B11AEAD6-EEB4-42AB-A468-9CEBB7D12AFE}" name="Date" dataDxfId="0"/>
    <tableColumn id="3" xr3:uid="{8F117F9C-5FE8-4F13-84FF-2A0569B5556D}" name="Hot well INJ-Well bottom hole temperature (C)"/>
    <tableColumn id="4" xr3:uid="{A0551A7E-A39C-4327-9F9C-2F0565DE8C4A}" name="Hot well PROD-Well bottom hole temperature (C)"/>
    <tableColumn id="5" xr3:uid="{434AF829-E9AE-4BB8-B6DE-140F9D88641E}" name="Warm well INJ-Well bottom hole temperature (C)"/>
    <tableColumn id="6" xr3:uid="{6F6A2FC0-EE65-4D55-9C92-38A9E9129C9A}" name="Warm well PROD-Well bottom hole temperature (C)"/>
    <tableColumn id="7" xr3:uid="{8E76B593-C217-4A77-AEA1-73754E4182A7}" name="Hot well INJ-Well Bottom-hole Pressure (kPa)"/>
    <tableColumn id="8" xr3:uid="{E842E2EA-77FA-4334-B786-BE275D9C9AA7}" name="Hot well PROD-Well Bottom-hole Pressure (kPa)"/>
    <tableColumn id="9" xr3:uid="{9501F7E0-A914-4327-9112-2675BEFB36AC}" name="Warm well INJ-Well Bottom-hole Pressure (kPa)"/>
    <tableColumn id="10" xr3:uid="{383C72E4-5A13-46E6-B5FB-D654D37A1444}" name="Warm well PROD-Well Bottom-hole Pressure (kPa)"/>
    <tableColumn id="11" xr3:uid="{C1627140-6A3B-4831-9087-02A84059059D}" name="Hot well INJ-Fluid Rate SC (m³/day)"/>
    <tableColumn id="12" xr3:uid="{D2FD5C7C-8CE5-4FB8-945E-9C448D5CA77D}" name="Hot well PROD-Fluid Rate SC (m³/day)"/>
    <tableColumn id="13" xr3:uid="{B45950DE-D846-4C96-88CE-73493390793E}" name="Warm well INJ-Fluid Rate SC (m³/day)"/>
    <tableColumn id="14" xr3:uid="{BF4B59BE-A3C4-4FEC-B916-A485B6C0BC70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1403-2AAA-401F-8C58-2526F785A5F2}">
  <dimension ref="A1:N1870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15.000081062</v>
      </c>
      <c r="E4">
        <v>40</v>
      </c>
      <c r="F4">
        <v>14.999969481999999</v>
      </c>
      <c r="G4">
        <v>1356.815918</v>
      </c>
      <c r="H4">
        <v>1329.7116699000001</v>
      </c>
      <c r="I4">
        <v>1329.1090088000001</v>
      </c>
      <c r="J4">
        <v>1302.0039062000001</v>
      </c>
      <c r="K4">
        <v>1650</v>
      </c>
      <c r="L4">
        <v>0</v>
      </c>
      <c r="M4">
        <v>0</v>
      </c>
      <c r="N4">
        <v>1650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15.000320435000001</v>
      </c>
      <c r="E5">
        <v>40</v>
      </c>
      <c r="F5">
        <v>14.999881744</v>
      </c>
      <c r="G5">
        <v>1357.6696777</v>
      </c>
      <c r="H5">
        <v>1330.5654297000001</v>
      </c>
      <c r="I5">
        <v>1328.2589111</v>
      </c>
      <c r="J5">
        <v>1301.1536865</v>
      </c>
      <c r="K5">
        <v>1650</v>
      </c>
      <c r="L5">
        <v>0</v>
      </c>
      <c r="M5">
        <v>0</v>
      </c>
      <c r="N5">
        <v>1650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15.000998496999999</v>
      </c>
      <c r="E6">
        <v>40</v>
      </c>
      <c r="F6">
        <v>14.999657631</v>
      </c>
      <c r="G6">
        <v>1359.8526611</v>
      </c>
      <c r="H6">
        <v>1332.7489014</v>
      </c>
      <c r="I6">
        <v>1326.0849608999999</v>
      </c>
      <c r="J6">
        <v>1298.9794922000001</v>
      </c>
      <c r="K6">
        <v>1650</v>
      </c>
      <c r="L6">
        <v>0</v>
      </c>
      <c r="M6">
        <v>0</v>
      </c>
      <c r="N6">
        <v>1650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15.002823830000001</v>
      </c>
      <c r="E7">
        <v>40</v>
      </c>
      <c r="F7">
        <v>14.999196053</v>
      </c>
      <c r="G7">
        <v>1364.3612060999999</v>
      </c>
      <c r="H7">
        <v>1337.2585449000001</v>
      </c>
      <c r="I7">
        <v>1321.5948486</v>
      </c>
      <c r="J7">
        <v>1294.4890137</v>
      </c>
      <c r="K7">
        <v>1650</v>
      </c>
      <c r="L7">
        <v>0</v>
      </c>
      <c r="M7">
        <v>0</v>
      </c>
      <c r="N7">
        <v>1650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15.007604599</v>
      </c>
      <c r="E8">
        <v>40</v>
      </c>
      <c r="F8">
        <v>14.998502731</v>
      </c>
      <c r="G8">
        <v>1371.1329346</v>
      </c>
      <c r="H8">
        <v>1344.0336914</v>
      </c>
      <c r="I8">
        <v>1314.8483887</v>
      </c>
      <c r="J8">
        <v>1287.7419434000001</v>
      </c>
      <c r="K8">
        <v>1650</v>
      </c>
      <c r="L8">
        <v>0</v>
      </c>
      <c r="M8">
        <v>0</v>
      </c>
      <c r="N8">
        <v>1650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15.020643234</v>
      </c>
      <c r="E9">
        <v>40</v>
      </c>
      <c r="F9">
        <v>14.99771595</v>
      </c>
      <c r="G9">
        <v>1378.8083495999999</v>
      </c>
      <c r="H9">
        <v>1351.7183838000001</v>
      </c>
      <c r="I9">
        <v>1307.1932373</v>
      </c>
      <c r="J9">
        <v>1280.0861815999999</v>
      </c>
      <c r="K9">
        <v>1650</v>
      </c>
      <c r="L9">
        <v>0</v>
      </c>
      <c r="M9">
        <v>0</v>
      </c>
      <c r="N9">
        <v>1650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15.058164596999999</v>
      </c>
      <c r="E10">
        <v>40</v>
      </c>
      <c r="F10">
        <v>14.996921539000001</v>
      </c>
      <c r="G10">
        <v>1386.5377197</v>
      </c>
      <c r="H10">
        <v>1359.4743652</v>
      </c>
      <c r="I10">
        <v>1299.4570312000001</v>
      </c>
      <c r="J10">
        <v>1272.3494873</v>
      </c>
      <c r="K10">
        <v>1650</v>
      </c>
      <c r="L10">
        <v>0</v>
      </c>
      <c r="M10">
        <v>0</v>
      </c>
      <c r="N10">
        <v>1650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15.168944358999999</v>
      </c>
      <c r="E11">
        <v>40</v>
      </c>
      <c r="F11">
        <v>14.996138573</v>
      </c>
      <c r="G11">
        <v>1394.1097411999999</v>
      </c>
      <c r="H11">
        <v>1367.125</v>
      </c>
      <c r="I11">
        <v>1291.7982178</v>
      </c>
      <c r="J11">
        <v>1264.6900635</v>
      </c>
      <c r="K11">
        <v>1650</v>
      </c>
      <c r="L11">
        <v>0</v>
      </c>
      <c r="M11">
        <v>0</v>
      </c>
      <c r="N11">
        <v>1650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15.498051643</v>
      </c>
      <c r="E12">
        <v>40</v>
      </c>
      <c r="F12">
        <v>14.995427132</v>
      </c>
      <c r="G12">
        <v>1400.8245850000001</v>
      </c>
      <c r="H12">
        <v>1374.0705565999999</v>
      </c>
      <c r="I12">
        <v>1284.7661132999999</v>
      </c>
      <c r="J12">
        <v>1257.6574707</v>
      </c>
      <c r="K12">
        <v>1650</v>
      </c>
      <c r="L12">
        <v>0</v>
      </c>
      <c r="M12">
        <v>0</v>
      </c>
      <c r="N12">
        <v>1650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16.470771790000001</v>
      </c>
      <c r="E13">
        <v>40</v>
      </c>
      <c r="F13">
        <v>14.99493885</v>
      </c>
      <c r="G13">
        <v>1404.9663086</v>
      </c>
      <c r="H13">
        <v>1378.8754882999999</v>
      </c>
      <c r="I13">
        <v>1279.7218018000001</v>
      </c>
      <c r="J13">
        <v>1252.612793</v>
      </c>
      <c r="K13">
        <v>1650</v>
      </c>
      <c r="L13">
        <v>0</v>
      </c>
      <c r="M13">
        <v>0</v>
      </c>
      <c r="N13">
        <v>1650</v>
      </c>
    </row>
    <row r="14" spans="1:14" x14ac:dyDescent="0.25">
      <c r="A14">
        <v>4.9758999999999998E-2</v>
      </c>
      <c r="B14" s="1">
        <f>DATE(2010,5,1) + TIME(1,11,39)</f>
        <v>40299.049756944441</v>
      </c>
      <c r="C14">
        <v>80</v>
      </c>
      <c r="D14">
        <v>17.457391738999998</v>
      </c>
      <c r="E14">
        <v>40</v>
      </c>
      <c r="F14">
        <v>14.994791985000001</v>
      </c>
      <c r="G14">
        <v>1405.8221435999999</v>
      </c>
      <c r="H14">
        <v>1380.3666992000001</v>
      </c>
      <c r="I14">
        <v>1278.0454102000001</v>
      </c>
      <c r="J14">
        <v>1250.9364014</v>
      </c>
      <c r="K14">
        <v>1650</v>
      </c>
      <c r="L14">
        <v>0</v>
      </c>
      <c r="M14">
        <v>0</v>
      </c>
      <c r="N14">
        <v>1650</v>
      </c>
    </row>
    <row r="15" spans="1:14" x14ac:dyDescent="0.25">
      <c r="A15">
        <v>7.0267999999999997E-2</v>
      </c>
      <c r="B15" s="1">
        <f>DATE(2010,5,1) + TIME(1,41,11)</f>
        <v>40299.0702662037</v>
      </c>
      <c r="C15">
        <v>80</v>
      </c>
      <c r="D15">
        <v>18.444177627999998</v>
      </c>
      <c r="E15">
        <v>40</v>
      </c>
      <c r="F15">
        <v>14.99475193</v>
      </c>
      <c r="G15">
        <v>1405.6827393000001</v>
      </c>
      <c r="H15">
        <v>1380.8358154</v>
      </c>
      <c r="I15">
        <v>1277.4147949000001</v>
      </c>
      <c r="J15">
        <v>1250.3056641000001</v>
      </c>
      <c r="K15">
        <v>1650</v>
      </c>
      <c r="L15">
        <v>0</v>
      </c>
      <c r="M15">
        <v>0</v>
      </c>
      <c r="N15">
        <v>1650</v>
      </c>
    </row>
    <row r="16" spans="1:14" x14ac:dyDescent="0.25">
      <c r="A16">
        <v>9.1051999999999994E-2</v>
      </c>
      <c r="B16" s="1">
        <f>DATE(2010,5,1) + TIME(2,11,6)</f>
        <v>40299.091041666667</v>
      </c>
      <c r="C16">
        <v>80</v>
      </c>
      <c r="D16">
        <v>19.430789948000001</v>
      </c>
      <c r="E16">
        <v>40</v>
      </c>
      <c r="F16">
        <v>14.994750023</v>
      </c>
      <c r="G16">
        <v>1405.182251</v>
      </c>
      <c r="H16">
        <v>1380.9180908000001</v>
      </c>
      <c r="I16">
        <v>1277.1711425999999</v>
      </c>
      <c r="J16">
        <v>1250.0618896000001</v>
      </c>
      <c r="K16">
        <v>1650</v>
      </c>
      <c r="L16">
        <v>0</v>
      </c>
      <c r="M16">
        <v>0</v>
      </c>
      <c r="N16">
        <v>1650</v>
      </c>
    </row>
    <row r="17" spans="1:14" x14ac:dyDescent="0.25">
      <c r="A17">
        <v>0.112119</v>
      </c>
      <c r="B17" s="1">
        <f>DATE(2010,5,1) + TIME(2,41,27)</f>
        <v>40299.112118055556</v>
      </c>
      <c r="C17">
        <v>80</v>
      </c>
      <c r="D17">
        <v>20.417549133000001</v>
      </c>
      <c r="E17">
        <v>40</v>
      </c>
      <c r="F17">
        <v>14.994764328</v>
      </c>
      <c r="G17">
        <v>1404.5396728999999</v>
      </c>
      <c r="H17">
        <v>1380.8343506000001</v>
      </c>
      <c r="I17">
        <v>1277.0831298999999</v>
      </c>
      <c r="J17">
        <v>1249.9738769999999</v>
      </c>
      <c r="K17">
        <v>1650</v>
      </c>
      <c r="L17">
        <v>0</v>
      </c>
      <c r="M17">
        <v>0</v>
      </c>
      <c r="N17">
        <v>1650</v>
      </c>
    </row>
    <row r="18" spans="1:14" x14ac:dyDescent="0.25">
      <c r="A18">
        <v>0.133467</v>
      </c>
      <c r="B18" s="1">
        <f>DATE(2010,5,1) + TIME(3,12,11)</f>
        <v>40299.133460648147</v>
      </c>
      <c r="C18">
        <v>80</v>
      </c>
      <c r="D18">
        <v>21.404214859</v>
      </c>
      <c r="E18">
        <v>40</v>
      </c>
      <c r="F18">
        <v>14.994784355</v>
      </c>
      <c r="G18">
        <v>1403.8447266000001</v>
      </c>
      <c r="H18">
        <v>1380.6751709</v>
      </c>
      <c r="I18">
        <v>1277.0585937999999</v>
      </c>
      <c r="J18">
        <v>1249.9490966999999</v>
      </c>
      <c r="K18">
        <v>1650</v>
      </c>
      <c r="L18">
        <v>0</v>
      </c>
      <c r="M18">
        <v>0</v>
      </c>
      <c r="N18">
        <v>1650</v>
      </c>
    </row>
    <row r="19" spans="1:14" x14ac:dyDescent="0.25">
      <c r="A19">
        <v>0.15510499999999999</v>
      </c>
      <c r="B19" s="1">
        <f>DATE(2010,5,1) + TIME(3,43,21)</f>
        <v>40299.155104166668</v>
      </c>
      <c r="C19">
        <v>80</v>
      </c>
      <c r="D19">
        <v>22.390136719000001</v>
      </c>
      <c r="E19">
        <v>40</v>
      </c>
      <c r="F19">
        <v>14.994808196999999</v>
      </c>
      <c r="G19">
        <v>1403.1380615</v>
      </c>
      <c r="H19">
        <v>1380.4821777</v>
      </c>
      <c r="I19">
        <v>1277.0582274999999</v>
      </c>
      <c r="J19">
        <v>1249.9487305</v>
      </c>
      <c r="K19">
        <v>1650</v>
      </c>
      <c r="L19">
        <v>0</v>
      </c>
      <c r="M19">
        <v>0</v>
      </c>
      <c r="N19">
        <v>1650</v>
      </c>
    </row>
    <row r="20" spans="1:14" x14ac:dyDescent="0.25">
      <c r="A20">
        <v>0.17705099999999999</v>
      </c>
      <c r="B20" s="1">
        <f>DATE(2010,5,1) + TIME(4,14,57)</f>
        <v>40299.177048611113</v>
      </c>
      <c r="C20">
        <v>80</v>
      </c>
      <c r="D20">
        <v>23.375789642000001</v>
      </c>
      <c r="E20">
        <v>40</v>
      </c>
      <c r="F20">
        <v>14.994832039</v>
      </c>
      <c r="G20">
        <v>1402.4384766000001</v>
      </c>
      <c r="H20">
        <v>1380.2756348</v>
      </c>
      <c r="I20">
        <v>1277.0657959</v>
      </c>
      <c r="J20">
        <v>1249.9561768000001</v>
      </c>
      <c r="K20">
        <v>1650</v>
      </c>
      <c r="L20">
        <v>0</v>
      </c>
      <c r="M20">
        <v>0</v>
      </c>
      <c r="N20">
        <v>1650</v>
      </c>
    </row>
    <row r="21" spans="1:14" x14ac:dyDescent="0.25">
      <c r="A21">
        <v>0.19931699999999999</v>
      </c>
      <c r="B21" s="1">
        <f>DATE(2010,5,1) + TIME(4,47,0)</f>
        <v>40299.199305555558</v>
      </c>
      <c r="C21">
        <v>80</v>
      </c>
      <c r="D21">
        <v>24.361167907999999</v>
      </c>
      <c r="E21">
        <v>40</v>
      </c>
      <c r="F21">
        <v>14.994855880999999</v>
      </c>
      <c r="G21">
        <v>1401.7551269999999</v>
      </c>
      <c r="H21">
        <v>1380.0657959</v>
      </c>
      <c r="I21">
        <v>1277.0749512</v>
      </c>
      <c r="J21">
        <v>1249.9652100000001</v>
      </c>
      <c r="K21">
        <v>1650</v>
      </c>
      <c r="L21">
        <v>0</v>
      </c>
      <c r="M21">
        <v>0</v>
      </c>
      <c r="N21">
        <v>1650</v>
      </c>
    </row>
    <row r="22" spans="1:14" x14ac:dyDescent="0.25">
      <c r="A22">
        <v>0.221913</v>
      </c>
      <c r="B22" s="1">
        <f>DATE(2010,5,1) + TIME(5,19,33)</f>
        <v>40299.221909722219</v>
      </c>
      <c r="C22">
        <v>80</v>
      </c>
      <c r="D22">
        <v>25.346492767000001</v>
      </c>
      <c r="E22">
        <v>40</v>
      </c>
      <c r="F22">
        <v>14.994879723</v>
      </c>
      <c r="G22">
        <v>1401.0924072</v>
      </c>
      <c r="H22">
        <v>1379.8579102000001</v>
      </c>
      <c r="I22">
        <v>1277.083374</v>
      </c>
      <c r="J22">
        <v>1249.9735106999999</v>
      </c>
      <c r="K22">
        <v>1650</v>
      </c>
      <c r="L22">
        <v>0</v>
      </c>
      <c r="M22">
        <v>0</v>
      </c>
      <c r="N22">
        <v>1650</v>
      </c>
    </row>
    <row r="23" spans="1:14" x14ac:dyDescent="0.25">
      <c r="A23">
        <v>0.24484500000000001</v>
      </c>
      <c r="B23" s="1">
        <f>DATE(2010,5,1) + TIME(5,52,34)</f>
        <v>40299.244837962964</v>
      </c>
      <c r="C23">
        <v>80</v>
      </c>
      <c r="D23">
        <v>26.331731796</v>
      </c>
      <c r="E23">
        <v>40</v>
      </c>
      <c r="F23">
        <v>14.994903563999999</v>
      </c>
      <c r="G23">
        <v>1400.4520264</v>
      </c>
      <c r="H23">
        <v>1379.6546631000001</v>
      </c>
      <c r="I23">
        <v>1277.090332</v>
      </c>
      <c r="J23">
        <v>1249.9803466999999</v>
      </c>
      <c r="K23">
        <v>1650</v>
      </c>
      <c r="L23">
        <v>0</v>
      </c>
      <c r="M23">
        <v>0</v>
      </c>
      <c r="N23">
        <v>1650</v>
      </c>
    </row>
    <row r="24" spans="1:14" x14ac:dyDescent="0.25">
      <c r="A24">
        <v>0.268121</v>
      </c>
      <c r="B24" s="1">
        <f>DATE(2010,5,1) + TIME(6,26,5)</f>
        <v>40299.268113425926</v>
      </c>
      <c r="C24">
        <v>80</v>
      </c>
      <c r="D24">
        <v>27.316249847000002</v>
      </c>
      <c r="E24">
        <v>40</v>
      </c>
      <c r="F24">
        <v>14.994927406</v>
      </c>
      <c r="G24">
        <v>1399.8348389</v>
      </c>
      <c r="H24">
        <v>1379.4575195</v>
      </c>
      <c r="I24">
        <v>1277.0959473</v>
      </c>
      <c r="J24">
        <v>1249.9858397999999</v>
      </c>
      <c r="K24">
        <v>1650</v>
      </c>
      <c r="L24">
        <v>0</v>
      </c>
      <c r="M24">
        <v>0</v>
      </c>
      <c r="N24">
        <v>1650</v>
      </c>
    </row>
    <row r="25" spans="1:14" x14ac:dyDescent="0.25">
      <c r="A25">
        <v>0.29176400000000002</v>
      </c>
      <c r="B25" s="1">
        <f>DATE(2010,5,1) + TIME(7,0,8)</f>
        <v>40299.291759259257</v>
      </c>
      <c r="C25">
        <v>80</v>
      </c>
      <c r="D25">
        <v>28.300449370999999</v>
      </c>
      <c r="E25">
        <v>40</v>
      </c>
      <c r="F25">
        <v>14.994950294000001</v>
      </c>
      <c r="G25">
        <v>1399.2403564000001</v>
      </c>
      <c r="H25">
        <v>1379.2670897999999</v>
      </c>
      <c r="I25">
        <v>1277.1005858999999</v>
      </c>
      <c r="J25">
        <v>1249.9903564000001</v>
      </c>
      <c r="K25">
        <v>1650</v>
      </c>
      <c r="L25">
        <v>0</v>
      </c>
      <c r="M25">
        <v>0</v>
      </c>
      <c r="N25">
        <v>1650</v>
      </c>
    </row>
    <row r="26" spans="1:14" x14ac:dyDescent="0.25">
      <c r="A26">
        <v>0.31578499999999998</v>
      </c>
      <c r="B26" s="1">
        <f>DATE(2010,5,1) + TIME(7,34,43)</f>
        <v>40299.315775462965</v>
      </c>
      <c r="C26">
        <v>80</v>
      </c>
      <c r="D26">
        <v>29.284322739</v>
      </c>
      <c r="E26">
        <v>40</v>
      </c>
      <c r="F26">
        <v>14.994974136</v>
      </c>
      <c r="G26">
        <v>1398.6680908000001</v>
      </c>
      <c r="H26">
        <v>1379.0836182</v>
      </c>
      <c r="I26">
        <v>1277.1043701000001</v>
      </c>
      <c r="J26">
        <v>1249.9940185999999</v>
      </c>
      <c r="K26">
        <v>1650</v>
      </c>
      <c r="L26">
        <v>0</v>
      </c>
      <c r="M26">
        <v>0</v>
      </c>
      <c r="N26">
        <v>1650</v>
      </c>
    </row>
    <row r="27" spans="1:14" x14ac:dyDescent="0.25">
      <c r="A27">
        <v>0.34020099999999998</v>
      </c>
      <c r="B27" s="1">
        <f>DATE(2010,5,1) + TIME(8,9,53)</f>
        <v>40299.340196759258</v>
      </c>
      <c r="C27">
        <v>80</v>
      </c>
      <c r="D27">
        <v>30.267913818</v>
      </c>
      <c r="E27">
        <v>40</v>
      </c>
      <c r="F27">
        <v>14.994997978000001</v>
      </c>
      <c r="G27">
        <v>1398.1174315999999</v>
      </c>
      <c r="H27">
        <v>1378.9071045000001</v>
      </c>
      <c r="I27">
        <v>1277.1076660000001</v>
      </c>
      <c r="J27">
        <v>1249.9970702999999</v>
      </c>
      <c r="K27">
        <v>1650</v>
      </c>
      <c r="L27">
        <v>0</v>
      </c>
      <c r="M27">
        <v>0</v>
      </c>
      <c r="N27">
        <v>1650</v>
      </c>
    </row>
    <row r="28" spans="1:14" x14ac:dyDescent="0.25">
      <c r="A28">
        <v>0.36502400000000002</v>
      </c>
      <c r="B28" s="1">
        <f>DATE(2010,5,1) + TIME(8,45,38)</f>
        <v>40299.365023148152</v>
      </c>
      <c r="C28">
        <v>80</v>
      </c>
      <c r="D28">
        <v>31.251255035</v>
      </c>
      <c r="E28">
        <v>40</v>
      </c>
      <c r="F28">
        <v>14.995020866000001</v>
      </c>
      <c r="G28">
        <v>1397.5874022999999</v>
      </c>
      <c r="H28">
        <v>1378.7374268000001</v>
      </c>
      <c r="I28">
        <v>1277.1104736</v>
      </c>
      <c r="J28">
        <v>1249.9997559000001</v>
      </c>
      <c r="K28">
        <v>1650</v>
      </c>
      <c r="L28">
        <v>0</v>
      </c>
      <c r="M28">
        <v>0</v>
      </c>
      <c r="N28">
        <v>1650</v>
      </c>
    </row>
    <row r="29" spans="1:14" x14ac:dyDescent="0.25">
      <c r="A29">
        <v>0.39026699999999998</v>
      </c>
      <c r="B29" s="1">
        <f>DATE(2010,5,1) + TIME(9,21,59)</f>
        <v>40299.390266203707</v>
      </c>
      <c r="C29">
        <v>80</v>
      </c>
      <c r="D29">
        <v>32.234073639000002</v>
      </c>
      <c r="E29">
        <v>40</v>
      </c>
      <c r="F29">
        <v>14.995044708</v>
      </c>
      <c r="G29">
        <v>1397.0772704999999</v>
      </c>
      <c r="H29">
        <v>1378.5743408000001</v>
      </c>
      <c r="I29">
        <v>1277.1129149999999</v>
      </c>
      <c r="J29">
        <v>1250.0020752</v>
      </c>
      <c r="K29">
        <v>1650</v>
      </c>
      <c r="L29">
        <v>0</v>
      </c>
      <c r="M29">
        <v>0</v>
      </c>
      <c r="N29">
        <v>1650</v>
      </c>
    </row>
    <row r="30" spans="1:14" x14ac:dyDescent="0.25">
      <c r="A30">
        <v>0.41595199999999999</v>
      </c>
      <c r="B30" s="1">
        <f>DATE(2010,5,1) + TIME(9,58,58)</f>
        <v>40299.415949074071</v>
      </c>
      <c r="C30">
        <v>80</v>
      </c>
      <c r="D30">
        <v>33.216506957999997</v>
      </c>
      <c r="E30">
        <v>40</v>
      </c>
      <c r="F30">
        <v>14.995067596</v>
      </c>
      <c r="G30">
        <v>1396.5860596</v>
      </c>
      <c r="H30">
        <v>1378.4176024999999</v>
      </c>
      <c r="I30">
        <v>1277.1152344</v>
      </c>
      <c r="J30">
        <v>1250.0041504000001</v>
      </c>
      <c r="K30">
        <v>1650</v>
      </c>
      <c r="L30">
        <v>0</v>
      </c>
      <c r="M30">
        <v>0</v>
      </c>
      <c r="N30">
        <v>1650</v>
      </c>
    </row>
    <row r="31" spans="1:14" x14ac:dyDescent="0.25">
      <c r="A31">
        <v>0.44209599999999999</v>
      </c>
      <c r="B31" s="1">
        <f>DATE(2010,5,1) + TIME(10,36,37)</f>
        <v>40299.442094907405</v>
      </c>
      <c r="C31">
        <v>80</v>
      </c>
      <c r="D31">
        <v>34.198539734000001</v>
      </c>
      <c r="E31">
        <v>40</v>
      </c>
      <c r="F31">
        <v>14.995091437999999</v>
      </c>
      <c r="G31">
        <v>1396.1129149999999</v>
      </c>
      <c r="H31">
        <v>1378.2669678</v>
      </c>
      <c r="I31">
        <v>1277.1173096</v>
      </c>
      <c r="J31">
        <v>1250.0059814000001</v>
      </c>
      <c r="K31">
        <v>1650</v>
      </c>
      <c r="L31">
        <v>0</v>
      </c>
      <c r="M31">
        <v>0</v>
      </c>
      <c r="N31">
        <v>1650</v>
      </c>
    </row>
    <row r="32" spans="1:14" x14ac:dyDescent="0.25">
      <c r="A32">
        <v>0.46871800000000002</v>
      </c>
      <c r="B32" s="1">
        <f>DATE(2010,5,1) + TIME(11,14,57)</f>
        <v>40299.468715277777</v>
      </c>
      <c r="C32">
        <v>80</v>
      </c>
      <c r="D32">
        <v>35.180152892999999</v>
      </c>
      <c r="E32">
        <v>40</v>
      </c>
      <c r="F32">
        <v>14.995114325999999</v>
      </c>
      <c r="G32">
        <v>1395.6572266000001</v>
      </c>
      <c r="H32">
        <v>1378.1220702999999</v>
      </c>
      <c r="I32">
        <v>1277.1192627</v>
      </c>
      <c r="J32">
        <v>1250.0078125</v>
      </c>
      <c r="K32">
        <v>1650</v>
      </c>
      <c r="L32">
        <v>0</v>
      </c>
      <c r="M32">
        <v>0</v>
      </c>
      <c r="N32">
        <v>1650</v>
      </c>
    </row>
    <row r="33" spans="1:14" x14ac:dyDescent="0.25">
      <c r="A33">
        <v>0.49583899999999997</v>
      </c>
      <c r="B33" s="1">
        <f>DATE(2010,5,1) + TIME(11,54,0)</f>
        <v>40299.495833333334</v>
      </c>
      <c r="C33">
        <v>80</v>
      </c>
      <c r="D33">
        <v>36.161331177000001</v>
      </c>
      <c r="E33">
        <v>40</v>
      </c>
      <c r="F33">
        <v>14.995138168</v>
      </c>
      <c r="G33">
        <v>1395.2180175999999</v>
      </c>
      <c r="H33">
        <v>1377.9827881000001</v>
      </c>
      <c r="I33">
        <v>1277.1210937999999</v>
      </c>
      <c r="J33">
        <v>1250.0093993999999</v>
      </c>
      <c r="K33">
        <v>1650</v>
      </c>
      <c r="L33">
        <v>0</v>
      </c>
      <c r="M33">
        <v>0</v>
      </c>
      <c r="N33">
        <v>1650</v>
      </c>
    </row>
    <row r="34" spans="1:14" x14ac:dyDescent="0.25">
      <c r="A34">
        <v>0.52347999999999995</v>
      </c>
      <c r="B34" s="1">
        <f>DATE(2010,5,1) + TIME(12,33,48)</f>
        <v>40299.523472222223</v>
      </c>
      <c r="C34">
        <v>80</v>
      </c>
      <c r="D34">
        <v>37.142055511000002</v>
      </c>
      <c r="E34">
        <v>40</v>
      </c>
      <c r="F34">
        <v>14.99516201</v>
      </c>
      <c r="G34">
        <v>1394.7944336</v>
      </c>
      <c r="H34">
        <v>1377.8486327999999</v>
      </c>
      <c r="I34">
        <v>1277.1228027</v>
      </c>
      <c r="J34">
        <v>1250.0109863</v>
      </c>
      <c r="K34">
        <v>1650</v>
      </c>
      <c r="L34">
        <v>0</v>
      </c>
      <c r="M34">
        <v>0</v>
      </c>
      <c r="N34">
        <v>1650</v>
      </c>
    </row>
    <row r="35" spans="1:14" x14ac:dyDescent="0.25">
      <c r="A35">
        <v>0.55166499999999996</v>
      </c>
      <c r="B35" s="1">
        <f>DATE(2010,5,1) + TIME(13,14,23)</f>
        <v>40299.551655092589</v>
      </c>
      <c r="C35">
        <v>80</v>
      </c>
      <c r="D35">
        <v>38.122299194</v>
      </c>
      <c r="E35">
        <v>40</v>
      </c>
      <c r="F35">
        <v>14.995184898</v>
      </c>
      <c r="G35">
        <v>1394.3859863</v>
      </c>
      <c r="H35">
        <v>1377.7194824000001</v>
      </c>
      <c r="I35">
        <v>1277.1245117000001</v>
      </c>
      <c r="J35">
        <v>1250.0124512</v>
      </c>
      <c r="K35">
        <v>1650</v>
      </c>
      <c r="L35">
        <v>0</v>
      </c>
      <c r="M35">
        <v>0</v>
      </c>
      <c r="N35">
        <v>1650</v>
      </c>
    </row>
    <row r="36" spans="1:14" x14ac:dyDescent="0.25">
      <c r="A36">
        <v>0.58041699999999996</v>
      </c>
      <c r="B36" s="1">
        <f>DATE(2010,5,1) + TIME(13,55,48)</f>
        <v>40299.580416666664</v>
      </c>
      <c r="C36">
        <v>80</v>
      </c>
      <c r="D36">
        <v>39.102043152</v>
      </c>
      <c r="E36">
        <v>40</v>
      </c>
      <c r="F36">
        <v>14.995208740000001</v>
      </c>
      <c r="G36">
        <v>1393.9919434000001</v>
      </c>
      <c r="H36">
        <v>1377.5950928</v>
      </c>
      <c r="I36">
        <v>1277.1260986</v>
      </c>
      <c r="J36">
        <v>1250.0137939000001</v>
      </c>
      <c r="K36">
        <v>1650</v>
      </c>
      <c r="L36">
        <v>0</v>
      </c>
      <c r="M36">
        <v>0</v>
      </c>
      <c r="N36">
        <v>1650</v>
      </c>
    </row>
    <row r="37" spans="1:14" x14ac:dyDescent="0.25">
      <c r="A37">
        <v>0.60976399999999997</v>
      </c>
      <c r="B37" s="1">
        <f>DATE(2010,5,1) + TIME(14,38,3)</f>
        <v>40299.609756944446</v>
      </c>
      <c r="C37">
        <v>80</v>
      </c>
      <c r="D37">
        <v>40.081283569</v>
      </c>
      <c r="E37">
        <v>40</v>
      </c>
      <c r="F37">
        <v>14.995232582</v>
      </c>
      <c r="G37">
        <v>1393.6114502</v>
      </c>
      <c r="H37">
        <v>1377.4752197</v>
      </c>
      <c r="I37">
        <v>1277.1275635</v>
      </c>
      <c r="J37">
        <v>1250.0150146000001</v>
      </c>
      <c r="K37">
        <v>1650</v>
      </c>
      <c r="L37">
        <v>0</v>
      </c>
      <c r="M37">
        <v>0</v>
      </c>
      <c r="N37">
        <v>1650</v>
      </c>
    </row>
    <row r="38" spans="1:14" x14ac:dyDescent="0.25">
      <c r="A38">
        <v>0.639733</v>
      </c>
      <c r="B38" s="1">
        <f>DATE(2010,5,1) + TIME(15,21,12)</f>
        <v>40299.639722222222</v>
      </c>
      <c r="C38">
        <v>80</v>
      </c>
      <c r="D38">
        <v>41.060161591000004</v>
      </c>
      <c r="E38">
        <v>40</v>
      </c>
      <c r="F38">
        <v>14.995256424000001</v>
      </c>
      <c r="G38">
        <v>1393.2440185999999</v>
      </c>
      <c r="H38">
        <v>1377.3594971</v>
      </c>
      <c r="I38">
        <v>1277.1290283000001</v>
      </c>
      <c r="J38">
        <v>1250.0162353999999</v>
      </c>
      <c r="K38">
        <v>1650</v>
      </c>
      <c r="L38">
        <v>0</v>
      </c>
      <c r="M38">
        <v>0</v>
      </c>
      <c r="N38">
        <v>1650</v>
      </c>
    </row>
    <row r="39" spans="1:14" x14ac:dyDescent="0.25">
      <c r="A39">
        <v>0.67034899999999997</v>
      </c>
      <c r="B39" s="1">
        <f>DATE(2010,5,1) + TIME(16,5,18)</f>
        <v>40299.670347222222</v>
      </c>
      <c r="C39">
        <v>80</v>
      </c>
      <c r="D39">
        <v>42.038265228</v>
      </c>
      <c r="E39">
        <v>40</v>
      </c>
      <c r="F39">
        <v>14.995280266</v>
      </c>
      <c r="G39">
        <v>1392.8889160000001</v>
      </c>
      <c r="H39">
        <v>1377.2476807</v>
      </c>
      <c r="I39">
        <v>1277.1304932</v>
      </c>
      <c r="J39">
        <v>1250.0173339999999</v>
      </c>
      <c r="K39">
        <v>1650</v>
      </c>
      <c r="L39">
        <v>0</v>
      </c>
      <c r="M39">
        <v>0</v>
      </c>
      <c r="N39">
        <v>1650</v>
      </c>
    </row>
    <row r="40" spans="1:14" x14ac:dyDescent="0.25">
      <c r="A40">
        <v>0.70165</v>
      </c>
      <c r="B40" s="1">
        <f>DATE(2010,5,1) + TIME(16,50,22)</f>
        <v>40299.701643518521</v>
      </c>
      <c r="C40">
        <v>80</v>
      </c>
      <c r="D40">
        <v>43.015762328999998</v>
      </c>
      <c r="E40">
        <v>40</v>
      </c>
      <c r="F40">
        <v>14.995304107999999</v>
      </c>
      <c r="G40">
        <v>1392.5457764</v>
      </c>
      <c r="H40">
        <v>1377.1396483999999</v>
      </c>
      <c r="I40">
        <v>1277.1318358999999</v>
      </c>
      <c r="J40">
        <v>1250.0184326000001</v>
      </c>
      <c r="K40">
        <v>1650</v>
      </c>
      <c r="L40">
        <v>0</v>
      </c>
      <c r="M40">
        <v>0</v>
      </c>
      <c r="N40">
        <v>1650</v>
      </c>
    </row>
    <row r="41" spans="1:14" x14ac:dyDescent="0.25">
      <c r="A41">
        <v>0.73367199999999999</v>
      </c>
      <c r="B41" s="1">
        <f>DATE(2010,5,1) + TIME(17,36,29)</f>
        <v>40299.733668981484</v>
      </c>
      <c r="C41">
        <v>80</v>
      </c>
      <c r="D41">
        <v>43.992614746000001</v>
      </c>
      <c r="E41">
        <v>40</v>
      </c>
      <c r="F41">
        <v>14.99532795</v>
      </c>
      <c r="G41">
        <v>1392.2138672000001</v>
      </c>
      <c r="H41">
        <v>1377.0351562000001</v>
      </c>
      <c r="I41">
        <v>1277.1330565999999</v>
      </c>
      <c r="J41">
        <v>1250.0194091999999</v>
      </c>
      <c r="K41">
        <v>1650</v>
      </c>
      <c r="L41">
        <v>0</v>
      </c>
      <c r="M41">
        <v>0</v>
      </c>
      <c r="N41">
        <v>1650</v>
      </c>
    </row>
    <row r="42" spans="1:14" x14ac:dyDescent="0.25">
      <c r="A42">
        <v>0.76645200000000002</v>
      </c>
      <c r="B42" s="1">
        <f>DATE(2010,5,1) + TIME(18,23,41)</f>
        <v>40299.766446759262</v>
      </c>
      <c r="C42">
        <v>80</v>
      </c>
      <c r="D42">
        <v>44.968791961999997</v>
      </c>
      <c r="E42">
        <v>40</v>
      </c>
      <c r="F42">
        <v>14.995351790999999</v>
      </c>
      <c r="G42">
        <v>1391.8927002</v>
      </c>
      <c r="H42">
        <v>1376.9338379000001</v>
      </c>
      <c r="I42">
        <v>1277.1342772999999</v>
      </c>
      <c r="J42">
        <v>1250.0203856999999</v>
      </c>
      <c r="K42">
        <v>1650</v>
      </c>
      <c r="L42">
        <v>0</v>
      </c>
      <c r="M42">
        <v>0</v>
      </c>
      <c r="N42">
        <v>1650</v>
      </c>
    </row>
    <row r="43" spans="1:14" x14ac:dyDescent="0.25">
      <c r="A43">
        <v>0.80003199999999997</v>
      </c>
      <c r="B43" s="1">
        <f>DATE(2010,5,1) + TIME(19,12,2)</f>
        <v>40299.800023148149</v>
      </c>
      <c r="C43">
        <v>80</v>
      </c>
      <c r="D43">
        <v>45.944259643999999</v>
      </c>
      <c r="E43">
        <v>40</v>
      </c>
      <c r="F43">
        <v>14.995376587000001</v>
      </c>
      <c r="G43">
        <v>1391.5817870999999</v>
      </c>
      <c r="H43">
        <v>1376.8355713000001</v>
      </c>
      <c r="I43">
        <v>1277.1354980000001</v>
      </c>
      <c r="J43">
        <v>1250.0213623</v>
      </c>
      <c r="K43">
        <v>1650</v>
      </c>
      <c r="L43">
        <v>0</v>
      </c>
      <c r="M43">
        <v>0</v>
      </c>
      <c r="N43">
        <v>1650</v>
      </c>
    </row>
    <row r="44" spans="1:14" x14ac:dyDescent="0.25">
      <c r="A44">
        <v>0.83445800000000003</v>
      </c>
      <c r="B44" s="1">
        <f>DATE(2010,5,1) + TIME(20,1,37)</f>
        <v>40299.834456018521</v>
      </c>
      <c r="C44">
        <v>80</v>
      </c>
      <c r="D44">
        <v>46.918968200999998</v>
      </c>
      <c r="E44">
        <v>40</v>
      </c>
      <c r="F44">
        <v>14.995400429</v>
      </c>
      <c r="G44">
        <v>1391.2806396000001</v>
      </c>
      <c r="H44">
        <v>1376.7402344</v>
      </c>
      <c r="I44">
        <v>1277.1367187999999</v>
      </c>
      <c r="J44">
        <v>1250.0222168</v>
      </c>
      <c r="K44">
        <v>1650</v>
      </c>
      <c r="L44">
        <v>0</v>
      </c>
      <c r="M44">
        <v>0</v>
      </c>
      <c r="N44">
        <v>1650</v>
      </c>
    </row>
    <row r="45" spans="1:14" x14ac:dyDescent="0.25">
      <c r="A45">
        <v>0.86977599999999999</v>
      </c>
      <c r="B45" s="1">
        <f>DATE(2010,5,1) + TIME(20,52,28)</f>
        <v>40299.869768518518</v>
      </c>
      <c r="C45">
        <v>80</v>
      </c>
      <c r="D45">
        <v>47.892879485999998</v>
      </c>
      <c r="E45">
        <v>40</v>
      </c>
      <c r="F45">
        <v>14.995424270999999</v>
      </c>
      <c r="G45">
        <v>1390.9887695</v>
      </c>
      <c r="H45">
        <v>1376.6474608999999</v>
      </c>
      <c r="I45">
        <v>1277.1378173999999</v>
      </c>
      <c r="J45">
        <v>1250.0230713000001</v>
      </c>
      <c r="K45">
        <v>1650</v>
      </c>
      <c r="L45">
        <v>0</v>
      </c>
      <c r="M45">
        <v>0</v>
      </c>
      <c r="N45">
        <v>1650</v>
      </c>
    </row>
    <row r="46" spans="1:14" x14ac:dyDescent="0.25">
      <c r="A46">
        <v>0.90603999999999996</v>
      </c>
      <c r="B46" s="1">
        <f>DATE(2010,5,1) + TIME(21,44,41)</f>
        <v>40299.906030092592</v>
      </c>
      <c r="C46">
        <v>80</v>
      </c>
      <c r="D46">
        <v>48.865940094000003</v>
      </c>
      <c r="E46">
        <v>40</v>
      </c>
      <c r="F46">
        <v>14.995449066000001</v>
      </c>
      <c r="G46">
        <v>1390.7056885</v>
      </c>
      <c r="H46">
        <v>1376.5571289</v>
      </c>
      <c r="I46">
        <v>1277.1389160000001</v>
      </c>
      <c r="J46">
        <v>1250.0239257999999</v>
      </c>
      <c r="K46">
        <v>1650</v>
      </c>
      <c r="L46">
        <v>0</v>
      </c>
      <c r="M46">
        <v>0</v>
      </c>
      <c r="N46">
        <v>1650</v>
      </c>
    </row>
    <row r="47" spans="1:14" x14ac:dyDescent="0.25">
      <c r="A47">
        <v>0.94330800000000004</v>
      </c>
      <c r="B47" s="1">
        <f>DATE(2010,5,1) + TIME(22,38,21)</f>
        <v>40299.943298611113</v>
      </c>
      <c r="C47">
        <v>80</v>
      </c>
      <c r="D47">
        <v>49.838104248</v>
      </c>
      <c r="E47">
        <v>40</v>
      </c>
      <c r="F47">
        <v>14.995473862000001</v>
      </c>
      <c r="G47">
        <v>1390.4309082</v>
      </c>
      <c r="H47">
        <v>1376.4691161999999</v>
      </c>
      <c r="I47">
        <v>1277.1400146000001</v>
      </c>
      <c r="J47">
        <v>1250.0246582</v>
      </c>
      <c r="K47">
        <v>1650</v>
      </c>
      <c r="L47">
        <v>0</v>
      </c>
      <c r="M47">
        <v>0</v>
      </c>
      <c r="N47">
        <v>1650</v>
      </c>
    </row>
    <row r="48" spans="1:14" x14ac:dyDescent="0.25">
      <c r="A48">
        <v>0.98164399999999996</v>
      </c>
      <c r="B48" s="1">
        <f>DATE(2010,5,1) + TIME(23,33,34)</f>
        <v>40299.98164351852</v>
      </c>
      <c r="C48">
        <v>80</v>
      </c>
      <c r="D48">
        <v>50.808925629000001</v>
      </c>
      <c r="E48">
        <v>40</v>
      </c>
      <c r="F48">
        <v>14.995498657000001</v>
      </c>
      <c r="G48">
        <v>1390.1641846</v>
      </c>
      <c r="H48">
        <v>1376.3829346</v>
      </c>
      <c r="I48">
        <v>1277.1411132999999</v>
      </c>
      <c r="J48">
        <v>1250.0253906</v>
      </c>
      <c r="K48">
        <v>1650</v>
      </c>
      <c r="L48">
        <v>0</v>
      </c>
      <c r="M48">
        <v>0</v>
      </c>
      <c r="N48">
        <v>1650</v>
      </c>
    </row>
    <row r="49" spans="1:14" x14ac:dyDescent="0.25">
      <c r="A49">
        <v>1.0211319999999999</v>
      </c>
      <c r="B49" s="1">
        <f>DATE(2010,5,2) + TIME(0,30,25)</f>
        <v>40300.021122685182</v>
      </c>
      <c r="C49">
        <v>80</v>
      </c>
      <c r="D49">
        <v>51.779006957999997</v>
      </c>
      <c r="E49">
        <v>40</v>
      </c>
      <c r="F49">
        <v>14.995523453000001</v>
      </c>
      <c r="G49">
        <v>1389.9049072</v>
      </c>
      <c r="H49">
        <v>1376.2985839999999</v>
      </c>
      <c r="I49">
        <v>1277.1422118999999</v>
      </c>
      <c r="J49">
        <v>1250.0261230000001</v>
      </c>
      <c r="K49">
        <v>1650</v>
      </c>
      <c r="L49">
        <v>0</v>
      </c>
      <c r="M49">
        <v>0</v>
      </c>
      <c r="N49">
        <v>1650</v>
      </c>
    </row>
    <row r="50" spans="1:14" x14ac:dyDescent="0.25">
      <c r="A50">
        <v>1.0618369999999999</v>
      </c>
      <c r="B50" s="1">
        <f>DATE(2010,5,2) + TIME(1,29,2)</f>
        <v>40300.061828703707</v>
      </c>
      <c r="C50">
        <v>80</v>
      </c>
      <c r="D50">
        <v>52.748065947999997</v>
      </c>
      <c r="E50">
        <v>40</v>
      </c>
      <c r="F50">
        <v>14.995548248</v>
      </c>
      <c r="G50">
        <v>1389.6527100000001</v>
      </c>
      <c r="H50">
        <v>1376.2159423999999</v>
      </c>
      <c r="I50">
        <v>1277.1431885</v>
      </c>
      <c r="J50">
        <v>1250.0268555</v>
      </c>
      <c r="K50">
        <v>1650</v>
      </c>
      <c r="L50">
        <v>0</v>
      </c>
      <c r="M50">
        <v>0</v>
      </c>
      <c r="N50">
        <v>1650</v>
      </c>
    </row>
    <row r="51" spans="1:14" x14ac:dyDescent="0.25">
      <c r="A51">
        <v>1.103842</v>
      </c>
      <c r="B51" s="1">
        <f>DATE(2010,5,2) + TIME(2,29,31)</f>
        <v>40300.103831018518</v>
      </c>
      <c r="C51">
        <v>80</v>
      </c>
      <c r="D51">
        <v>53.715961456000002</v>
      </c>
      <c r="E51">
        <v>40</v>
      </c>
      <c r="F51">
        <v>14.995573996999999</v>
      </c>
      <c r="G51">
        <v>1389.4073486</v>
      </c>
      <c r="H51">
        <v>1376.1347656</v>
      </c>
      <c r="I51">
        <v>1277.1442870999999</v>
      </c>
      <c r="J51">
        <v>1250.0275879000001</v>
      </c>
      <c r="K51">
        <v>1650</v>
      </c>
      <c r="L51">
        <v>0</v>
      </c>
      <c r="M51">
        <v>0</v>
      </c>
      <c r="N51">
        <v>1650</v>
      </c>
    </row>
    <row r="52" spans="1:14" x14ac:dyDescent="0.25">
      <c r="A52">
        <v>1.147241</v>
      </c>
      <c r="B52" s="1">
        <f>DATE(2010,5,2) + TIME(3,32,1)</f>
        <v>40300.147233796299</v>
      </c>
      <c r="C52">
        <v>80</v>
      </c>
      <c r="D52">
        <v>54.682605743000003</v>
      </c>
      <c r="E52">
        <v>40</v>
      </c>
      <c r="F52">
        <v>14.995598792999999</v>
      </c>
      <c r="G52">
        <v>1389.1682129000001</v>
      </c>
      <c r="H52">
        <v>1376.0546875</v>
      </c>
      <c r="I52">
        <v>1277.1452637</v>
      </c>
      <c r="J52">
        <v>1250.0281981999999</v>
      </c>
      <c r="K52">
        <v>1650</v>
      </c>
      <c r="L52">
        <v>0</v>
      </c>
      <c r="M52">
        <v>0</v>
      </c>
      <c r="N52">
        <v>1650</v>
      </c>
    </row>
    <row r="53" spans="1:14" x14ac:dyDescent="0.25">
      <c r="A53">
        <v>1.192137</v>
      </c>
      <c r="B53" s="1">
        <f>DATE(2010,5,2) + TIME(4,36,40)</f>
        <v>40300.192129629628</v>
      </c>
      <c r="C53">
        <v>80</v>
      </c>
      <c r="D53">
        <v>55.647903442</v>
      </c>
      <c r="E53">
        <v>40</v>
      </c>
      <c r="F53">
        <v>14.995624542</v>
      </c>
      <c r="G53">
        <v>1388.9350586</v>
      </c>
      <c r="H53">
        <v>1375.9755858999999</v>
      </c>
      <c r="I53">
        <v>1277.1463623</v>
      </c>
      <c r="J53">
        <v>1250.0289307</v>
      </c>
      <c r="K53">
        <v>1650</v>
      </c>
      <c r="L53">
        <v>0</v>
      </c>
      <c r="M53">
        <v>0</v>
      </c>
      <c r="N53">
        <v>1650</v>
      </c>
    </row>
    <row r="54" spans="1:14" x14ac:dyDescent="0.25">
      <c r="A54">
        <v>1.2386470000000001</v>
      </c>
      <c r="B54" s="1">
        <f>DATE(2010,5,2) + TIME(5,43,39)</f>
        <v>40300.238645833335</v>
      </c>
      <c r="C54">
        <v>80</v>
      </c>
      <c r="D54">
        <v>56.611751556000002</v>
      </c>
      <c r="E54">
        <v>40</v>
      </c>
      <c r="F54">
        <v>14.995651244999999</v>
      </c>
      <c r="G54">
        <v>1388.7073975000001</v>
      </c>
      <c r="H54">
        <v>1375.8973389</v>
      </c>
      <c r="I54">
        <v>1277.1473389</v>
      </c>
      <c r="J54">
        <v>1250.0295410000001</v>
      </c>
      <c r="K54">
        <v>1650</v>
      </c>
      <c r="L54">
        <v>0</v>
      </c>
      <c r="M54">
        <v>0</v>
      </c>
      <c r="N54">
        <v>1650</v>
      </c>
    </row>
    <row r="55" spans="1:14" x14ac:dyDescent="0.25">
      <c r="A55">
        <v>1.2869010000000001</v>
      </c>
      <c r="B55" s="1">
        <f>DATE(2010,5,2) + TIME(6,53,8)</f>
        <v>40300.286898148152</v>
      </c>
      <c r="C55">
        <v>80</v>
      </c>
      <c r="D55">
        <v>57.574035645000002</v>
      </c>
      <c r="E55">
        <v>40</v>
      </c>
      <c r="F55">
        <v>14.995676994</v>
      </c>
      <c r="G55">
        <v>1388.4849853999999</v>
      </c>
      <c r="H55">
        <v>1375.8195800999999</v>
      </c>
      <c r="I55">
        <v>1277.1484375</v>
      </c>
      <c r="J55">
        <v>1250.0302733999999</v>
      </c>
      <c r="K55">
        <v>1650</v>
      </c>
      <c r="L55">
        <v>0</v>
      </c>
      <c r="M55">
        <v>0</v>
      </c>
      <c r="N55">
        <v>1650</v>
      </c>
    </row>
    <row r="56" spans="1:14" x14ac:dyDescent="0.25">
      <c r="A56">
        <v>1.3370470000000001</v>
      </c>
      <c r="B56" s="1">
        <f>DATE(2010,5,2) + TIME(8,5,20)</f>
        <v>40300.337037037039</v>
      </c>
      <c r="C56">
        <v>80</v>
      </c>
      <c r="D56">
        <v>58.534629821999999</v>
      </c>
      <c r="E56">
        <v>40</v>
      </c>
      <c r="F56">
        <v>14.995703697</v>
      </c>
      <c r="G56">
        <v>1388.2674560999999</v>
      </c>
      <c r="H56">
        <v>1375.7420654</v>
      </c>
      <c r="I56">
        <v>1277.1495361</v>
      </c>
      <c r="J56">
        <v>1250.0310059000001</v>
      </c>
      <c r="K56">
        <v>1650</v>
      </c>
      <c r="L56">
        <v>0</v>
      </c>
      <c r="M56">
        <v>0</v>
      </c>
      <c r="N56">
        <v>1650</v>
      </c>
    </row>
    <row r="57" spans="1:14" x14ac:dyDescent="0.25">
      <c r="A57">
        <v>1.3892500000000001</v>
      </c>
      <c r="B57" s="1">
        <f>DATE(2010,5,2) + TIME(9,20,31)</f>
        <v>40300.389247685183</v>
      </c>
      <c r="C57">
        <v>80</v>
      </c>
      <c r="D57">
        <v>59.493381499999998</v>
      </c>
      <c r="E57">
        <v>40</v>
      </c>
      <c r="F57">
        <v>14.995730399999999</v>
      </c>
      <c r="G57">
        <v>1388.0543213000001</v>
      </c>
      <c r="H57">
        <v>1375.6646728999999</v>
      </c>
      <c r="I57">
        <v>1277.1506348</v>
      </c>
      <c r="J57">
        <v>1250.0316161999999</v>
      </c>
      <c r="K57">
        <v>1650</v>
      </c>
      <c r="L57">
        <v>0</v>
      </c>
      <c r="M57">
        <v>0</v>
      </c>
      <c r="N57">
        <v>1650</v>
      </c>
    </row>
    <row r="58" spans="1:14" x14ac:dyDescent="0.25">
      <c r="A58">
        <v>1.4436990000000001</v>
      </c>
      <c r="B58" s="1">
        <f>DATE(2010,5,2) + TIME(10,38,55)</f>
        <v>40300.443692129629</v>
      </c>
      <c r="C58">
        <v>80</v>
      </c>
      <c r="D58">
        <v>60.449798584</v>
      </c>
      <c r="E58">
        <v>40</v>
      </c>
      <c r="F58">
        <v>14.995757103000001</v>
      </c>
      <c r="G58">
        <v>1387.8452147999999</v>
      </c>
      <c r="H58">
        <v>1375.5871582</v>
      </c>
      <c r="I58">
        <v>1277.1517334</v>
      </c>
      <c r="J58">
        <v>1250.0323486</v>
      </c>
      <c r="K58">
        <v>1650</v>
      </c>
      <c r="L58">
        <v>0</v>
      </c>
      <c r="M58">
        <v>0</v>
      </c>
      <c r="N58">
        <v>1650</v>
      </c>
    </row>
    <row r="59" spans="1:14" x14ac:dyDescent="0.25">
      <c r="A59">
        <v>1.500629</v>
      </c>
      <c r="B59" s="1">
        <f>DATE(2010,5,2) + TIME(12,0,54)</f>
        <v>40300.500625000001</v>
      </c>
      <c r="C59">
        <v>80</v>
      </c>
      <c r="D59">
        <v>61.403957366999997</v>
      </c>
      <c r="E59">
        <v>40</v>
      </c>
      <c r="F59">
        <v>14.995784759999999</v>
      </c>
      <c r="G59">
        <v>1387.6397704999999</v>
      </c>
      <c r="H59">
        <v>1375.5090332</v>
      </c>
      <c r="I59">
        <v>1277.1529541</v>
      </c>
      <c r="J59">
        <v>1250.0330810999999</v>
      </c>
      <c r="K59">
        <v>1650</v>
      </c>
      <c r="L59">
        <v>0</v>
      </c>
      <c r="M59">
        <v>0</v>
      </c>
      <c r="N59">
        <v>1650</v>
      </c>
    </row>
    <row r="60" spans="1:14" x14ac:dyDescent="0.25">
      <c r="A60">
        <v>1.5602940000000001</v>
      </c>
      <c r="B60" s="1">
        <f>DATE(2010,5,2) + TIME(13,26,49)</f>
        <v>40300.560289351852</v>
      </c>
      <c r="C60">
        <v>80</v>
      </c>
      <c r="D60">
        <v>62.356033324999999</v>
      </c>
      <c r="E60">
        <v>40</v>
      </c>
      <c r="F60">
        <v>14.99581337</v>
      </c>
      <c r="G60">
        <v>1387.4373779</v>
      </c>
      <c r="H60">
        <v>1375.4301757999999</v>
      </c>
      <c r="I60">
        <v>1277.1540527</v>
      </c>
      <c r="J60">
        <v>1250.0339355000001</v>
      </c>
      <c r="K60">
        <v>1650</v>
      </c>
      <c r="L60">
        <v>0</v>
      </c>
      <c r="M60">
        <v>0</v>
      </c>
      <c r="N60">
        <v>1650</v>
      </c>
    </row>
    <row r="61" spans="1:14" x14ac:dyDescent="0.25">
      <c r="A61">
        <v>1.622962</v>
      </c>
      <c r="B61" s="1">
        <f>DATE(2010,5,2) + TIME(14,57,3)</f>
        <v>40300.62295138889</v>
      </c>
      <c r="C61">
        <v>80</v>
      </c>
      <c r="D61">
        <v>63.305461884000003</v>
      </c>
      <c r="E61">
        <v>40</v>
      </c>
      <c r="F61">
        <v>14.99584198</v>
      </c>
      <c r="G61">
        <v>1387.2379149999999</v>
      </c>
      <c r="H61">
        <v>1375.3500977000001</v>
      </c>
      <c r="I61">
        <v>1277.1553954999999</v>
      </c>
      <c r="J61">
        <v>1250.034668</v>
      </c>
      <c r="K61">
        <v>1650</v>
      </c>
      <c r="L61">
        <v>0</v>
      </c>
      <c r="M61">
        <v>0</v>
      </c>
      <c r="N61">
        <v>1650</v>
      </c>
    </row>
    <row r="62" spans="1:14" x14ac:dyDescent="0.25">
      <c r="A62">
        <v>1.6889689999999999</v>
      </c>
      <c r="B62" s="1">
        <f>DATE(2010,5,2) + TIME(16,32,6)</f>
        <v>40300.688958333332</v>
      </c>
      <c r="C62">
        <v>80</v>
      </c>
      <c r="D62">
        <v>64.251945496000005</v>
      </c>
      <c r="E62">
        <v>40</v>
      </c>
      <c r="F62">
        <v>14.995870589999999</v>
      </c>
      <c r="G62">
        <v>1387.0408935999999</v>
      </c>
      <c r="H62">
        <v>1375.2686768000001</v>
      </c>
      <c r="I62">
        <v>1277.1566161999999</v>
      </c>
      <c r="J62">
        <v>1250.0356445</v>
      </c>
      <c r="K62">
        <v>1650</v>
      </c>
      <c r="L62">
        <v>0</v>
      </c>
      <c r="M62">
        <v>0</v>
      </c>
      <c r="N62">
        <v>1650</v>
      </c>
    </row>
    <row r="63" spans="1:14" x14ac:dyDescent="0.25">
      <c r="A63">
        <v>1.758707</v>
      </c>
      <c r="B63" s="1">
        <f>DATE(2010,5,2) + TIME(18,12,32)</f>
        <v>40300.758703703701</v>
      </c>
      <c r="C63">
        <v>80</v>
      </c>
      <c r="D63">
        <v>65.195213318</v>
      </c>
      <c r="E63">
        <v>40</v>
      </c>
      <c r="F63">
        <v>14.995900153999999</v>
      </c>
      <c r="G63">
        <v>1386.8457031</v>
      </c>
      <c r="H63">
        <v>1375.1853027</v>
      </c>
      <c r="I63">
        <v>1277.1580810999999</v>
      </c>
      <c r="J63">
        <v>1250.036499</v>
      </c>
      <c r="K63">
        <v>1650</v>
      </c>
      <c r="L63">
        <v>0</v>
      </c>
      <c r="M63">
        <v>0</v>
      </c>
      <c r="N63">
        <v>1650</v>
      </c>
    </row>
    <row r="64" spans="1:14" x14ac:dyDescent="0.25">
      <c r="A64">
        <v>1.83264</v>
      </c>
      <c r="B64" s="1">
        <f>DATE(2010,5,2) + TIME(19,59,0)</f>
        <v>40300.832638888889</v>
      </c>
      <c r="C64">
        <v>80</v>
      </c>
      <c r="D64">
        <v>66.134971618999998</v>
      </c>
      <c r="E64">
        <v>40</v>
      </c>
      <c r="F64">
        <v>14.995929717999999</v>
      </c>
      <c r="G64">
        <v>1386.6517334</v>
      </c>
      <c r="H64">
        <v>1375.0997314000001</v>
      </c>
      <c r="I64">
        <v>1277.1594238</v>
      </c>
      <c r="J64">
        <v>1250.0374756000001</v>
      </c>
      <c r="K64">
        <v>1650</v>
      </c>
      <c r="L64">
        <v>0</v>
      </c>
      <c r="M64">
        <v>0</v>
      </c>
      <c r="N64">
        <v>1650</v>
      </c>
    </row>
    <row r="65" spans="1:14" x14ac:dyDescent="0.25">
      <c r="A65">
        <v>1.911313</v>
      </c>
      <c r="B65" s="1">
        <f>DATE(2010,5,2) + TIME(21,52,17)</f>
        <v>40300.911307870374</v>
      </c>
      <c r="C65">
        <v>80</v>
      </c>
      <c r="D65">
        <v>67.070449828999998</v>
      </c>
      <c r="E65">
        <v>40</v>
      </c>
      <c r="F65">
        <v>14.995961189000001</v>
      </c>
      <c r="G65">
        <v>1386.4586182</v>
      </c>
      <c r="H65">
        <v>1375.0112305</v>
      </c>
      <c r="I65">
        <v>1277.1610106999999</v>
      </c>
      <c r="J65">
        <v>1250.0385742000001</v>
      </c>
      <c r="K65">
        <v>1650</v>
      </c>
      <c r="L65">
        <v>0</v>
      </c>
      <c r="M65">
        <v>0</v>
      </c>
      <c r="N65">
        <v>1650</v>
      </c>
    </row>
    <row r="66" spans="1:14" x14ac:dyDescent="0.25">
      <c r="A66">
        <v>1.950987</v>
      </c>
      <c r="B66" s="1">
        <f>DATE(2010,5,2) + TIME(22,49,25)</f>
        <v>40300.950983796298</v>
      </c>
      <c r="C66">
        <v>80</v>
      </c>
      <c r="D66">
        <v>67.527328491000006</v>
      </c>
      <c r="E66">
        <v>40</v>
      </c>
      <c r="F66">
        <v>14.995976448</v>
      </c>
      <c r="G66">
        <v>1386.3664550999999</v>
      </c>
      <c r="H66">
        <v>1374.9450684000001</v>
      </c>
      <c r="I66">
        <v>1277.1623535000001</v>
      </c>
      <c r="J66">
        <v>1250.0394286999999</v>
      </c>
      <c r="K66">
        <v>1650</v>
      </c>
      <c r="L66">
        <v>0</v>
      </c>
      <c r="M66">
        <v>0</v>
      </c>
      <c r="N66">
        <v>1650</v>
      </c>
    </row>
    <row r="67" spans="1:14" x14ac:dyDescent="0.25">
      <c r="A67">
        <v>1.9906619999999999</v>
      </c>
      <c r="B67" s="1">
        <f>DATE(2010,5,2) + TIME(23,46,33)</f>
        <v>40300.990659722222</v>
      </c>
      <c r="C67">
        <v>80</v>
      </c>
      <c r="D67">
        <v>67.968681334999999</v>
      </c>
      <c r="E67">
        <v>40</v>
      </c>
      <c r="F67">
        <v>14.995991707</v>
      </c>
      <c r="G67">
        <v>1386.2746582</v>
      </c>
      <c r="H67">
        <v>1374.9005127</v>
      </c>
      <c r="I67">
        <v>1277.1633300999999</v>
      </c>
      <c r="J67">
        <v>1250.0401611</v>
      </c>
      <c r="K67">
        <v>1650</v>
      </c>
      <c r="L67">
        <v>0</v>
      </c>
      <c r="M67">
        <v>0</v>
      </c>
      <c r="N67">
        <v>1650</v>
      </c>
    </row>
    <row r="68" spans="1:14" x14ac:dyDescent="0.25">
      <c r="A68">
        <v>2.0303369999999998</v>
      </c>
      <c r="B68" s="1">
        <f>DATE(2010,5,3) + TIME(0,43,41)</f>
        <v>40301.030335648145</v>
      </c>
      <c r="C68">
        <v>80</v>
      </c>
      <c r="D68">
        <v>68.394996642999999</v>
      </c>
      <c r="E68">
        <v>40</v>
      </c>
      <c r="F68">
        <v>14.996006965999999</v>
      </c>
      <c r="G68">
        <v>1386.1860352000001</v>
      </c>
      <c r="H68">
        <v>1374.8565673999999</v>
      </c>
      <c r="I68">
        <v>1277.1641846</v>
      </c>
      <c r="J68">
        <v>1250.0407714999999</v>
      </c>
      <c r="K68">
        <v>1650</v>
      </c>
      <c r="L68">
        <v>0</v>
      </c>
      <c r="M68">
        <v>0</v>
      </c>
      <c r="N68">
        <v>1650</v>
      </c>
    </row>
    <row r="69" spans="1:14" x14ac:dyDescent="0.25">
      <c r="A69">
        <v>2.0700120000000002</v>
      </c>
      <c r="B69" s="1">
        <f>DATE(2010,5,3) + TIME(1,40,49)</f>
        <v>40301.070011574076</v>
      </c>
      <c r="C69">
        <v>80</v>
      </c>
      <c r="D69">
        <v>68.806732178000004</v>
      </c>
      <c r="E69">
        <v>40</v>
      </c>
      <c r="F69">
        <v>14.996021271</v>
      </c>
      <c r="G69">
        <v>1386.0998535000001</v>
      </c>
      <c r="H69">
        <v>1374.8131103999999</v>
      </c>
      <c r="I69">
        <v>1277.1649170000001</v>
      </c>
      <c r="J69">
        <v>1250.0413818</v>
      </c>
      <c r="K69">
        <v>1650</v>
      </c>
      <c r="L69">
        <v>0</v>
      </c>
      <c r="M69">
        <v>0</v>
      </c>
      <c r="N69">
        <v>1650</v>
      </c>
    </row>
    <row r="70" spans="1:14" x14ac:dyDescent="0.25">
      <c r="A70">
        <v>2.109686</v>
      </c>
      <c r="B70" s="1">
        <f>DATE(2010,5,3) + TIME(2,37,56)</f>
        <v>40301.109675925924</v>
      </c>
      <c r="C70">
        <v>80</v>
      </c>
      <c r="D70">
        <v>69.204345703000001</v>
      </c>
      <c r="E70">
        <v>40</v>
      </c>
      <c r="F70">
        <v>14.996035576000001</v>
      </c>
      <c r="G70">
        <v>1386.0162353999999</v>
      </c>
      <c r="H70">
        <v>1374.7700195</v>
      </c>
      <c r="I70">
        <v>1277.1656493999999</v>
      </c>
      <c r="J70">
        <v>1250.0418701000001</v>
      </c>
      <c r="K70">
        <v>1650</v>
      </c>
      <c r="L70">
        <v>0</v>
      </c>
      <c r="M70">
        <v>0</v>
      </c>
      <c r="N70">
        <v>1650</v>
      </c>
    </row>
    <row r="71" spans="1:14" x14ac:dyDescent="0.25">
      <c r="A71">
        <v>2.1493609999999999</v>
      </c>
      <c r="B71" s="1">
        <f>DATE(2010,5,3) + TIME(3,35,4)</f>
        <v>40301.149351851855</v>
      </c>
      <c r="C71">
        <v>80</v>
      </c>
      <c r="D71">
        <v>69.588264464999995</v>
      </c>
      <c r="E71">
        <v>40</v>
      </c>
      <c r="F71">
        <v>14.996049880999999</v>
      </c>
      <c r="G71">
        <v>1385.9348144999999</v>
      </c>
      <c r="H71">
        <v>1374.7272949000001</v>
      </c>
      <c r="I71">
        <v>1277.1665039</v>
      </c>
      <c r="J71">
        <v>1250.0424805</v>
      </c>
      <c r="K71">
        <v>1650</v>
      </c>
      <c r="L71">
        <v>0</v>
      </c>
      <c r="M71">
        <v>0</v>
      </c>
      <c r="N71">
        <v>1650</v>
      </c>
    </row>
    <row r="72" spans="1:14" x14ac:dyDescent="0.25">
      <c r="A72">
        <v>2.2287110000000001</v>
      </c>
      <c r="B72" s="1">
        <f>DATE(2010,5,3) + TIME(5,29,20)</f>
        <v>40301.228703703702</v>
      </c>
      <c r="C72">
        <v>80</v>
      </c>
      <c r="D72">
        <v>70.303222656000003</v>
      </c>
      <c r="E72">
        <v>40</v>
      </c>
      <c r="F72">
        <v>14.996076584000001</v>
      </c>
      <c r="G72">
        <v>1385.7858887</v>
      </c>
      <c r="H72">
        <v>1374.668457</v>
      </c>
      <c r="I72">
        <v>1277.1673584</v>
      </c>
      <c r="J72">
        <v>1250.0430908000001</v>
      </c>
      <c r="K72">
        <v>1650</v>
      </c>
      <c r="L72">
        <v>0</v>
      </c>
      <c r="M72">
        <v>0</v>
      </c>
      <c r="N72">
        <v>1650</v>
      </c>
    </row>
    <row r="73" spans="1:14" x14ac:dyDescent="0.25">
      <c r="A73">
        <v>2.308103</v>
      </c>
      <c r="B73" s="1">
        <f>DATE(2010,5,3) + TIME(7,23,40)</f>
        <v>40301.30810185185</v>
      </c>
      <c r="C73">
        <v>80</v>
      </c>
      <c r="D73">
        <v>70.970260620000005</v>
      </c>
      <c r="E73">
        <v>40</v>
      </c>
      <c r="F73">
        <v>14.996102333</v>
      </c>
      <c r="G73">
        <v>1385.6392822</v>
      </c>
      <c r="H73">
        <v>1374.5852050999999</v>
      </c>
      <c r="I73">
        <v>1277.1688231999999</v>
      </c>
      <c r="J73">
        <v>1250.0441894999999</v>
      </c>
      <c r="K73">
        <v>1650</v>
      </c>
      <c r="L73">
        <v>0</v>
      </c>
      <c r="M73">
        <v>0</v>
      </c>
      <c r="N73">
        <v>1650</v>
      </c>
    </row>
    <row r="74" spans="1:14" x14ac:dyDescent="0.25">
      <c r="A74">
        <v>2.387915</v>
      </c>
      <c r="B74" s="1">
        <f>DATE(2010,5,3) + TIME(9,18,35)</f>
        <v>40301.38790509259</v>
      </c>
      <c r="C74">
        <v>80</v>
      </c>
      <c r="D74">
        <v>71.595314025999997</v>
      </c>
      <c r="E74">
        <v>40</v>
      </c>
      <c r="F74">
        <v>14.996127129</v>
      </c>
      <c r="G74">
        <v>1385.4985352000001</v>
      </c>
      <c r="H74">
        <v>1374.5026855000001</v>
      </c>
      <c r="I74">
        <v>1277.1704102000001</v>
      </c>
      <c r="J74">
        <v>1250.0454102000001</v>
      </c>
      <c r="K74">
        <v>1650</v>
      </c>
      <c r="L74">
        <v>0</v>
      </c>
      <c r="M74">
        <v>0</v>
      </c>
      <c r="N74">
        <v>1650</v>
      </c>
    </row>
    <row r="75" spans="1:14" x14ac:dyDescent="0.25">
      <c r="A75">
        <v>2.4682620000000002</v>
      </c>
      <c r="B75" s="1">
        <f>DATE(2010,5,3) + TIME(11,14,17)</f>
        <v>40301.468252314815</v>
      </c>
      <c r="C75">
        <v>80</v>
      </c>
      <c r="D75">
        <v>72.181350707999997</v>
      </c>
      <c r="E75">
        <v>40</v>
      </c>
      <c r="F75">
        <v>14.996151923999999</v>
      </c>
      <c r="G75">
        <v>1385.3631591999999</v>
      </c>
      <c r="H75">
        <v>1374.4205322</v>
      </c>
      <c r="I75">
        <v>1277.171875</v>
      </c>
      <c r="J75">
        <v>1250.0465088000001</v>
      </c>
      <c r="K75">
        <v>1650</v>
      </c>
      <c r="L75">
        <v>0</v>
      </c>
      <c r="M75">
        <v>0</v>
      </c>
      <c r="N75">
        <v>1650</v>
      </c>
    </row>
    <row r="76" spans="1:14" x14ac:dyDescent="0.25">
      <c r="A76">
        <v>2.5492629999999998</v>
      </c>
      <c r="B76" s="1">
        <f>DATE(2010,5,3) + TIME(13,10,56)</f>
        <v>40301.549259259256</v>
      </c>
      <c r="C76">
        <v>80</v>
      </c>
      <c r="D76">
        <v>72.731079101999995</v>
      </c>
      <c r="E76">
        <v>40</v>
      </c>
      <c r="F76">
        <v>14.996175766</v>
      </c>
      <c r="G76">
        <v>1385.2322998</v>
      </c>
      <c r="H76">
        <v>1374.3388672000001</v>
      </c>
      <c r="I76">
        <v>1277.1734618999999</v>
      </c>
      <c r="J76">
        <v>1250.0477295000001</v>
      </c>
      <c r="K76">
        <v>1650</v>
      </c>
      <c r="L76">
        <v>0</v>
      </c>
      <c r="M76">
        <v>0</v>
      </c>
      <c r="N76">
        <v>1650</v>
      </c>
    </row>
    <row r="77" spans="1:14" x14ac:dyDescent="0.25">
      <c r="A77">
        <v>2.6310349999999998</v>
      </c>
      <c r="B77" s="1">
        <f>DATE(2010,5,3) + TIME(15,8,41)</f>
        <v>40301.631030092591</v>
      </c>
      <c r="C77">
        <v>80</v>
      </c>
      <c r="D77">
        <v>73.246917725000003</v>
      </c>
      <c r="E77">
        <v>40</v>
      </c>
      <c r="F77">
        <v>14.996199608</v>
      </c>
      <c r="G77">
        <v>1385.1055908000001</v>
      </c>
      <c r="H77">
        <v>1374.2572021000001</v>
      </c>
      <c r="I77">
        <v>1277.1749268000001</v>
      </c>
      <c r="J77">
        <v>1250.0488281</v>
      </c>
      <c r="K77">
        <v>1650</v>
      </c>
      <c r="L77">
        <v>0</v>
      </c>
      <c r="M77">
        <v>0</v>
      </c>
      <c r="N77">
        <v>1650</v>
      </c>
    </row>
    <row r="78" spans="1:14" x14ac:dyDescent="0.25">
      <c r="A78">
        <v>2.7136909999999999</v>
      </c>
      <c r="B78" s="1">
        <f>DATE(2010,5,3) + TIME(17,7,42)</f>
        <v>40301.713680555556</v>
      </c>
      <c r="C78">
        <v>80</v>
      </c>
      <c r="D78">
        <v>73.731048584000007</v>
      </c>
      <c r="E78">
        <v>40</v>
      </c>
      <c r="F78">
        <v>14.996222496</v>
      </c>
      <c r="G78">
        <v>1384.9825439000001</v>
      </c>
      <c r="H78">
        <v>1374.1756591999999</v>
      </c>
      <c r="I78">
        <v>1277.1765137</v>
      </c>
      <c r="J78">
        <v>1250.0500488</v>
      </c>
      <c r="K78">
        <v>1650</v>
      </c>
      <c r="L78">
        <v>0</v>
      </c>
      <c r="M78">
        <v>0</v>
      </c>
      <c r="N78">
        <v>1650</v>
      </c>
    </row>
    <row r="79" spans="1:14" x14ac:dyDescent="0.25">
      <c r="A79">
        <v>2.7973400000000002</v>
      </c>
      <c r="B79" s="1">
        <f>DATE(2010,5,3) + TIME(19,8,10)</f>
        <v>40301.797337962962</v>
      </c>
      <c r="C79">
        <v>80</v>
      </c>
      <c r="D79">
        <v>74.185424804999997</v>
      </c>
      <c r="E79">
        <v>40</v>
      </c>
      <c r="F79">
        <v>14.996244430999999</v>
      </c>
      <c r="G79">
        <v>1384.8626709</v>
      </c>
      <c r="H79">
        <v>1374.0938721</v>
      </c>
      <c r="I79">
        <v>1277.1779785000001</v>
      </c>
      <c r="J79">
        <v>1250.0512695</v>
      </c>
      <c r="K79">
        <v>1650</v>
      </c>
      <c r="L79">
        <v>0</v>
      </c>
      <c r="M79">
        <v>0</v>
      </c>
      <c r="N79">
        <v>1650</v>
      </c>
    </row>
    <row r="80" spans="1:14" x14ac:dyDescent="0.25">
      <c r="A80">
        <v>2.8821180000000002</v>
      </c>
      <c r="B80" s="1">
        <f>DATE(2010,5,3) + TIME(21,10,15)</f>
        <v>40301.882118055553</v>
      </c>
      <c r="C80">
        <v>80</v>
      </c>
      <c r="D80">
        <v>74.611938476999995</v>
      </c>
      <c r="E80">
        <v>40</v>
      </c>
      <c r="F80">
        <v>14.996266365</v>
      </c>
      <c r="G80">
        <v>1384.7454834</v>
      </c>
      <c r="H80">
        <v>1374.0119629000001</v>
      </c>
      <c r="I80">
        <v>1277.1795654</v>
      </c>
      <c r="J80">
        <v>1250.0524902</v>
      </c>
      <c r="K80">
        <v>1650</v>
      </c>
      <c r="L80">
        <v>0</v>
      </c>
      <c r="M80">
        <v>0</v>
      </c>
      <c r="N80">
        <v>1650</v>
      </c>
    </row>
    <row r="81" spans="1:14" x14ac:dyDescent="0.25">
      <c r="A81">
        <v>2.9681489999999999</v>
      </c>
      <c r="B81" s="1">
        <f>DATE(2010,5,3) + TIME(23,14,8)</f>
        <v>40301.968148148146</v>
      </c>
      <c r="C81">
        <v>80</v>
      </c>
      <c r="D81">
        <v>75.012237549000005</v>
      </c>
      <c r="E81">
        <v>40</v>
      </c>
      <c r="F81">
        <v>14.9962883</v>
      </c>
      <c r="G81">
        <v>1384.6307373</v>
      </c>
      <c r="H81">
        <v>1373.9296875</v>
      </c>
      <c r="I81">
        <v>1277.1810303</v>
      </c>
      <c r="J81">
        <v>1250.0537108999999</v>
      </c>
      <c r="K81">
        <v>1650</v>
      </c>
      <c r="L81">
        <v>0</v>
      </c>
      <c r="M81">
        <v>0</v>
      </c>
      <c r="N81">
        <v>1650</v>
      </c>
    </row>
    <row r="82" spans="1:14" x14ac:dyDescent="0.25">
      <c r="A82">
        <v>3.055561</v>
      </c>
      <c r="B82" s="1">
        <f>DATE(2010,5,4) + TIME(1,20,0)</f>
        <v>40302.055555555555</v>
      </c>
      <c r="C82">
        <v>80</v>
      </c>
      <c r="D82">
        <v>75.387596130000006</v>
      </c>
      <c r="E82">
        <v>40</v>
      </c>
      <c r="F82">
        <v>14.99630928</v>
      </c>
      <c r="G82">
        <v>1384.5180664</v>
      </c>
      <c r="H82">
        <v>1373.8468018000001</v>
      </c>
      <c r="I82">
        <v>1277.1826172000001</v>
      </c>
      <c r="J82">
        <v>1250.0549315999999</v>
      </c>
      <c r="K82">
        <v>1650</v>
      </c>
      <c r="L82">
        <v>0</v>
      </c>
      <c r="M82">
        <v>0</v>
      </c>
      <c r="N82">
        <v>1650</v>
      </c>
    </row>
    <row r="83" spans="1:14" x14ac:dyDescent="0.25">
      <c r="A83">
        <v>3.1444899999999998</v>
      </c>
      <c r="B83" s="1">
        <f>DATE(2010,5,4) + TIME(3,28,3)</f>
        <v>40302.144479166665</v>
      </c>
      <c r="C83">
        <v>80</v>
      </c>
      <c r="D83">
        <v>75.739685058999996</v>
      </c>
      <c r="E83">
        <v>40</v>
      </c>
      <c r="F83">
        <v>14.996330261000001</v>
      </c>
      <c r="G83">
        <v>1384.4071045000001</v>
      </c>
      <c r="H83">
        <v>1373.7634277</v>
      </c>
      <c r="I83">
        <v>1277.184082</v>
      </c>
      <c r="J83">
        <v>1250.0562743999999</v>
      </c>
      <c r="K83">
        <v>1650</v>
      </c>
      <c r="L83">
        <v>0</v>
      </c>
      <c r="M83">
        <v>0</v>
      </c>
      <c r="N83">
        <v>1650</v>
      </c>
    </row>
    <row r="84" spans="1:14" x14ac:dyDescent="0.25">
      <c r="A84">
        <v>3.2350759999999998</v>
      </c>
      <c r="B84" s="1">
        <f>DATE(2010,5,4) + TIME(5,38,30)</f>
        <v>40302.235069444447</v>
      </c>
      <c r="C84">
        <v>80</v>
      </c>
      <c r="D84">
        <v>76.069793700999995</v>
      </c>
      <c r="E84">
        <v>40</v>
      </c>
      <c r="F84">
        <v>14.996350288</v>
      </c>
      <c r="G84">
        <v>1384.2977295000001</v>
      </c>
      <c r="H84">
        <v>1373.6793213000001</v>
      </c>
      <c r="I84">
        <v>1277.1856689000001</v>
      </c>
      <c r="J84">
        <v>1250.0574951000001</v>
      </c>
      <c r="K84">
        <v>1650</v>
      </c>
      <c r="L84">
        <v>0</v>
      </c>
      <c r="M84">
        <v>0</v>
      </c>
      <c r="N84">
        <v>1650</v>
      </c>
    </row>
    <row r="85" spans="1:14" x14ac:dyDescent="0.25">
      <c r="A85">
        <v>3.3274710000000001</v>
      </c>
      <c r="B85" s="1">
        <f>DATE(2010,5,4) + TIME(7,51,33)</f>
        <v>40302.327465277776</v>
      </c>
      <c r="C85">
        <v>80</v>
      </c>
      <c r="D85">
        <v>76.379142760999997</v>
      </c>
      <c r="E85">
        <v>40</v>
      </c>
      <c r="F85">
        <v>14.996371269000001</v>
      </c>
      <c r="G85">
        <v>1384.1894531</v>
      </c>
      <c r="H85">
        <v>1373.5944824000001</v>
      </c>
      <c r="I85">
        <v>1277.1872559000001</v>
      </c>
      <c r="J85">
        <v>1250.0588379000001</v>
      </c>
      <c r="K85">
        <v>1650</v>
      </c>
      <c r="L85">
        <v>0</v>
      </c>
      <c r="M85">
        <v>0</v>
      </c>
      <c r="N85">
        <v>1650</v>
      </c>
    </row>
    <row r="86" spans="1:14" x14ac:dyDescent="0.25">
      <c r="A86">
        <v>3.421834</v>
      </c>
      <c r="B86" s="1">
        <f>DATE(2010,5,4) + TIME(10,7,26)</f>
        <v>40302.4218287037</v>
      </c>
      <c r="C86">
        <v>80</v>
      </c>
      <c r="D86">
        <v>76.668838500999996</v>
      </c>
      <c r="E86">
        <v>40</v>
      </c>
      <c r="F86">
        <v>14.996391296000001</v>
      </c>
      <c r="G86">
        <v>1384.0822754000001</v>
      </c>
      <c r="H86">
        <v>1373.5087891000001</v>
      </c>
      <c r="I86">
        <v>1277.1888428</v>
      </c>
      <c r="J86">
        <v>1250.0600586</v>
      </c>
      <c r="K86">
        <v>1650</v>
      </c>
      <c r="L86">
        <v>0</v>
      </c>
      <c r="M86">
        <v>0</v>
      </c>
      <c r="N86">
        <v>1650</v>
      </c>
    </row>
    <row r="87" spans="1:14" x14ac:dyDescent="0.25">
      <c r="A87">
        <v>3.518335</v>
      </c>
      <c r="B87" s="1">
        <f>DATE(2010,5,4) + TIME(12,26,24)</f>
        <v>40302.518333333333</v>
      </c>
      <c r="C87">
        <v>80</v>
      </c>
      <c r="D87">
        <v>76.939926146999994</v>
      </c>
      <c r="E87">
        <v>40</v>
      </c>
      <c r="F87">
        <v>14.996411324</v>
      </c>
      <c r="G87">
        <v>1383.9758300999999</v>
      </c>
      <c r="H87">
        <v>1373.4221190999999</v>
      </c>
      <c r="I87">
        <v>1277.1904297000001</v>
      </c>
      <c r="J87">
        <v>1250.0614014</v>
      </c>
      <c r="K87">
        <v>1650</v>
      </c>
      <c r="L87">
        <v>0</v>
      </c>
      <c r="M87">
        <v>0</v>
      </c>
      <c r="N87">
        <v>1650</v>
      </c>
    </row>
    <row r="88" spans="1:14" x14ac:dyDescent="0.25">
      <c r="A88">
        <v>3.617162</v>
      </c>
      <c r="B88" s="1">
        <f>DATE(2010,5,4) + TIME(14,48,42)</f>
        <v>40302.617152777777</v>
      </c>
      <c r="C88">
        <v>80</v>
      </c>
      <c r="D88">
        <v>77.193389893000003</v>
      </c>
      <c r="E88">
        <v>40</v>
      </c>
      <c r="F88">
        <v>14.996431351</v>
      </c>
      <c r="G88">
        <v>1383.8699951000001</v>
      </c>
      <c r="H88">
        <v>1373.3344727000001</v>
      </c>
      <c r="I88">
        <v>1277.1920166</v>
      </c>
      <c r="J88">
        <v>1250.0627440999999</v>
      </c>
      <c r="K88">
        <v>1650</v>
      </c>
      <c r="L88">
        <v>0</v>
      </c>
      <c r="M88">
        <v>0</v>
      </c>
      <c r="N88">
        <v>1650</v>
      </c>
    </row>
    <row r="89" spans="1:14" x14ac:dyDescent="0.25">
      <c r="A89">
        <v>3.7185510000000002</v>
      </c>
      <c r="B89" s="1">
        <f>DATE(2010,5,4) + TIME(17,14,42)</f>
        <v>40302.718541666669</v>
      </c>
      <c r="C89">
        <v>80</v>
      </c>
      <c r="D89">
        <v>77.430221558</v>
      </c>
      <c r="E89">
        <v>40</v>
      </c>
      <c r="F89">
        <v>14.996450424000001</v>
      </c>
      <c r="G89">
        <v>1383.7644043</v>
      </c>
      <c r="H89">
        <v>1373.2456055</v>
      </c>
      <c r="I89">
        <v>1277.1936035000001</v>
      </c>
      <c r="J89">
        <v>1250.0642089999999</v>
      </c>
      <c r="K89">
        <v>1650</v>
      </c>
      <c r="L89">
        <v>0</v>
      </c>
      <c r="M89">
        <v>0</v>
      </c>
      <c r="N89">
        <v>1650</v>
      </c>
    </row>
    <row r="90" spans="1:14" x14ac:dyDescent="0.25">
      <c r="A90">
        <v>3.8226779999999998</v>
      </c>
      <c r="B90" s="1">
        <f>DATE(2010,5,4) + TIME(19,44,39)</f>
        <v>40302.82267361111</v>
      </c>
      <c r="C90">
        <v>80</v>
      </c>
      <c r="D90">
        <v>77.651176453000005</v>
      </c>
      <c r="E90">
        <v>40</v>
      </c>
      <c r="F90">
        <v>14.996470451</v>
      </c>
      <c r="G90">
        <v>1383.6589355000001</v>
      </c>
      <c r="H90">
        <v>1373.1553954999999</v>
      </c>
      <c r="I90">
        <v>1277.1951904</v>
      </c>
      <c r="J90">
        <v>1250.0655518000001</v>
      </c>
      <c r="K90">
        <v>1650</v>
      </c>
      <c r="L90">
        <v>0</v>
      </c>
      <c r="M90">
        <v>0</v>
      </c>
      <c r="N90">
        <v>1650</v>
      </c>
    </row>
    <row r="91" spans="1:14" x14ac:dyDescent="0.25">
      <c r="A91">
        <v>3.9297810000000002</v>
      </c>
      <c r="B91" s="1">
        <f>DATE(2010,5,4) + TIME(22,18,53)</f>
        <v>40302.929780092592</v>
      </c>
      <c r="C91">
        <v>80</v>
      </c>
      <c r="D91">
        <v>77.857055664000001</v>
      </c>
      <c r="E91">
        <v>40</v>
      </c>
      <c r="F91">
        <v>14.996489524999999</v>
      </c>
      <c r="G91">
        <v>1383.5534668</v>
      </c>
      <c r="H91">
        <v>1373.0639647999999</v>
      </c>
      <c r="I91">
        <v>1277.1968993999999</v>
      </c>
      <c r="J91">
        <v>1250.0670166</v>
      </c>
      <c r="K91">
        <v>1650</v>
      </c>
      <c r="L91">
        <v>0</v>
      </c>
      <c r="M91">
        <v>0</v>
      </c>
      <c r="N91">
        <v>1650</v>
      </c>
    </row>
    <row r="92" spans="1:14" x14ac:dyDescent="0.25">
      <c r="A92">
        <v>4.0401170000000004</v>
      </c>
      <c r="B92" s="1">
        <f>DATE(2010,5,5) + TIME(0,57,46)</f>
        <v>40303.04011574074</v>
      </c>
      <c r="C92">
        <v>80</v>
      </c>
      <c r="D92">
        <v>78.048622131000002</v>
      </c>
      <c r="E92">
        <v>40</v>
      </c>
      <c r="F92">
        <v>14.996509551999999</v>
      </c>
      <c r="G92">
        <v>1383.447876</v>
      </c>
      <c r="H92">
        <v>1372.9710693</v>
      </c>
      <c r="I92">
        <v>1277.1986084</v>
      </c>
      <c r="J92">
        <v>1250.0684814000001</v>
      </c>
      <c r="K92">
        <v>1650</v>
      </c>
      <c r="L92">
        <v>0</v>
      </c>
      <c r="M92">
        <v>0</v>
      </c>
      <c r="N92">
        <v>1650</v>
      </c>
    </row>
    <row r="93" spans="1:14" x14ac:dyDescent="0.25">
      <c r="A93">
        <v>4.1539739999999998</v>
      </c>
      <c r="B93" s="1">
        <f>DATE(2010,5,5) + TIME(3,41,43)</f>
        <v>40303.153969907406</v>
      </c>
      <c r="C93">
        <v>80</v>
      </c>
      <c r="D93">
        <v>78.226608275999993</v>
      </c>
      <c r="E93">
        <v>40</v>
      </c>
      <c r="F93">
        <v>14.996528625</v>
      </c>
      <c r="G93">
        <v>1383.3416748</v>
      </c>
      <c r="H93">
        <v>1372.8765868999999</v>
      </c>
      <c r="I93">
        <v>1277.2003173999999</v>
      </c>
      <c r="J93">
        <v>1250.0699463000001</v>
      </c>
      <c r="K93">
        <v>1650</v>
      </c>
      <c r="L93">
        <v>0</v>
      </c>
      <c r="M93">
        <v>0</v>
      </c>
      <c r="N93">
        <v>1650</v>
      </c>
    </row>
    <row r="94" spans="1:14" x14ac:dyDescent="0.25">
      <c r="A94">
        <v>4.2716649999999996</v>
      </c>
      <c r="B94" s="1">
        <f>DATE(2010,5,5) + TIME(6,31,11)</f>
        <v>40303.271655092591</v>
      </c>
      <c r="C94">
        <v>80</v>
      </c>
      <c r="D94">
        <v>78.391677856000001</v>
      </c>
      <c r="E94">
        <v>40</v>
      </c>
      <c r="F94">
        <v>14.996548653</v>
      </c>
      <c r="G94">
        <v>1383.2349853999999</v>
      </c>
      <c r="H94">
        <v>1372.7803954999999</v>
      </c>
      <c r="I94">
        <v>1277.2020264</v>
      </c>
      <c r="J94">
        <v>1250.0715332</v>
      </c>
      <c r="K94">
        <v>1650</v>
      </c>
      <c r="L94">
        <v>0</v>
      </c>
      <c r="M94">
        <v>0</v>
      </c>
      <c r="N94">
        <v>1650</v>
      </c>
    </row>
    <row r="95" spans="1:14" x14ac:dyDescent="0.25">
      <c r="A95">
        <v>4.3932669999999998</v>
      </c>
      <c r="B95" s="1">
        <f>DATE(2010,5,5) + TIME(9,26,18)</f>
        <v>40303.393263888887</v>
      </c>
      <c r="C95">
        <v>80</v>
      </c>
      <c r="D95">
        <v>78.544174193999993</v>
      </c>
      <c r="E95">
        <v>40</v>
      </c>
      <c r="F95">
        <v>14.996567726</v>
      </c>
      <c r="G95">
        <v>1383.1274414</v>
      </c>
      <c r="H95">
        <v>1372.6823730000001</v>
      </c>
      <c r="I95">
        <v>1277.2038574000001</v>
      </c>
      <c r="J95">
        <v>1250.0731201000001</v>
      </c>
      <c r="K95">
        <v>1650</v>
      </c>
      <c r="L95">
        <v>0</v>
      </c>
      <c r="M95">
        <v>0</v>
      </c>
      <c r="N95">
        <v>1650</v>
      </c>
    </row>
    <row r="96" spans="1:14" x14ac:dyDescent="0.25">
      <c r="A96">
        <v>4.5186149999999996</v>
      </c>
      <c r="B96" s="1">
        <f>DATE(2010,5,5) + TIME(12,26,48)</f>
        <v>40303.518611111111</v>
      </c>
      <c r="C96">
        <v>80</v>
      </c>
      <c r="D96">
        <v>78.684265136999997</v>
      </c>
      <c r="E96">
        <v>40</v>
      </c>
      <c r="F96">
        <v>14.996587753</v>
      </c>
      <c r="G96">
        <v>1383.0192870999999</v>
      </c>
      <c r="H96">
        <v>1372.5826416</v>
      </c>
      <c r="I96">
        <v>1277.2056885</v>
      </c>
      <c r="J96">
        <v>1250.074707</v>
      </c>
      <c r="K96">
        <v>1650</v>
      </c>
      <c r="L96">
        <v>0</v>
      </c>
      <c r="M96">
        <v>0</v>
      </c>
      <c r="N96">
        <v>1650</v>
      </c>
    </row>
    <row r="97" spans="1:14" x14ac:dyDescent="0.25">
      <c r="A97">
        <v>4.6480569999999997</v>
      </c>
      <c r="B97" s="1">
        <f>DATE(2010,5,5) + TIME(15,33,12)</f>
        <v>40303.648055555554</v>
      </c>
      <c r="C97">
        <v>80</v>
      </c>
      <c r="D97">
        <v>78.812736510999997</v>
      </c>
      <c r="E97">
        <v>40</v>
      </c>
      <c r="F97">
        <v>14.996606827000001</v>
      </c>
      <c r="G97">
        <v>1382.9105225000001</v>
      </c>
      <c r="H97">
        <v>1372.4815673999999</v>
      </c>
      <c r="I97">
        <v>1277.2075195</v>
      </c>
      <c r="J97">
        <v>1250.0764160000001</v>
      </c>
      <c r="K97">
        <v>1650</v>
      </c>
      <c r="L97">
        <v>0</v>
      </c>
      <c r="M97">
        <v>0</v>
      </c>
      <c r="N97">
        <v>1650</v>
      </c>
    </row>
    <row r="98" spans="1:14" x14ac:dyDescent="0.25">
      <c r="A98">
        <v>4.7817460000000001</v>
      </c>
      <c r="B98" s="1">
        <f>DATE(2010,5,5) + TIME(18,45,42)</f>
        <v>40303.781736111108</v>
      </c>
      <c r="C98">
        <v>80</v>
      </c>
      <c r="D98">
        <v>78.930130004999995</v>
      </c>
      <c r="E98">
        <v>40</v>
      </c>
      <c r="F98">
        <v>14.996626854000001</v>
      </c>
      <c r="G98">
        <v>1382.8010254000001</v>
      </c>
      <c r="H98">
        <v>1372.3787841999999</v>
      </c>
      <c r="I98">
        <v>1277.2094727000001</v>
      </c>
      <c r="J98">
        <v>1250.078125</v>
      </c>
      <c r="K98">
        <v>1650</v>
      </c>
      <c r="L98">
        <v>0</v>
      </c>
      <c r="M98">
        <v>0</v>
      </c>
      <c r="N98">
        <v>1650</v>
      </c>
    </row>
    <row r="99" spans="1:14" x14ac:dyDescent="0.25">
      <c r="A99">
        <v>4.9199539999999997</v>
      </c>
      <c r="B99" s="1">
        <f>DATE(2010,5,5) + TIME(22,4,44)</f>
        <v>40303.919953703706</v>
      </c>
      <c r="C99">
        <v>80</v>
      </c>
      <c r="D99">
        <v>79.037101746000005</v>
      </c>
      <c r="E99">
        <v>40</v>
      </c>
      <c r="F99">
        <v>14.996645926999999</v>
      </c>
      <c r="G99">
        <v>1382.6906738</v>
      </c>
      <c r="H99">
        <v>1372.2744141000001</v>
      </c>
      <c r="I99">
        <v>1277.2114257999999</v>
      </c>
      <c r="J99">
        <v>1250.0798339999999</v>
      </c>
      <c r="K99">
        <v>1650</v>
      </c>
      <c r="L99">
        <v>0</v>
      </c>
      <c r="M99">
        <v>0</v>
      </c>
      <c r="N99">
        <v>1650</v>
      </c>
    </row>
    <row r="100" spans="1:14" x14ac:dyDescent="0.25">
      <c r="A100">
        <v>5.0630899999999999</v>
      </c>
      <c r="B100" s="1">
        <f>DATE(2010,5,6) + TIME(1,30,50)</f>
        <v>40304.063078703701</v>
      </c>
      <c r="C100">
        <v>80</v>
      </c>
      <c r="D100">
        <v>79.134353637999993</v>
      </c>
      <c r="E100">
        <v>40</v>
      </c>
      <c r="F100">
        <v>14.996665954999999</v>
      </c>
      <c r="G100">
        <v>1382.5795897999999</v>
      </c>
      <c r="H100">
        <v>1372.1685791</v>
      </c>
      <c r="I100">
        <v>1277.2133789</v>
      </c>
      <c r="J100">
        <v>1250.0816649999999</v>
      </c>
      <c r="K100">
        <v>1650</v>
      </c>
      <c r="L100">
        <v>0</v>
      </c>
      <c r="M100">
        <v>0</v>
      </c>
      <c r="N100">
        <v>1650</v>
      </c>
    </row>
    <row r="101" spans="1:14" x14ac:dyDescent="0.25">
      <c r="A101">
        <v>5.211608</v>
      </c>
      <c r="B101" s="1">
        <f>DATE(2010,5,6) + TIME(5,4,42)</f>
        <v>40304.211597222224</v>
      </c>
      <c r="C101">
        <v>80</v>
      </c>
      <c r="D101">
        <v>79.222534179999997</v>
      </c>
      <c r="E101">
        <v>40</v>
      </c>
      <c r="F101">
        <v>14.996685982000001</v>
      </c>
      <c r="G101">
        <v>1382.4672852000001</v>
      </c>
      <c r="H101">
        <v>1372.0609131000001</v>
      </c>
      <c r="I101">
        <v>1277.2154541</v>
      </c>
      <c r="J101">
        <v>1250.0836182</v>
      </c>
      <c r="K101">
        <v>1650</v>
      </c>
      <c r="L101">
        <v>0</v>
      </c>
      <c r="M101">
        <v>0</v>
      </c>
      <c r="N101">
        <v>1650</v>
      </c>
    </row>
    <row r="102" spans="1:14" x14ac:dyDescent="0.25">
      <c r="A102">
        <v>5.3660180000000004</v>
      </c>
      <c r="B102" s="1">
        <f>DATE(2010,5,6) + TIME(8,47,3)</f>
        <v>40304.366006944445</v>
      </c>
      <c r="C102">
        <v>80</v>
      </c>
      <c r="D102">
        <v>79.302268982000001</v>
      </c>
      <c r="E102">
        <v>40</v>
      </c>
      <c r="F102">
        <v>14.996706009</v>
      </c>
      <c r="G102">
        <v>1382.3537598</v>
      </c>
      <c r="H102">
        <v>1371.9512939000001</v>
      </c>
      <c r="I102">
        <v>1277.2175293</v>
      </c>
      <c r="J102">
        <v>1250.0854492000001</v>
      </c>
      <c r="K102">
        <v>1650</v>
      </c>
      <c r="L102">
        <v>0</v>
      </c>
      <c r="M102">
        <v>0</v>
      </c>
      <c r="N102">
        <v>1650</v>
      </c>
    </row>
    <row r="103" spans="1:14" x14ac:dyDescent="0.25">
      <c r="A103">
        <v>5.5264819999999997</v>
      </c>
      <c r="B103" s="1">
        <f>DATE(2010,5,6) + TIME(12,38,8)</f>
        <v>40304.52648148148</v>
      </c>
      <c r="C103">
        <v>80</v>
      </c>
      <c r="D103">
        <v>79.374000549000002</v>
      </c>
      <c r="E103">
        <v>40</v>
      </c>
      <c r="F103">
        <v>14.996726036</v>
      </c>
      <c r="G103">
        <v>1382.2386475000001</v>
      </c>
      <c r="H103">
        <v>1371.8397216999999</v>
      </c>
      <c r="I103">
        <v>1277.2197266000001</v>
      </c>
      <c r="J103">
        <v>1250.0875243999999</v>
      </c>
      <c r="K103">
        <v>1650</v>
      </c>
      <c r="L103">
        <v>0</v>
      </c>
      <c r="M103">
        <v>0</v>
      </c>
      <c r="N103">
        <v>1650</v>
      </c>
    </row>
    <row r="104" spans="1:14" x14ac:dyDescent="0.25">
      <c r="A104">
        <v>5.6884119999999996</v>
      </c>
      <c r="B104" s="1">
        <f>DATE(2010,5,6) + TIME(16,31,18)</f>
        <v>40304.688402777778</v>
      </c>
      <c r="C104">
        <v>80</v>
      </c>
      <c r="D104">
        <v>79.436599731000001</v>
      </c>
      <c r="E104">
        <v>40</v>
      </c>
      <c r="F104">
        <v>14.996746063</v>
      </c>
      <c r="G104">
        <v>1382.1224365</v>
      </c>
      <c r="H104">
        <v>1371.7263184000001</v>
      </c>
      <c r="I104">
        <v>1277.2219238</v>
      </c>
      <c r="J104">
        <v>1250.0894774999999</v>
      </c>
      <c r="K104">
        <v>1650</v>
      </c>
      <c r="L104">
        <v>0</v>
      </c>
      <c r="M104">
        <v>0</v>
      </c>
      <c r="N104">
        <v>1650</v>
      </c>
    </row>
    <row r="105" spans="1:14" x14ac:dyDescent="0.25">
      <c r="A105">
        <v>5.8503480000000003</v>
      </c>
      <c r="B105" s="1">
        <f>DATE(2010,5,6) + TIME(20,24,30)</f>
        <v>40304.850347222222</v>
      </c>
      <c r="C105">
        <v>80</v>
      </c>
      <c r="D105">
        <v>79.490760803000001</v>
      </c>
      <c r="E105">
        <v>40</v>
      </c>
      <c r="F105">
        <v>14.996765137000001</v>
      </c>
      <c r="G105">
        <v>1382.0083007999999</v>
      </c>
      <c r="H105">
        <v>1371.6142577999999</v>
      </c>
      <c r="I105">
        <v>1277.2241211</v>
      </c>
      <c r="J105">
        <v>1250.0915527</v>
      </c>
      <c r="K105">
        <v>1650</v>
      </c>
      <c r="L105">
        <v>0</v>
      </c>
      <c r="M105">
        <v>0</v>
      </c>
      <c r="N105">
        <v>1650</v>
      </c>
    </row>
    <row r="106" spans="1:14" x14ac:dyDescent="0.25">
      <c r="A106">
        <v>6.0125690000000001</v>
      </c>
      <c r="B106" s="1">
        <f>DATE(2010,5,7) + TIME(0,18,5)</f>
        <v>40305.012557870374</v>
      </c>
      <c r="C106">
        <v>80</v>
      </c>
      <c r="D106">
        <v>79.537712096999996</v>
      </c>
      <c r="E106">
        <v>40</v>
      </c>
      <c r="F106">
        <v>14.99678421</v>
      </c>
      <c r="G106">
        <v>1381.8967285000001</v>
      </c>
      <c r="H106">
        <v>1371.5046387</v>
      </c>
      <c r="I106">
        <v>1277.2263184000001</v>
      </c>
      <c r="J106">
        <v>1250.0935059000001</v>
      </c>
      <c r="K106">
        <v>1650</v>
      </c>
      <c r="L106">
        <v>0</v>
      </c>
      <c r="M106">
        <v>0</v>
      </c>
      <c r="N106">
        <v>1650</v>
      </c>
    </row>
    <row r="107" spans="1:14" x14ac:dyDescent="0.25">
      <c r="A107">
        <v>6.1753390000000001</v>
      </c>
      <c r="B107" s="1">
        <f>DATE(2010,5,7) + TIME(4,12,29)</f>
        <v>40305.175335648149</v>
      </c>
      <c r="C107">
        <v>80</v>
      </c>
      <c r="D107">
        <v>79.578483582000004</v>
      </c>
      <c r="E107">
        <v>40</v>
      </c>
      <c r="F107">
        <v>14.99680233</v>
      </c>
      <c r="G107">
        <v>1381.7877197</v>
      </c>
      <c r="H107">
        <v>1371.3970947</v>
      </c>
      <c r="I107">
        <v>1277.2285156</v>
      </c>
      <c r="J107">
        <v>1250.0955810999999</v>
      </c>
      <c r="K107">
        <v>1650</v>
      </c>
      <c r="L107">
        <v>0</v>
      </c>
      <c r="M107">
        <v>0</v>
      </c>
      <c r="N107">
        <v>1650</v>
      </c>
    </row>
    <row r="108" spans="1:14" x14ac:dyDescent="0.25">
      <c r="A108">
        <v>6.3389110000000004</v>
      </c>
      <c r="B108" s="1">
        <f>DATE(2010,5,7) + TIME(8,8,1)</f>
        <v>40305.338900462964</v>
      </c>
      <c r="C108">
        <v>80</v>
      </c>
      <c r="D108">
        <v>79.613937378000003</v>
      </c>
      <c r="E108">
        <v>40</v>
      </c>
      <c r="F108">
        <v>14.99682045</v>
      </c>
      <c r="G108">
        <v>1381.6807861</v>
      </c>
      <c r="H108">
        <v>1371.2913818</v>
      </c>
      <c r="I108">
        <v>1277.2307129000001</v>
      </c>
      <c r="J108">
        <v>1250.0976562000001</v>
      </c>
      <c r="K108">
        <v>1650</v>
      </c>
      <c r="L108">
        <v>0</v>
      </c>
      <c r="M108">
        <v>0</v>
      </c>
      <c r="N108">
        <v>1650</v>
      </c>
    </row>
    <row r="109" spans="1:14" x14ac:dyDescent="0.25">
      <c r="A109">
        <v>6.5035230000000004</v>
      </c>
      <c r="B109" s="1">
        <f>DATE(2010,5,7) + TIME(12,5,4)</f>
        <v>40305.503518518519</v>
      </c>
      <c r="C109">
        <v>80</v>
      </c>
      <c r="D109">
        <v>79.644805907999995</v>
      </c>
      <c r="E109">
        <v>40</v>
      </c>
      <c r="F109">
        <v>14.99683857</v>
      </c>
      <c r="G109">
        <v>1381.5758057</v>
      </c>
      <c r="H109">
        <v>1371.1875</v>
      </c>
      <c r="I109">
        <v>1277.2329102000001</v>
      </c>
      <c r="J109">
        <v>1250.0996094</v>
      </c>
      <c r="K109">
        <v>1650</v>
      </c>
      <c r="L109">
        <v>0</v>
      </c>
      <c r="M109">
        <v>0</v>
      </c>
      <c r="N109">
        <v>1650</v>
      </c>
    </row>
    <row r="110" spans="1:14" x14ac:dyDescent="0.25">
      <c r="A110">
        <v>6.6693949999999997</v>
      </c>
      <c r="B110" s="1">
        <f>DATE(2010,5,7) + TIME(16,3,55)</f>
        <v>40305.669386574074</v>
      </c>
      <c r="C110">
        <v>80</v>
      </c>
      <c r="D110">
        <v>79.671714782999999</v>
      </c>
      <c r="E110">
        <v>40</v>
      </c>
      <c r="F110">
        <v>14.996856688999999</v>
      </c>
      <c r="G110">
        <v>1381.4726562000001</v>
      </c>
      <c r="H110">
        <v>1371.0850829999999</v>
      </c>
      <c r="I110">
        <v>1277.2351074000001</v>
      </c>
      <c r="J110">
        <v>1250.1016846</v>
      </c>
      <c r="K110">
        <v>1650</v>
      </c>
      <c r="L110">
        <v>0</v>
      </c>
      <c r="M110">
        <v>0</v>
      </c>
      <c r="N110">
        <v>1650</v>
      </c>
    </row>
    <row r="111" spans="1:14" x14ac:dyDescent="0.25">
      <c r="A111">
        <v>6.8367940000000003</v>
      </c>
      <c r="B111" s="1">
        <f>DATE(2010,5,7) + TIME(20,4,58)</f>
        <v>40305.836782407408</v>
      </c>
      <c r="C111">
        <v>80</v>
      </c>
      <c r="D111">
        <v>79.695190429999997</v>
      </c>
      <c r="E111">
        <v>40</v>
      </c>
      <c r="F111">
        <v>14.996873856000001</v>
      </c>
      <c r="G111">
        <v>1381.3708495999999</v>
      </c>
      <c r="H111">
        <v>1370.9841309000001</v>
      </c>
      <c r="I111">
        <v>1277.2373047000001</v>
      </c>
      <c r="J111">
        <v>1250.1037598</v>
      </c>
      <c r="K111">
        <v>1650</v>
      </c>
      <c r="L111">
        <v>0</v>
      </c>
      <c r="M111">
        <v>0</v>
      </c>
      <c r="N111">
        <v>1650</v>
      </c>
    </row>
    <row r="112" spans="1:14" x14ac:dyDescent="0.25">
      <c r="A112">
        <v>7.00596</v>
      </c>
      <c r="B112" s="1">
        <f>DATE(2010,5,8) + TIME(0,8,34)</f>
        <v>40306.005949074075</v>
      </c>
      <c r="C112">
        <v>80</v>
      </c>
      <c r="D112">
        <v>79.715690613000007</v>
      </c>
      <c r="E112">
        <v>40</v>
      </c>
      <c r="F112">
        <v>14.996891022</v>
      </c>
      <c r="G112">
        <v>1381.2705077999999</v>
      </c>
      <c r="H112">
        <v>1370.8843993999999</v>
      </c>
      <c r="I112">
        <v>1277.2395019999999</v>
      </c>
      <c r="J112">
        <v>1250.1057129000001</v>
      </c>
      <c r="K112">
        <v>1650</v>
      </c>
      <c r="L112">
        <v>0</v>
      </c>
      <c r="M112">
        <v>0</v>
      </c>
      <c r="N112">
        <v>1650</v>
      </c>
    </row>
    <row r="113" spans="1:14" x14ac:dyDescent="0.25">
      <c r="A113">
        <v>7.1771380000000002</v>
      </c>
      <c r="B113" s="1">
        <f>DATE(2010,5,8) + TIME(4,15,4)</f>
        <v>40306.177129629628</v>
      </c>
      <c r="C113">
        <v>80</v>
      </c>
      <c r="D113">
        <v>79.733612061000002</v>
      </c>
      <c r="E113">
        <v>40</v>
      </c>
      <c r="F113">
        <v>14.996908188000001</v>
      </c>
      <c r="G113">
        <v>1381.1712646000001</v>
      </c>
      <c r="H113">
        <v>1370.7856445</v>
      </c>
      <c r="I113">
        <v>1277.2416992000001</v>
      </c>
      <c r="J113">
        <v>1250.1077881000001</v>
      </c>
      <c r="K113">
        <v>1650</v>
      </c>
      <c r="L113">
        <v>0</v>
      </c>
      <c r="M113">
        <v>0</v>
      </c>
      <c r="N113">
        <v>1650</v>
      </c>
    </row>
    <row r="114" spans="1:14" x14ac:dyDescent="0.25">
      <c r="A114">
        <v>7.3505779999999996</v>
      </c>
      <c r="B114" s="1">
        <f>DATE(2010,5,8) + TIME(8,24,49)</f>
        <v>40306.35056712963</v>
      </c>
      <c r="C114">
        <v>80</v>
      </c>
      <c r="D114">
        <v>79.749282836999996</v>
      </c>
      <c r="E114">
        <v>40</v>
      </c>
      <c r="F114">
        <v>14.996924399999999</v>
      </c>
      <c r="G114">
        <v>1381.072876</v>
      </c>
      <c r="H114">
        <v>1370.6877440999999</v>
      </c>
      <c r="I114">
        <v>1277.2440185999999</v>
      </c>
      <c r="J114">
        <v>1250.1099853999999</v>
      </c>
      <c r="K114">
        <v>1650</v>
      </c>
      <c r="L114">
        <v>0</v>
      </c>
      <c r="M114">
        <v>0</v>
      </c>
      <c r="N114">
        <v>1650</v>
      </c>
    </row>
    <row r="115" spans="1:14" x14ac:dyDescent="0.25">
      <c r="A115">
        <v>7.5265409999999999</v>
      </c>
      <c r="B115" s="1">
        <f>DATE(2010,5,8) + TIME(12,38,13)</f>
        <v>40306.526539351849</v>
      </c>
      <c r="C115">
        <v>80</v>
      </c>
      <c r="D115">
        <v>79.763000488000003</v>
      </c>
      <c r="E115">
        <v>40</v>
      </c>
      <c r="F115">
        <v>14.996941566</v>
      </c>
      <c r="G115">
        <v>1380.9754639</v>
      </c>
      <c r="H115">
        <v>1370.5906981999999</v>
      </c>
      <c r="I115">
        <v>1277.2462158000001</v>
      </c>
      <c r="J115">
        <v>1250.1120605000001</v>
      </c>
      <c r="K115">
        <v>1650</v>
      </c>
      <c r="L115">
        <v>0</v>
      </c>
      <c r="M115">
        <v>0</v>
      </c>
      <c r="N115">
        <v>1650</v>
      </c>
    </row>
    <row r="116" spans="1:14" x14ac:dyDescent="0.25">
      <c r="A116">
        <v>7.705298</v>
      </c>
      <c r="B116" s="1">
        <f>DATE(2010,5,8) + TIME(16,55,37)</f>
        <v>40306.705289351848</v>
      </c>
      <c r="C116">
        <v>80</v>
      </c>
      <c r="D116">
        <v>79.775009155000006</v>
      </c>
      <c r="E116">
        <v>40</v>
      </c>
      <c r="F116">
        <v>14.996957779000001</v>
      </c>
      <c r="G116">
        <v>1380.8786620999999</v>
      </c>
      <c r="H116">
        <v>1370.4943848</v>
      </c>
      <c r="I116">
        <v>1277.2485352000001</v>
      </c>
      <c r="J116">
        <v>1250.1142577999999</v>
      </c>
      <c r="K116">
        <v>1650</v>
      </c>
      <c r="L116">
        <v>0</v>
      </c>
      <c r="M116">
        <v>0</v>
      </c>
      <c r="N116">
        <v>1650</v>
      </c>
    </row>
    <row r="117" spans="1:14" x14ac:dyDescent="0.25">
      <c r="A117">
        <v>7.8871339999999996</v>
      </c>
      <c r="B117" s="1">
        <f>DATE(2010,5,8) + TIME(21,17,28)</f>
        <v>40306.887129629627</v>
      </c>
      <c r="C117">
        <v>80</v>
      </c>
      <c r="D117">
        <v>79.785530089999995</v>
      </c>
      <c r="E117">
        <v>40</v>
      </c>
      <c r="F117">
        <v>14.996974945</v>
      </c>
      <c r="G117">
        <v>1380.7823486</v>
      </c>
      <c r="H117">
        <v>1370.3984375</v>
      </c>
      <c r="I117">
        <v>1277.2508545000001</v>
      </c>
      <c r="J117">
        <v>1250.1163329999999</v>
      </c>
      <c r="K117">
        <v>1650</v>
      </c>
      <c r="L117">
        <v>0</v>
      </c>
      <c r="M117">
        <v>0</v>
      </c>
      <c r="N117">
        <v>1650</v>
      </c>
    </row>
    <row r="118" spans="1:14" x14ac:dyDescent="0.25">
      <c r="A118">
        <v>8.0723509999999994</v>
      </c>
      <c r="B118" s="1">
        <f>DATE(2010,5,9) + TIME(1,44,11)</f>
        <v>40307.07234953704</v>
      </c>
      <c r="C118">
        <v>80</v>
      </c>
      <c r="D118">
        <v>79.794754028</v>
      </c>
      <c r="E118">
        <v>40</v>
      </c>
      <c r="F118">
        <v>14.996991158</v>
      </c>
      <c r="G118">
        <v>1380.6865233999999</v>
      </c>
      <c r="H118">
        <v>1370.3029785000001</v>
      </c>
      <c r="I118">
        <v>1277.2532959</v>
      </c>
      <c r="J118">
        <v>1250.1185303</v>
      </c>
      <c r="K118">
        <v>1650</v>
      </c>
      <c r="L118">
        <v>0</v>
      </c>
      <c r="M118">
        <v>0</v>
      </c>
      <c r="N118">
        <v>1650</v>
      </c>
    </row>
    <row r="119" spans="1:14" x14ac:dyDescent="0.25">
      <c r="A119">
        <v>8.2612810000000003</v>
      </c>
      <c r="B119" s="1">
        <f>DATE(2010,5,9) + TIME(6,16,14)</f>
        <v>40307.261273148149</v>
      </c>
      <c r="C119">
        <v>80</v>
      </c>
      <c r="D119">
        <v>79.802848815999994</v>
      </c>
      <c r="E119">
        <v>40</v>
      </c>
      <c r="F119">
        <v>14.99700737</v>
      </c>
      <c r="G119">
        <v>1380.5909423999999</v>
      </c>
      <c r="H119">
        <v>1370.2076416</v>
      </c>
      <c r="I119">
        <v>1277.2556152</v>
      </c>
      <c r="J119">
        <v>1250.1208495999999</v>
      </c>
      <c r="K119">
        <v>1650</v>
      </c>
      <c r="L119">
        <v>0</v>
      </c>
      <c r="M119">
        <v>0</v>
      </c>
      <c r="N119">
        <v>1650</v>
      </c>
    </row>
    <row r="120" spans="1:14" x14ac:dyDescent="0.25">
      <c r="A120">
        <v>8.4543420000000005</v>
      </c>
      <c r="B120" s="1">
        <f>DATE(2010,5,9) + TIME(10,54,15)</f>
        <v>40307.454340277778</v>
      </c>
      <c r="C120">
        <v>80</v>
      </c>
      <c r="D120">
        <v>79.809959411999998</v>
      </c>
      <c r="E120">
        <v>40</v>
      </c>
      <c r="F120">
        <v>14.997024536</v>
      </c>
      <c r="G120">
        <v>1380.4953613</v>
      </c>
      <c r="H120">
        <v>1370.1125488</v>
      </c>
      <c r="I120">
        <v>1277.2580565999999</v>
      </c>
      <c r="J120">
        <v>1250.1231689000001</v>
      </c>
      <c r="K120">
        <v>1650</v>
      </c>
      <c r="L120">
        <v>0</v>
      </c>
      <c r="M120">
        <v>0</v>
      </c>
      <c r="N120">
        <v>1650</v>
      </c>
    </row>
    <row r="121" spans="1:14" x14ac:dyDescent="0.25">
      <c r="A121">
        <v>8.6513229999999997</v>
      </c>
      <c r="B121" s="1">
        <f>DATE(2010,5,9) + TIME(15,37,54)</f>
        <v>40307.651319444441</v>
      </c>
      <c r="C121">
        <v>80</v>
      </c>
      <c r="D121">
        <v>79.816184997999997</v>
      </c>
      <c r="E121">
        <v>40</v>
      </c>
      <c r="F121">
        <v>14.997040749</v>
      </c>
      <c r="G121">
        <v>1380.3999022999999</v>
      </c>
      <c r="H121">
        <v>1370.0174560999999</v>
      </c>
      <c r="I121">
        <v>1277.2606201000001</v>
      </c>
      <c r="J121">
        <v>1250.1254882999999</v>
      </c>
      <c r="K121">
        <v>1650</v>
      </c>
      <c r="L121">
        <v>0</v>
      </c>
      <c r="M121">
        <v>0</v>
      </c>
      <c r="N121">
        <v>1650</v>
      </c>
    </row>
    <row r="122" spans="1:14" x14ac:dyDescent="0.25">
      <c r="A122">
        <v>8.852487</v>
      </c>
      <c r="B122" s="1">
        <f>DATE(2010,5,9) + TIME(20,27,34)</f>
        <v>40307.852476851855</v>
      </c>
      <c r="C122">
        <v>80</v>
      </c>
      <c r="D122">
        <v>79.821647643999995</v>
      </c>
      <c r="E122">
        <v>40</v>
      </c>
      <c r="F122">
        <v>14.997056961</v>
      </c>
      <c r="G122">
        <v>1380.3044434000001</v>
      </c>
      <c r="H122">
        <v>1369.9224853999999</v>
      </c>
      <c r="I122">
        <v>1277.2631836</v>
      </c>
      <c r="J122">
        <v>1250.1278076000001</v>
      </c>
      <c r="K122">
        <v>1650</v>
      </c>
      <c r="L122">
        <v>0</v>
      </c>
      <c r="M122">
        <v>0</v>
      </c>
      <c r="N122">
        <v>1650</v>
      </c>
    </row>
    <row r="123" spans="1:14" x14ac:dyDescent="0.25">
      <c r="A123">
        <v>9.0581949999999996</v>
      </c>
      <c r="B123" s="1">
        <f>DATE(2010,5,10) + TIME(1,23,48)</f>
        <v>40308.058194444442</v>
      </c>
      <c r="C123">
        <v>80</v>
      </c>
      <c r="D123">
        <v>79.826446532999995</v>
      </c>
      <c r="E123">
        <v>40</v>
      </c>
      <c r="F123">
        <v>14.997074126999999</v>
      </c>
      <c r="G123">
        <v>1380.2089844</v>
      </c>
      <c r="H123">
        <v>1369.8275146000001</v>
      </c>
      <c r="I123">
        <v>1277.2657471</v>
      </c>
      <c r="J123">
        <v>1250.130249</v>
      </c>
      <c r="K123">
        <v>1650</v>
      </c>
      <c r="L123">
        <v>0</v>
      </c>
      <c r="M123">
        <v>0</v>
      </c>
      <c r="N123">
        <v>1650</v>
      </c>
    </row>
    <row r="124" spans="1:14" x14ac:dyDescent="0.25">
      <c r="A124">
        <v>9.268853</v>
      </c>
      <c r="B124" s="1">
        <f>DATE(2010,5,10) + TIME(6,27,8)</f>
        <v>40308.268842592595</v>
      </c>
      <c r="C124">
        <v>80</v>
      </c>
      <c r="D124">
        <v>79.830673218000001</v>
      </c>
      <c r="E124">
        <v>40</v>
      </c>
      <c r="F124">
        <v>14.99709034</v>
      </c>
      <c r="G124">
        <v>1380.1134033000001</v>
      </c>
      <c r="H124">
        <v>1369.7324219</v>
      </c>
      <c r="I124">
        <v>1277.2683105000001</v>
      </c>
      <c r="J124">
        <v>1250.1326904</v>
      </c>
      <c r="K124">
        <v>1650</v>
      </c>
      <c r="L124">
        <v>0</v>
      </c>
      <c r="M124">
        <v>0</v>
      </c>
      <c r="N124">
        <v>1650</v>
      </c>
    </row>
    <row r="125" spans="1:14" x14ac:dyDescent="0.25">
      <c r="A125">
        <v>9.4849019999999999</v>
      </c>
      <c r="B125" s="1">
        <f>DATE(2010,5,10) + TIME(11,38,15)</f>
        <v>40308.484895833331</v>
      </c>
      <c r="C125">
        <v>80</v>
      </c>
      <c r="D125">
        <v>79.834388732999997</v>
      </c>
      <c r="E125">
        <v>40</v>
      </c>
      <c r="F125">
        <v>14.997107506000001</v>
      </c>
      <c r="G125">
        <v>1380.0175781</v>
      </c>
      <c r="H125">
        <v>1369.637207</v>
      </c>
      <c r="I125">
        <v>1277.2709961</v>
      </c>
      <c r="J125">
        <v>1250.1352539</v>
      </c>
      <c r="K125">
        <v>1650</v>
      </c>
      <c r="L125">
        <v>0</v>
      </c>
      <c r="M125">
        <v>0</v>
      </c>
      <c r="N125">
        <v>1650</v>
      </c>
    </row>
    <row r="126" spans="1:14" x14ac:dyDescent="0.25">
      <c r="A126">
        <v>9.7068309999999993</v>
      </c>
      <c r="B126" s="1">
        <f>DATE(2010,5,10) + TIME(16,57,50)</f>
        <v>40308.706828703704</v>
      </c>
      <c r="C126">
        <v>80</v>
      </c>
      <c r="D126">
        <v>79.837669372999997</v>
      </c>
      <c r="E126">
        <v>40</v>
      </c>
      <c r="F126">
        <v>14.997123717999999</v>
      </c>
      <c r="G126">
        <v>1379.9213867000001</v>
      </c>
      <c r="H126">
        <v>1369.541626</v>
      </c>
      <c r="I126">
        <v>1277.2738036999999</v>
      </c>
      <c r="J126">
        <v>1250.1378173999999</v>
      </c>
      <c r="K126">
        <v>1650</v>
      </c>
      <c r="L126">
        <v>0</v>
      </c>
      <c r="M126">
        <v>0</v>
      </c>
      <c r="N126">
        <v>1650</v>
      </c>
    </row>
    <row r="127" spans="1:14" x14ac:dyDescent="0.25">
      <c r="A127">
        <v>9.9351850000000006</v>
      </c>
      <c r="B127" s="1">
        <f>DATE(2010,5,10) + TIME(22,26,40)</f>
        <v>40308.935185185182</v>
      </c>
      <c r="C127">
        <v>80</v>
      </c>
      <c r="D127">
        <v>79.840568542</v>
      </c>
      <c r="E127">
        <v>40</v>
      </c>
      <c r="F127">
        <v>14.997140884</v>
      </c>
      <c r="G127">
        <v>1379.824707</v>
      </c>
      <c r="H127">
        <v>1369.4456786999999</v>
      </c>
      <c r="I127">
        <v>1277.2766113</v>
      </c>
      <c r="J127">
        <v>1250.1405029</v>
      </c>
      <c r="K127">
        <v>1650</v>
      </c>
      <c r="L127">
        <v>0</v>
      </c>
      <c r="M127">
        <v>0</v>
      </c>
      <c r="N127">
        <v>1650</v>
      </c>
    </row>
    <row r="128" spans="1:14" x14ac:dyDescent="0.25">
      <c r="A128">
        <v>10.170306999999999</v>
      </c>
      <c r="B128" s="1">
        <f>DATE(2010,5,11) + TIME(4,5,14)</f>
        <v>40309.170300925929</v>
      </c>
      <c r="C128">
        <v>80</v>
      </c>
      <c r="D128">
        <v>79.843132018999995</v>
      </c>
      <c r="E128">
        <v>40</v>
      </c>
      <c r="F128">
        <v>14.997158051</v>
      </c>
      <c r="G128">
        <v>1379.7271728999999</v>
      </c>
      <c r="H128">
        <v>1369.348999</v>
      </c>
      <c r="I128">
        <v>1277.2795410000001</v>
      </c>
      <c r="J128">
        <v>1250.1431885</v>
      </c>
      <c r="K128">
        <v>1650</v>
      </c>
      <c r="L128">
        <v>0</v>
      </c>
      <c r="M128">
        <v>0</v>
      </c>
      <c r="N128">
        <v>1650</v>
      </c>
    </row>
    <row r="129" spans="1:14" x14ac:dyDescent="0.25">
      <c r="A129">
        <v>10.412493</v>
      </c>
      <c r="B129" s="1">
        <f>DATE(2010,5,11) + TIME(9,53,59)</f>
        <v>40309.412488425929</v>
      </c>
      <c r="C129">
        <v>80</v>
      </c>
      <c r="D129">
        <v>79.845405579000001</v>
      </c>
      <c r="E129">
        <v>40</v>
      </c>
      <c r="F129">
        <v>14.997175217000001</v>
      </c>
      <c r="G129">
        <v>1379.6290283000001</v>
      </c>
      <c r="H129">
        <v>1369.2517089999999</v>
      </c>
      <c r="I129">
        <v>1277.2825928</v>
      </c>
      <c r="J129">
        <v>1250.1459961</v>
      </c>
      <c r="K129">
        <v>1650</v>
      </c>
      <c r="L129">
        <v>0</v>
      </c>
      <c r="M129">
        <v>0</v>
      </c>
      <c r="N129">
        <v>1650</v>
      </c>
    </row>
    <row r="130" spans="1:14" x14ac:dyDescent="0.25">
      <c r="A130">
        <v>10.66193</v>
      </c>
      <c r="B130" s="1">
        <f>DATE(2010,5,11) + TIME(15,53,10)</f>
        <v>40309.661921296298</v>
      </c>
      <c r="C130">
        <v>80</v>
      </c>
      <c r="D130">
        <v>79.847427367999998</v>
      </c>
      <c r="E130">
        <v>40</v>
      </c>
      <c r="F130">
        <v>14.997192383</v>
      </c>
      <c r="G130">
        <v>1379.5301514</v>
      </c>
      <c r="H130">
        <v>1369.1536865</v>
      </c>
      <c r="I130">
        <v>1277.2856445</v>
      </c>
      <c r="J130">
        <v>1250.1489257999999</v>
      </c>
      <c r="K130">
        <v>1650</v>
      </c>
      <c r="L130">
        <v>0</v>
      </c>
      <c r="M130">
        <v>0</v>
      </c>
      <c r="N130">
        <v>1650</v>
      </c>
    </row>
    <row r="131" spans="1:14" x14ac:dyDescent="0.25">
      <c r="A131">
        <v>10.915114000000001</v>
      </c>
      <c r="B131" s="1">
        <f>DATE(2010,5,11) + TIME(21,57,45)</f>
        <v>40309.91510416667</v>
      </c>
      <c r="C131">
        <v>80</v>
      </c>
      <c r="D131">
        <v>79.849197387999993</v>
      </c>
      <c r="E131">
        <v>40</v>
      </c>
      <c r="F131">
        <v>14.997209549000001</v>
      </c>
      <c r="G131">
        <v>1379.4304199000001</v>
      </c>
      <c r="H131">
        <v>1369.0550536999999</v>
      </c>
      <c r="I131">
        <v>1277.2888184000001</v>
      </c>
      <c r="J131">
        <v>1250.1518555</v>
      </c>
      <c r="K131">
        <v>1650</v>
      </c>
      <c r="L131">
        <v>0</v>
      </c>
      <c r="M131">
        <v>0</v>
      </c>
      <c r="N131">
        <v>1650</v>
      </c>
    </row>
    <row r="132" spans="1:14" x14ac:dyDescent="0.25">
      <c r="A132">
        <v>11.168312</v>
      </c>
      <c r="B132" s="1">
        <f>DATE(2010,5,12) + TIME(4,2,22)</f>
        <v>40310.168310185189</v>
      </c>
      <c r="C132">
        <v>80</v>
      </c>
      <c r="D132">
        <v>79.850738524999997</v>
      </c>
      <c r="E132">
        <v>40</v>
      </c>
      <c r="F132">
        <v>14.997226715</v>
      </c>
      <c r="G132">
        <v>1379.3314209</v>
      </c>
      <c r="H132">
        <v>1368.9571533000001</v>
      </c>
      <c r="I132">
        <v>1277.2919922000001</v>
      </c>
      <c r="J132">
        <v>1250.1549072</v>
      </c>
      <c r="K132">
        <v>1650</v>
      </c>
      <c r="L132">
        <v>0</v>
      </c>
      <c r="M132">
        <v>0</v>
      </c>
      <c r="N132">
        <v>1650</v>
      </c>
    </row>
    <row r="133" spans="1:14" x14ac:dyDescent="0.25">
      <c r="A133">
        <v>11.421950000000001</v>
      </c>
      <c r="B133" s="1">
        <f>DATE(2010,5,12) + TIME(10,7,36)</f>
        <v>40310.421944444446</v>
      </c>
      <c r="C133">
        <v>80</v>
      </c>
      <c r="D133">
        <v>79.852081299000005</v>
      </c>
      <c r="E133">
        <v>40</v>
      </c>
      <c r="F133">
        <v>14.997242928</v>
      </c>
      <c r="G133">
        <v>1379.234375</v>
      </c>
      <c r="H133">
        <v>1368.8614502</v>
      </c>
      <c r="I133">
        <v>1277.2951660000001</v>
      </c>
      <c r="J133">
        <v>1250.1578368999999</v>
      </c>
      <c r="K133">
        <v>1650</v>
      </c>
      <c r="L133">
        <v>0</v>
      </c>
      <c r="M133">
        <v>0</v>
      </c>
      <c r="N133">
        <v>1650</v>
      </c>
    </row>
    <row r="134" spans="1:14" x14ac:dyDescent="0.25">
      <c r="A134">
        <v>11.676437999999999</v>
      </c>
      <c r="B134" s="1">
        <f>DATE(2010,5,12) + TIME(16,14,4)</f>
        <v>40310.676435185182</v>
      </c>
      <c r="C134">
        <v>80</v>
      </c>
      <c r="D134">
        <v>79.853263854999994</v>
      </c>
      <c r="E134">
        <v>40</v>
      </c>
      <c r="F134">
        <v>14.997260094</v>
      </c>
      <c r="G134">
        <v>1379.1394043</v>
      </c>
      <c r="H134">
        <v>1368.7675781</v>
      </c>
      <c r="I134">
        <v>1277.2983397999999</v>
      </c>
      <c r="J134">
        <v>1250.1608887</v>
      </c>
      <c r="K134">
        <v>1650</v>
      </c>
      <c r="L134">
        <v>0</v>
      </c>
      <c r="M134">
        <v>0</v>
      </c>
      <c r="N134">
        <v>1650</v>
      </c>
    </row>
    <row r="135" spans="1:14" x14ac:dyDescent="0.25">
      <c r="A135">
        <v>11.932134</v>
      </c>
      <c r="B135" s="1">
        <f>DATE(2010,5,12) + TIME(22,22,16)</f>
        <v>40310.932129629633</v>
      </c>
      <c r="C135">
        <v>80</v>
      </c>
      <c r="D135">
        <v>79.854316710999996</v>
      </c>
      <c r="E135">
        <v>40</v>
      </c>
      <c r="F135">
        <v>14.997276306</v>
      </c>
      <c r="G135">
        <v>1379.0460204999999</v>
      </c>
      <c r="H135">
        <v>1368.6755370999999</v>
      </c>
      <c r="I135">
        <v>1277.3015137</v>
      </c>
      <c r="J135">
        <v>1250.1638184000001</v>
      </c>
      <c r="K135">
        <v>1650</v>
      </c>
      <c r="L135">
        <v>0</v>
      </c>
      <c r="M135">
        <v>0</v>
      </c>
      <c r="N135">
        <v>1650</v>
      </c>
    </row>
    <row r="136" spans="1:14" x14ac:dyDescent="0.25">
      <c r="A136">
        <v>12.189482999999999</v>
      </c>
      <c r="B136" s="1">
        <f>DATE(2010,5,13) + TIME(4,32,51)</f>
        <v>40311.189479166664</v>
      </c>
      <c r="C136">
        <v>80</v>
      </c>
      <c r="D136">
        <v>79.855247497999997</v>
      </c>
      <c r="E136">
        <v>40</v>
      </c>
      <c r="F136">
        <v>14.997291564999999</v>
      </c>
      <c r="G136">
        <v>1378.9539795000001</v>
      </c>
      <c r="H136">
        <v>1368.5849608999999</v>
      </c>
      <c r="I136">
        <v>1277.3048096</v>
      </c>
      <c r="J136">
        <v>1250.1668701000001</v>
      </c>
      <c r="K136">
        <v>1650</v>
      </c>
      <c r="L136">
        <v>0</v>
      </c>
      <c r="M136">
        <v>0</v>
      </c>
      <c r="N136">
        <v>1650</v>
      </c>
    </row>
    <row r="137" spans="1:14" x14ac:dyDescent="0.25">
      <c r="A137">
        <v>12.448881</v>
      </c>
      <c r="B137" s="1">
        <f>DATE(2010,5,13) + TIME(10,46,23)</f>
        <v>40311.448877314811</v>
      </c>
      <c r="C137">
        <v>80</v>
      </c>
      <c r="D137">
        <v>79.856079101999995</v>
      </c>
      <c r="E137">
        <v>40</v>
      </c>
      <c r="F137">
        <v>14.997307777</v>
      </c>
      <c r="G137">
        <v>1378.8632812000001</v>
      </c>
      <c r="H137">
        <v>1368.4957274999999</v>
      </c>
      <c r="I137">
        <v>1277.3079834</v>
      </c>
      <c r="J137">
        <v>1250.1699219</v>
      </c>
      <c r="K137">
        <v>1650</v>
      </c>
      <c r="L137">
        <v>0</v>
      </c>
      <c r="M137">
        <v>0</v>
      </c>
      <c r="N137">
        <v>1650</v>
      </c>
    </row>
    <row r="138" spans="1:14" x14ac:dyDescent="0.25">
      <c r="A138">
        <v>12.710724000000001</v>
      </c>
      <c r="B138" s="1">
        <f>DATE(2010,5,13) + TIME(17,3,26)</f>
        <v>40311.710717592592</v>
      </c>
      <c r="C138">
        <v>80</v>
      </c>
      <c r="D138">
        <v>79.856834411999998</v>
      </c>
      <c r="E138">
        <v>40</v>
      </c>
      <c r="F138">
        <v>14.99732399</v>
      </c>
      <c r="G138">
        <v>1378.7736815999999</v>
      </c>
      <c r="H138">
        <v>1368.4075928</v>
      </c>
      <c r="I138">
        <v>1277.3112793</v>
      </c>
      <c r="J138">
        <v>1250.1729736</v>
      </c>
      <c r="K138">
        <v>1650</v>
      </c>
      <c r="L138">
        <v>0</v>
      </c>
      <c r="M138">
        <v>0</v>
      </c>
      <c r="N138">
        <v>1650</v>
      </c>
    </row>
    <row r="139" spans="1:14" x14ac:dyDescent="0.25">
      <c r="A139">
        <v>12.975415999999999</v>
      </c>
      <c r="B139" s="1">
        <f>DATE(2010,5,13) + TIME(23,24,35)</f>
        <v>40311.975405092591</v>
      </c>
      <c r="C139">
        <v>80</v>
      </c>
      <c r="D139">
        <v>79.857513428000004</v>
      </c>
      <c r="E139">
        <v>40</v>
      </c>
      <c r="F139">
        <v>14.997339248999999</v>
      </c>
      <c r="G139">
        <v>1378.6850586</v>
      </c>
      <c r="H139">
        <v>1368.3205565999999</v>
      </c>
      <c r="I139">
        <v>1277.3145752</v>
      </c>
      <c r="J139">
        <v>1250.1760254000001</v>
      </c>
      <c r="K139">
        <v>1650</v>
      </c>
      <c r="L139">
        <v>0</v>
      </c>
      <c r="M139">
        <v>0</v>
      </c>
      <c r="N139">
        <v>1650</v>
      </c>
    </row>
    <row r="140" spans="1:14" x14ac:dyDescent="0.25">
      <c r="A140">
        <v>13.243371</v>
      </c>
      <c r="B140" s="1">
        <f>DATE(2010,5,14) + TIME(5,50,27)</f>
        <v>40312.243368055555</v>
      </c>
      <c r="C140">
        <v>80</v>
      </c>
      <c r="D140">
        <v>79.858131408999995</v>
      </c>
      <c r="E140">
        <v>40</v>
      </c>
      <c r="F140">
        <v>14.997354507000001</v>
      </c>
      <c r="G140">
        <v>1378.597168</v>
      </c>
      <c r="H140">
        <v>1368.2342529</v>
      </c>
      <c r="I140">
        <v>1277.3178711</v>
      </c>
      <c r="J140">
        <v>1250.1791992000001</v>
      </c>
      <c r="K140">
        <v>1650</v>
      </c>
      <c r="L140">
        <v>0</v>
      </c>
      <c r="M140">
        <v>0</v>
      </c>
      <c r="N140">
        <v>1650</v>
      </c>
    </row>
    <row r="141" spans="1:14" x14ac:dyDescent="0.25">
      <c r="A141">
        <v>13.515019000000001</v>
      </c>
      <c r="B141" s="1">
        <f>DATE(2010,5,14) + TIME(12,21,37)</f>
        <v>40312.515011574076</v>
      </c>
      <c r="C141">
        <v>80</v>
      </c>
      <c r="D141">
        <v>79.858688353999995</v>
      </c>
      <c r="E141">
        <v>40</v>
      </c>
      <c r="F141">
        <v>14.997370719999999</v>
      </c>
      <c r="G141">
        <v>1378.5098877</v>
      </c>
      <c r="H141">
        <v>1368.1486815999999</v>
      </c>
      <c r="I141">
        <v>1277.3212891000001</v>
      </c>
      <c r="J141">
        <v>1250.1823730000001</v>
      </c>
      <c r="K141">
        <v>1650</v>
      </c>
      <c r="L141">
        <v>0</v>
      </c>
      <c r="M141">
        <v>0</v>
      </c>
      <c r="N141">
        <v>1650</v>
      </c>
    </row>
    <row r="142" spans="1:14" x14ac:dyDescent="0.25">
      <c r="A142">
        <v>13.790806999999999</v>
      </c>
      <c r="B142" s="1">
        <f>DATE(2010,5,14) + TIME(18,58,45)</f>
        <v>40312.790798611109</v>
      </c>
      <c r="C142">
        <v>80</v>
      </c>
      <c r="D142">
        <v>79.859207153</v>
      </c>
      <c r="E142">
        <v>40</v>
      </c>
      <c r="F142">
        <v>14.997385979000001</v>
      </c>
      <c r="G142">
        <v>1378.4230957</v>
      </c>
      <c r="H142">
        <v>1368.0635986</v>
      </c>
      <c r="I142">
        <v>1277.324707</v>
      </c>
      <c r="J142">
        <v>1250.1855469</v>
      </c>
      <c r="K142">
        <v>1650</v>
      </c>
      <c r="L142">
        <v>0</v>
      </c>
      <c r="M142">
        <v>0</v>
      </c>
      <c r="N142">
        <v>1650</v>
      </c>
    </row>
    <row r="143" spans="1:14" x14ac:dyDescent="0.25">
      <c r="A143">
        <v>14.070491000000001</v>
      </c>
      <c r="B143" s="1">
        <f>DATE(2010,5,15) + TIME(1,41,30)</f>
        <v>40313.070486111108</v>
      </c>
      <c r="C143">
        <v>80</v>
      </c>
      <c r="D143">
        <v>79.859672545999999</v>
      </c>
      <c r="E143">
        <v>40</v>
      </c>
      <c r="F143">
        <v>14.997401237</v>
      </c>
      <c r="G143">
        <v>1378.3366699000001</v>
      </c>
      <c r="H143">
        <v>1367.9790039</v>
      </c>
      <c r="I143">
        <v>1277.328125</v>
      </c>
      <c r="J143">
        <v>1250.1888428</v>
      </c>
      <c r="K143">
        <v>1650</v>
      </c>
      <c r="L143">
        <v>0</v>
      </c>
      <c r="M143">
        <v>0</v>
      </c>
      <c r="N143">
        <v>1650</v>
      </c>
    </row>
    <row r="144" spans="1:14" x14ac:dyDescent="0.25">
      <c r="A144">
        <v>14.354075</v>
      </c>
      <c r="B144" s="1">
        <f>DATE(2010,5,15) + TIME(8,29,52)</f>
        <v>40313.354074074072</v>
      </c>
      <c r="C144">
        <v>80</v>
      </c>
      <c r="D144">
        <v>79.860099792</v>
      </c>
      <c r="E144">
        <v>40</v>
      </c>
      <c r="F144">
        <v>14.997416496</v>
      </c>
      <c r="G144">
        <v>1378.2506103999999</v>
      </c>
      <c r="H144">
        <v>1367.8948975000001</v>
      </c>
      <c r="I144">
        <v>1277.3316649999999</v>
      </c>
      <c r="J144">
        <v>1250.1921387</v>
      </c>
      <c r="K144">
        <v>1650</v>
      </c>
      <c r="L144">
        <v>0</v>
      </c>
      <c r="M144">
        <v>0</v>
      </c>
      <c r="N144">
        <v>1650</v>
      </c>
    </row>
    <row r="145" spans="1:14" x14ac:dyDescent="0.25">
      <c r="A145">
        <v>14.642009</v>
      </c>
      <c r="B145" s="1">
        <f>DATE(2010,5,15) + TIME(15,24,29)</f>
        <v>40313.642002314817</v>
      </c>
      <c r="C145">
        <v>80</v>
      </c>
      <c r="D145">
        <v>79.860496521000002</v>
      </c>
      <c r="E145">
        <v>40</v>
      </c>
      <c r="F145">
        <v>14.997431754999999</v>
      </c>
      <c r="G145">
        <v>1378.1650391000001</v>
      </c>
      <c r="H145">
        <v>1367.8112793</v>
      </c>
      <c r="I145">
        <v>1277.3352050999999</v>
      </c>
      <c r="J145">
        <v>1250.1954346</v>
      </c>
      <c r="K145">
        <v>1650</v>
      </c>
      <c r="L145">
        <v>0</v>
      </c>
      <c r="M145">
        <v>0</v>
      </c>
      <c r="N145">
        <v>1650</v>
      </c>
    </row>
    <row r="146" spans="1:14" x14ac:dyDescent="0.25">
      <c r="A146">
        <v>14.934813999999999</v>
      </c>
      <c r="B146" s="1">
        <f>DATE(2010,5,15) + TIME(22,26,7)</f>
        <v>40313.934803240743</v>
      </c>
      <c r="C146">
        <v>80</v>
      </c>
      <c r="D146">
        <v>79.860862732000001</v>
      </c>
      <c r="E146">
        <v>40</v>
      </c>
      <c r="F146">
        <v>14.997447014</v>
      </c>
      <c r="G146">
        <v>1378.0797118999999</v>
      </c>
      <c r="H146">
        <v>1367.7280272999999</v>
      </c>
      <c r="I146">
        <v>1277.3388672000001</v>
      </c>
      <c r="J146">
        <v>1250.1988524999999</v>
      </c>
      <c r="K146">
        <v>1650</v>
      </c>
      <c r="L146">
        <v>0</v>
      </c>
      <c r="M146">
        <v>0</v>
      </c>
      <c r="N146">
        <v>1650</v>
      </c>
    </row>
    <row r="147" spans="1:14" x14ac:dyDescent="0.25">
      <c r="A147">
        <v>15.233021000000001</v>
      </c>
      <c r="B147" s="1">
        <f>DATE(2010,5,16) + TIME(5,35,33)</f>
        <v>40314.233020833337</v>
      </c>
      <c r="C147">
        <v>80</v>
      </c>
      <c r="D147">
        <v>79.861198424999998</v>
      </c>
      <c r="E147">
        <v>40</v>
      </c>
      <c r="F147">
        <v>14.997462273</v>
      </c>
      <c r="G147">
        <v>1377.9946289</v>
      </c>
      <c r="H147">
        <v>1367.6451416</v>
      </c>
      <c r="I147">
        <v>1277.3425293</v>
      </c>
      <c r="J147">
        <v>1250.2023925999999</v>
      </c>
      <c r="K147">
        <v>1650</v>
      </c>
      <c r="L147">
        <v>0</v>
      </c>
      <c r="M147">
        <v>0</v>
      </c>
      <c r="N147">
        <v>1650</v>
      </c>
    </row>
    <row r="148" spans="1:14" x14ac:dyDescent="0.25">
      <c r="A148">
        <v>15.537093</v>
      </c>
      <c r="B148" s="1">
        <f>DATE(2010,5,16) + TIME(12,53,24)</f>
        <v>40314.537083333336</v>
      </c>
      <c r="C148">
        <v>80</v>
      </c>
      <c r="D148">
        <v>79.861511230000005</v>
      </c>
      <c r="E148">
        <v>40</v>
      </c>
      <c r="F148">
        <v>14.997477530999999</v>
      </c>
      <c r="G148">
        <v>1377.9095459</v>
      </c>
      <c r="H148">
        <v>1367.5622559000001</v>
      </c>
      <c r="I148">
        <v>1277.3463135</v>
      </c>
      <c r="J148">
        <v>1250.2059326000001</v>
      </c>
      <c r="K148">
        <v>1650</v>
      </c>
      <c r="L148">
        <v>0</v>
      </c>
      <c r="M148">
        <v>0</v>
      </c>
      <c r="N148">
        <v>1650</v>
      </c>
    </row>
    <row r="149" spans="1:14" x14ac:dyDescent="0.25">
      <c r="A149">
        <v>15.847586</v>
      </c>
      <c r="B149" s="1">
        <f>DATE(2010,5,16) + TIME(20,20,31)</f>
        <v>40314.847581018519</v>
      </c>
      <c r="C149">
        <v>80</v>
      </c>
      <c r="D149">
        <v>79.861808776999993</v>
      </c>
      <c r="E149">
        <v>40</v>
      </c>
      <c r="F149">
        <v>14.997492790000001</v>
      </c>
      <c r="G149">
        <v>1377.8243408000001</v>
      </c>
      <c r="H149">
        <v>1367.4793701000001</v>
      </c>
      <c r="I149">
        <v>1277.3502197</v>
      </c>
      <c r="J149">
        <v>1250.2094727000001</v>
      </c>
      <c r="K149">
        <v>1650</v>
      </c>
      <c r="L149">
        <v>0</v>
      </c>
      <c r="M149">
        <v>0</v>
      </c>
      <c r="N149">
        <v>1650</v>
      </c>
    </row>
    <row r="150" spans="1:14" x14ac:dyDescent="0.25">
      <c r="A150">
        <v>16.165122</v>
      </c>
      <c r="B150" s="1">
        <f>DATE(2010,5,17) + TIME(3,57,46)</f>
        <v>40315.16511574074</v>
      </c>
      <c r="C150">
        <v>80</v>
      </c>
      <c r="D150">
        <v>79.862075806000007</v>
      </c>
      <c r="E150">
        <v>40</v>
      </c>
      <c r="F150">
        <v>14.997508049</v>
      </c>
      <c r="G150">
        <v>1377.7390137</v>
      </c>
      <c r="H150">
        <v>1367.3963623</v>
      </c>
      <c r="I150">
        <v>1277.354126</v>
      </c>
      <c r="J150">
        <v>1250.2131348</v>
      </c>
      <c r="K150">
        <v>1650</v>
      </c>
      <c r="L150">
        <v>0</v>
      </c>
      <c r="M150">
        <v>0</v>
      </c>
      <c r="N150">
        <v>1650</v>
      </c>
    </row>
    <row r="151" spans="1:14" x14ac:dyDescent="0.25">
      <c r="A151">
        <v>16.490416</v>
      </c>
      <c r="B151" s="1">
        <f>DATE(2010,5,17) + TIME(11,46,11)</f>
        <v>40315.490405092591</v>
      </c>
      <c r="C151">
        <v>80</v>
      </c>
      <c r="D151">
        <v>79.862327575999998</v>
      </c>
      <c r="E151">
        <v>40</v>
      </c>
      <c r="F151">
        <v>14.997523308</v>
      </c>
      <c r="G151">
        <v>1377.6534423999999</v>
      </c>
      <c r="H151">
        <v>1367.3132324000001</v>
      </c>
      <c r="I151">
        <v>1277.3580322</v>
      </c>
      <c r="J151">
        <v>1250.2169189000001</v>
      </c>
      <c r="K151">
        <v>1650</v>
      </c>
      <c r="L151">
        <v>0</v>
      </c>
      <c r="M151">
        <v>0</v>
      </c>
      <c r="N151">
        <v>1650</v>
      </c>
    </row>
    <row r="152" spans="1:14" x14ac:dyDescent="0.25">
      <c r="A152">
        <v>16.823419000000001</v>
      </c>
      <c r="B152" s="1">
        <f>DATE(2010,5,17) + TIME(19,45,43)</f>
        <v>40315.823414351849</v>
      </c>
      <c r="C152">
        <v>80</v>
      </c>
      <c r="D152">
        <v>79.862564086999996</v>
      </c>
      <c r="E152">
        <v>40</v>
      </c>
      <c r="F152">
        <v>14.99753952</v>
      </c>
      <c r="G152">
        <v>1377.5673827999999</v>
      </c>
      <c r="H152">
        <v>1367.2296143000001</v>
      </c>
      <c r="I152">
        <v>1277.3621826000001</v>
      </c>
      <c r="J152">
        <v>1250.2208252</v>
      </c>
      <c r="K152">
        <v>1650</v>
      </c>
      <c r="L152">
        <v>0</v>
      </c>
      <c r="M152">
        <v>0</v>
      </c>
      <c r="N152">
        <v>1650</v>
      </c>
    </row>
    <row r="153" spans="1:14" x14ac:dyDescent="0.25">
      <c r="A153">
        <v>17.164577999999999</v>
      </c>
      <c r="B153" s="1">
        <f>DATE(2010,5,18) + TIME(3,56,59)</f>
        <v>40316.164571759262</v>
      </c>
      <c r="C153">
        <v>80</v>
      </c>
      <c r="D153">
        <v>79.862785338999998</v>
      </c>
      <c r="E153">
        <v>40</v>
      </c>
      <c r="F153">
        <v>14.997554779</v>
      </c>
      <c r="G153">
        <v>1377.4808350000001</v>
      </c>
      <c r="H153">
        <v>1367.145874</v>
      </c>
      <c r="I153">
        <v>1277.3664550999999</v>
      </c>
      <c r="J153">
        <v>1250.2247314000001</v>
      </c>
      <c r="K153">
        <v>1650</v>
      </c>
      <c r="L153">
        <v>0</v>
      </c>
      <c r="M153">
        <v>0</v>
      </c>
      <c r="N153">
        <v>1650</v>
      </c>
    </row>
    <row r="154" spans="1:14" x14ac:dyDescent="0.25">
      <c r="A154">
        <v>17.513818000000001</v>
      </c>
      <c r="B154" s="1">
        <f>DATE(2010,5,18) + TIME(12,19,53)</f>
        <v>40316.513807870368</v>
      </c>
      <c r="C154">
        <v>80</v>
      </c>
      <c r="D154">
        <v>79.862991332999997</v>
      </c>
      <c r="E154">
        <v>40</v>
      </c>
      <c r="F154">
        <v>14.997570992</v>
      </c>
      <c r="G154">
        <v>1377.3939209</v>
      </c>
      <c r="H154">
        <v>1367.0616454999999</v>
      </c>
      <c r="I154">
        <v>1277.3707274999999</v>
      </c>
      <c r="J154">
        <v>1250.2287598</v>
      </c>
      <c r="K154">
        <v>1650</v>
      </c>
      <c r="L154">
        <v>0</v>
      </c>
      <c r="M154">
        <v>0</v>
      </c>
      <c r="N154">
        <v>1650</v>
      </c>
    </row>
    <row r="155" spans="1:14" x14ac:dyDescent="0.25">
      <c r="A155">
        <v>17.863911999999999</v>
      </c>
      <c r="B155" s="1">
        <f>DATE(2010,5,18) + TIME(20,44,2)</f>
        <v>40316.863912037035</v>
      </c>
      <c r="C155">
        <v>80</v>
      </c>
      <c r="D155">
        <v>79.863182068</v>
      </c>
      <c r="E155">
        <v>40</v>
      </c>
      <c r="F155">
        <v>14.997586249999999</v>
      </c>
      <c r="G155">
        <v>1377.3066406</v>
      </c>
      <c r="H155">
        <v>1366.9770507999999</v>
      </c>
      <c r="I155">
        <v>1277.3751221</v>
      </c>
      <c r="J155">
        <v>1250.2329102000001</v>
      </c>
      <c r="K155">
        <v>1650</v>
      </c>
      <c r="L155">
        <v>0</v>
      </c>
      <c r="M155">
        <v>0</v>
      </c>
      <c r="N155">
        <v>1650</v>
      </c>
    </row>
    <row r="156" spans="1:14" x14ac:dyDescent="0.25">
      <c r="A156">
        <v>18.214818000000001</v>
      </c>
      <c r="B156" s="1">
        <f>DATE(2010,5,19) + TIME(5,9,20)</f>
        <v>40317.214814814812</v>
      </c>
      <c r="C156">
        <v>80</v>
      </c>
      <c r="D156">
        <v>79.863357543999996</v>
      </c>
      <c r="E156">
        <v>40</v>
      </c>
      <c r="F156">
        <v>14.997601509000001</v>
      </c>
      <c r="G156">
        <v>1377.2207031</v>
      </c>
      <c r="H156">
        <v>1366.894043</v>
      </c>
      <c r="I156">
        <v>1277.3795166</v>
      </c>
      <c r="J156">
        <v>1250.2370605000001</v>
      </c>
      <c r="K156">
        <v>1650</v>
      </c>
      <c r="L156">
        <v>0</v>
      </c>
      <c r="M156">
        <v>0</v>
      </c>
      <c r="N156">
        <v>1650</v>
      </c>
    </row>
    <row r="157" spans="1:14" x14ac:dyDescent="0.25">
      <c r="A157">
        <v>18.567129999999999</v>
      </c>
      <c r="B157" s="1">
        <f>DATE(2010,5,19) + TIME(13,36,39)</f>
        <v>40317.567118055558</v>
      </c>
      <c r="C157">
        <v>80</v>
      </c>
      <c r="D157">
        <v>79.863517760999997</v>
      </c>
      <c r="E157">
        <v>40</v>
      </c>
      <c r="F157">
        <v>14.997616768</v>
      </c>
      <c r="G157">
        <v>1377.1361084</v>
      </c>
      <c r="H157">
        <v>1366.8123779</v>
      </c>
      <c r="I157">
        <v>1277.3840332</v>
      </c>
      <c r="J157">
        <v>1250.2412108999999</v>
      </c>
      <c r="K157">
        <v>1650</v>
      </c>
      <c r="L157">
        <v>0</v>
      </c>
      <c r="M157">
        <v>0</v>
      </c>
      <c r="N157">
        <v>1650</v>
      </c>
    </row>
    <row r="158" spans="1:14" x14ac:dyDescent="0.25">
      <c r="A158">
        <v>18.921447000000001</v>
      </c>
      <c r="B158" s="1">
        <f>DATE(2010,5,19) + TIME(22,6,53)</f>
        <v>40317.921446759261</v>
      </c>
      <c r="C158">
        <v>80</v>
      </c>
      <c r="D158">
        <v>79.863670349000003</v>
      </c>
      <c r="E158">
        <v>40</v>
      </c>
      <c r="F158">
        <v>14.997632027</v>
      </c>
      <c r="G158">
        <v>1377.0528564000001</v>
      </c>
      <c r="H158">
        <v>1366.7319336</v>
      </c>
      <c r="I158">
        <v>1277.3884277</v>
      </c>
      <c r="J158">
        <v>1250.2453613</v>
      </c>
      <c r="K158">
        <v>1650</v>
      </c>
      <c r="L158">
        <v>0</v>
      </c>
      <c r="M158">
        <v>0</v>
      </c>
      <c r="N158">
        <v>1650</v>
      </c>
    </row>
    <row r="159" spans="1:14" x14ac:dyDescent="0.25">
      <c r="A159">
        <v>19.278341999999999</v>
      </c>
      <c r="B159" s="1">
        <f>DATE(2010,5,20) + TIME(6,40,48)</f>
        <v>40318.278333333335</v>
      </c>
      <c r="C159">
        <v>80</v>
      </c>
      <c r="D159">
        <v>79.863807678000001</v>
      </c>
      <c r="E159">
        <v>40</v>
      </c>
      <c r="F159">
        <v>14.997646332</v>
      </c>
      <c r="G159">
        <v>1376.9705810999999</v>
      </c>
      <c r="H159">
        <v>1366.6525879000001</v>
      </c>
      <c r="I159">
        <v>1277.3929443</v>
      </c>
      <c r="J159">
        <v>1250.2495117000001</v>
      </c>
      <c r="K159">
        <v>1650</v>
      </c>
      <c r="L159">
        <v>0</v>
      </c>
      <c r="M159">
        <v>0</v>
      </c>
      <c r="N159">
        <v>1650</v>
      </c>
    </row>
    <row r="160" spans="1:14" x14ac:dyDescent="0.25">
      <c r="A160">
        <v>19.638390000000001</v>
      </c>
      <c r="B160" s="1">
        <f>DATE(2010,5,20) + TIME(15,19,16)</f>
        <v>40318.638379629629</v>
      </c>
      <c r="C160">
        <v>80</v>
      </c>
      <c r="D160">
        <v>79.863937378000003</v>
      </c>
      <c r="E160">
        <v>40</v>
      </c>
      <c r="F160">
        <v>14.997661591</v>
      </c>
      <c r="G160">
        <v>1376.8891602000001</v>
      </c>
      <c r="H160">
        <v>1366.5740966999999</v>
      </c>
      <c r="I160">
        <v>1277.3974608999999</v>
      </c>
      <c r="J160">
        <v>1250.2537841999999</v>
      </c>
      <c r="K160">
        <v>1650</v>
      </c>
      <c r="L160">
        <v>0</v>
      </c>
      <c r="M160">
        <v>0</v>
      </c>
      <c r="N160">
        <v>1650</v>
      </c>
    </row>
    <row r="161" spans="1:14" x14ac:dyDescent="0.25">
      <c r="A161">
        <v>20.002174</v>
      </c>
      <c r="B161" s="1">
        <f>DATE(2010,5,21) + TIME(0,3,7)</f>
        <v>40319.002164351848</v>
      </c>
      <c r="C161">
        <v>80</v>
      </c>
      <c r="D161">
        <v>79.864059448000006</v>
      </c>
      <c r="E161">
        <v>40</v>
      </c>
      <c r="F161">
        <v>14.997675896000001</v>
      </c>
      <c r="G161">
        <v>1376.8084716999999</v>
      </c>
      <c r="H161">
        <v>1366.4964600000001</v>
      </c>
      <c r="I161">
        <v>1277.4020995999999</v>
      </c>
      <c r="J161">
        <v>1250.2580565999999</v>
      </c>
      <c r="K161">
        <v>1650</v>
      </c>
      <c r="L161">
        <v>0</v>
      </c>
      <c r="M161">
        <v>0</v>
      </c>
      <c r="N161">
        <v>1650</v>
      </c>
    </row>
    <row r="162" spans="1:14" x14ac:dyDescent="0.25">
      <c r="A162">
        <v>20.370296</v>
      </c>
      <c r="B162" s="1">
        <f>DATE(2010,5,21) + TIME(8,53,13)</f>
        <v>40319.370289351849</v>
      </c>
      <c r="C162">
        <v>80</v>
      </c>
      <c r="D162">
        <v>79.864173889</v>
      </c>
      <c r="E162">
        <v>40</v>
      </c>
      <c r="F162">
        <v>14.997690200999999</v>
      </c>
      <c r="G162">
        <v>1376.7283935999999</v>
      </c>
      <c r="H162">
        <v>1366.4193115</v>
      </c>
      <c r="I162">
        <v>1277.4067382999999</v>
      </c>
      <c r="J162">
        <v>1250.2624512</v>
      </c>
      <c r="K162">
        <v>1650</v>
      </c>
      <c r="L162">
        <v>0</v>
      </c>
      <c r="M162">
        <v>0</v>
      </c>
      <c r="N162">
        <v>1650</v>
      </c>
    </row>
    <row r="163" spans="1:14" x14ac:dyDescent="0.25">
      <c r="A163">
        <v>20.742083999999998</v>
      </c>
      <c r="B163" s="1">
        <f>DATE(2010,5,21) + TIME(17,48,36)</f>
        <v>40319.742083333331</v>
      </c>
      <c r="C163">
        <v>80</v>
      </c>
      <c r="D163">
        <v>79.864288329999994</v>
      </c>
      <c r="E163">
        <v>40</v>
      </c>
      <c r="F163">
        <v>14.997705460000001</v>
      </c>
      <c r="G163">
        <v>1376.6486815999999</v>
      </c>
      <c r="H163">
        <v>1366.3427733999999</v>
      </c>
      <c r="I163">
        <v>1277.4113769999999</v>
      </c>
      <c r="J163">
        <v>1250.2668457</v>
      </c>
      <c r="K163">
        <v>1650</v>
      </c>
      <c r="L163">
        <v>0</v>
      </c>
      <c r="M163">
        <v>0</v>
      </c>
      <c r="N163">
        <v>1650</v>
      </c>
    </row>
    <row r="164" spans="1:14" x14ac:dyDescent="0.25">
      <c r="A164">
        <v>21.117412999999999</v>
      </c>
      <c r="B164" s="1">
        <f>DATE(2010,5,22) + TIME(2,49,4)</f>
        <v>40320.117407407408</v>
      </c>
      <c r="C164">
        <v>80</v>
      </c>
      <c r="D164">
        <v>79.864387511999993</v>
      </c>
      <c r="E164">
        <v>40</v>
      </c>
      <c r="F164">
        <v>14.997719764999999</v>
      </c>
      <c r="G164">
        <v>1376.5695800999999</v>
      </c>
      <c r="H164">
        <v>1366.2668457</v>
      </c>
      <c r="I164">
        <v>1277.4161377</v>
      </c>
      <c r="J164">
        <v>1250.2712402</v>
      </c>
      <c r="K164">
        <v>1650</v>
      </c>
      <c r="L164">
        <v>0</v>
      </c>
      <c r="M164">
        <v>0</v>
      </c>
      <c r="N164">
        <v>1650</v>
      </c>
    </row>
    <row r="165" spans="1:14" x14ac:dyDescent="0.25">
      <c r="A165">
        <v>21.496852000000001</v>
      </c>
      <c r="B165" s="1">
        <f>DATE(2010,5,22) + TIME(11,55,27)</f>
        <v>40320.496840277781</v>
      </c>
      <c r="C165">
        <v>80</v>
      </c>
      <c r="D165">
        <v>79.864486693999993</v>
      </c>
      <c r="E165">
        <v>40</v>
      </c>
      <c r="F165">
        <v>14.99773407</v>
      </c>
      <c r="G165">
        <v>1376.4910889</v>
      </c>
      <c r="H165">
        <v>1366.1915283000001</v>
      </c>
      <c r="I165">
        <v>1277.4208983999999</v>
      </c>
      <c r="J165">
        <v>1250.2757568</v>
      </c>
      <c r="K165">
        <v>1650</v>
      </c>
      <c r="L165">
        <v>0</v>
      </c>
      <c r="M165">
        <v>0</v>
      </c>
      <c r="N165">
        <v>1650</v>
      </c>
    </row>
    <row r="166" spans="1:14" x14ac:dyDescent="0.25">
      <c r="A166">
        <v>21.880977000000001</v>
      </c>
      <c r="B166" s="1">
        <f>DATE(2010,5,22) + TIME(21,8,36)</f>
        <v>40320.880972222221</v>
      </c>
      <c r="C166">
        <v>80</v>
      </c>
      <c r="D166">
        <v>79.864585876000007</v>
      </c>
      <c r="E166">
        <v>40</v>
      </c>
      <c r="F166">
        <v>14.997748375</v>
      </c>
      <c r="G166">
        <v>1376.4132079999999</v>
      </c>
      <c r="H166">
        <v>1366.1168213000001</v>
      </c>
      <c r="I166">
        <v>1277.4257812000001</v>
      </c>
      <c r="J166">
        <v>1250.2802733999999</v>
      </c>
      <c r="K166">
        <v>1650</v>
      </c>
      <c r="L166">
        <v>0</v>
      </c>
      <c r="M166">
        <v>0</v>
      </c>
      <c r="N166">
        <v>1650</v>
      </c>
    </row>
    <row r="167" spans="1:14" x14ac:dyDescent="0.25">
      <c r="A167">
        <v>22.270394</v>
      </c>
      <c r="B167" s="1">
        <f>DATE(2010,5,23) + TIME(6,29,22)</f>
        <v>40321.27039351852</v>
      </c>
      <c r="C167">
        <v>80</v>
      </c>
      <c r="D167">
        <v>79.864677428999997</v>
      </c>
      <c r="E167">
        <v>40</v>
      </c>
      <c r="F167">
        <v>14.997762679999999</v>
      </c>
      <c r="G167">
        <v>1376.3355713000001</v>
      </c>
      <c r="H167">
        <v>1366.0424805</v>
      </c>
      <c r="I167">
        <v>1277.4307861</v>
      </c>
      <c r="J167">
        <v>1250.2849120999999</v>
      </c>
      <c r="K167">
        <v>1650</v>
      </c>
      <c r="L167">
        <v>0</v>
      </c>
      <c r="M167">
        <v>0</v>
      </c>
      <c r="N167">
        <v>1650</v>
      </c>
    </row>
    <row r="168" spans="1:14" x14ac:dyDescent="0.25">
      <c r="A168">
        <v>22.665831000000001</v>
      </c>
      <c r="B168" s="1">
        <f>DATE(2010,5,23) + TIME(15,58,47)</f>
        <v>40321.665821759256</v>
      </c>
      <c r="C168">
        <v>80</v>
      </c>
      <c r="D168">
        <v>79.864761353000006</v>
      </c>
      <c r="E168">
        <v>40</v>
      </c>
      <c r="F168">
        <v>14.997776985</v>
      </c>
      <c r="G168">
        <v>1376.2581786999999</v>
      </c>
      <c r="H168">
        <v>1365.9683838000001</v>
      </c>
      <c r="I168">
        <v>1277.4357910000001</v>
      </c>
      <c r="J168">
        <v>1250.2896728999999</v>
      </c>
      <c r="K168">
        <v>1650</v>
      </c>
      <c r="L168">
        <v>0</v>
      </c>
      <c r="M168">
        <v>0</v>
      </c>
      <c r="N168">
        <v>1650</v>
      </c>
    </row>
    <row r="169" spans="1:14" x14ac:dyDescent="0.25">
      <c r="A169">
        <v>23.067957</v>
      </c>
      <c r="B169" s="1">
        <f>DATE(2010,5,24) + TIME(1,37,51)</f>
        <v>40322.06795138889</v>
      </c>
      <c r="C169">
        <v>80</v>
      </c>
      <c r="D169">
        <v>79.864845275999997</v>
      </c>
      <c r="E169">
        <v>40</v>
      </c>
      <c r="F169">
        <v>14.997790337</v>
      </c>
      <c r="G169">
        <v>1376.1807861</v>
      </c>
      <c r="H169">
        <v>1365.8944091999999</v>
      </c>
      <c r="I169">
        <v>1277.4407959</v>
      </c>
      <c r="J169">
        <v>1250.2944336</v>
      </c>
      <c r="K169">
        <v>1650</v>
      </c>
      <c r="L169">
        <v>0</v>
      </c>
      <c r="M169">
        <v>0</v>
      </c>
      <c r="N169">
        <v>1650</v>
      </c>
    </row>
    <row r="170" spans="1:14" x14ac:dyDescent="0.25">
      <c r="A170">
        <v>23.477392999999999</v>
      </c>
      <c r="B170" s="1">
        <f>DATE(2010,5,24) + TIME(11,27,26)</f>
        <v>40322.477384259262</v>
      </c>
      <c r="C170">
        <v>80</v>
      </c>
      <c r="D170">
        <v>79.864929199000002</v>
      </c>
      <c r="E170">
        <v>40</v>
      </c>
      <c r="F170">
        <v>14.997804642</v>
      </c>
      <c r="G170">
        <v>1376.1035156</v>
      </c>
      <c r="H170">
        <v>1365.8206786999999</v>
      </c>
      <c r="I170">
        <v>1277.4460449000001</v>
      </c>
      <c r="J170">
        <v>1250.2991943</v>
      </c>
      <c r="K170">
        <v>1650</v>
      </c>
      <c r="L170">
        <v>0</v>
      </c>
      <c r="M170">
        <v>0</v>
      </c>
      <c r="N170">
        <v>1650</v>
      </c>
    </row>
    <row r="171" spans="1:14" x14ac:dyDescent="0.25">
      <c r="A171">
        <v>23.894877999999999</v>
      </c>
      <c r="B171" s="1">
        <f>DATE(2010,5,24) + TIME(21,28,37)</f>
        <v>40322.894872685189</v>
      </c>
      <c r="C171">
        <v>80</v>
      </c>
      <c r="D171">
        <v>79.865013122999997</v>
      </c>
      <c r="E171">
        <v>40</v>
      </c>
      <c r="F171">
        <v>14.997818947000001</v>
      </c>
      <c r="G171">
        <v>1376.0261230000001</v>
      </c>
      <c r="H171">
        <v>1365.7467041</v>
      </c>
      <c r="I171">
        <v>1277.4512939000001</v>
      </c>
      <c r="J171">
        <v>1250.3041992000001</v>
      </c>
      <c r="K171">
        <v>1650</v>
      </c>
      <c r="L171">
        <v>0</v>
      </c>
      <c r="M171">
        <v>0</v>
      </c>
      <c r="N171">
        <v>1650</v>
      </c>
    </row>
    <row r="172" spans="1:14" x14ac:dyDescent="0.25">
      <c r="A172">
        <v>24.321304999999999</v>
      </c>
      <c r="B172" s="1">
        <f>DATE(2010,5,25) + TIME(7,42,40)</f>
        <v>40323.321296296293</v>
      </c>
      <c r="C172">
        <v>80</v>
      </c>
      <c r="D172">
        <v>79.865089416999993</v>
      </c>
      <c r="E172">
        <v>40</v>
      </c>
      <c r="F172">
        <v>14.997833252</v>
      </c>
      <c r="G172">
        <v>1375.9484863</v>
      </c>
      <c r="H172">
        <v>1365.6727295000001</v>
      </c>
      <c r="I172">
        <v>1277.4566649999999</v>
      </c>
      <c r="J172">
        <v>1250.3092041</v>
      </c>
      <c r="K172">
        <v>1650</v>
      </c>
      <c r="L172">
        <v>0</v>
      </c>
      <c r="M172">
        <v>0</v>
      </c>
      <c r="N172">
        <v>1650</v>
      </c>
    </row>
    <row r="173" spans="1:14" x14ac:dyDescent="0.25">
      <c r="A173">
        <v>24.756986999999999</v>
      </c>
      <c r="B173" s="1">
        <f>DATE(2010,5,25) + TIME(18,10,3)</f>
        <v>40323.756979166668</v>
      </c>
      <c r="C173">
        <v>80</v>
      </c>
      <c r="D173">
        <v>79.865173339999998</v>
      </c>
      <c r="E173">
        <v>40</v>
      </c>
      <c r="F173">
        <v>14.997848511000001</v>
      </c>
      <c r="G173">
        <v>1375.8706055</v>
      </c>
      <c r="H173">
        <v>1365.5983887</v>
      </c>
      <c r="I173">
        <v>1277.4621582</v>
      </c>
      <c r="J173">
        <v>1250.3143310999999</v>
      </c>
      <c r="K173">
        <v>1650</v>
      </c>
      <c r="L173">
        <v>0</v>
      </c>
      <c r="M173">
        <v>0</v>
      </c>
      <c r="N173">
        <v>1650</v>
      </c>
    </row>
    <row r="174" spans="1:14" x14ac:dyDescent="0.25">
      <c r="A174">
        <v>25.201803999999999</v>
      </c>
      <c r="B174" s="1">
        <f>DATE(2010,5,26) + TIME(4,50,35)</f>
        <v>40324.201793981483</v>
      </c>
      <c r="C174">
        <v>80</v>
      </c>
      <c r="D174">
        <v>79.865249633999994</v>
      </c>
      <c r="E174">
        <v>40</v>
      </c>
      <c r="F174">
        <v>14.997862816</v>
      </c>
      <c r="G174">
        <v>1375.7922363</v>
      </c>
      <c r="H174">
        <v>1365.5238036999999</v>
      </c>
      <c r="I174">
        <v>1277.4678954999999</v>
      </c>
      <c r="J174">
        <v>1250.3195800999999</v>
      </c>
      <c r="K174">
        <v>1650</v>
      </c>
      <c r="L174">
        <v>0</v>
      </c>
      <c r="M174">
        <v>0</v>
      </c>
      <c r="N174">
        <v>1650</v>
      </c>
    </row>
    <row r="175" spans="1:14" x14ac:dyDescent="0.25">
      <c r="A175">
        <v>25.651281000000001</v>
      </c>
      <c r="B175" s="1">
        <f>DATE(2010,5,26) + TIME(15,37,50)</f>
        <v>40324.651273148149</v>
      </c>
      <c r="C175">
        <v>80</v>
      </c>
      <c r="D175">
        <v>79.865325928000004</v>
      </c>
      <c r="E175">
        <v>40</v>
      </c>
      <c r="F175">
        <v>14.997877121</v>
      </c>
      <c r="G175">
        <v>1375.7136230000001</v>
      </c>
      <c r="H175">
        <v>1365.4489745999999</v>
      </c>
      <c r="I175">
        <v>1277.4736327999999</v>
      </c>
      <c r="J175">
        <v>1250.3249512</v>
      </c>
      <c r="K175">
        <v>1650</v>
      </c>
      <c r="L175">
        <v>0</v>
      </c>
      <c r="M175">
        <v>0</v>
      </c>
      <c r="N175">
        <v>1650</v>
      </c>
    </row>
    <row r="176" spans="1:14" x14ac:dyDescent="0.25">
      <c r="A176">
        <v>26.101842000000001</v>
      </c>
      <c r="B176" s="1">
        <f>DATE(2010,5,27) + TIME(2,26,39)</f>
        <v>40325.101840277777</v>
      </c>
      <c r="C176">
        <v>80</v>
      </c>
      <c r="D176">
        <v>79.865402222</v>
      </c>
      <c r="E176">
        <v>40</v>
      </c>
      <c r="F176">
        <v>14.997891426000001</v>
      </c>
      <c r="G176">
        <v>1375.6354980000001</v>
      </c>
      <c r="H176">
        <v>1365.3746338000001</v>
      </c>
      <c r="I176">
        <v>1277.4794922000001</v>
      </c>
      <c r="J176">
        <v>1250.3304443</v>
      </c>
      <c r="K176">
        <v>1650</v>
      </c>
      <c r="L176">
        <v>0</v>
      </c>
      <c r="M176">
        <v>0</v>
      </c>
      <c r="N176">
        <v>1650</v>
      </c>
    </row>
    <row r="177" spans="1:14" x14ac:dyDescent="0.25">
      <c r="A177">
        <v>26.554341999999998</v>
      </c>
      <c r="B177" s="1">
        <f>DATE(2010,5,27) + TIME(13,18,15)</f>
        <v>40325.554340277777</v>
      </c>
      <c r="C177">
        <v>80</v>
      </c>
      <c r="D177">
        <v>79.865470885999997</v>
      </c>
      <c r="E177">
        <v>40</v>
      </c>
      <c r="F177">
        <v>14.997905730999999</v>
      </c>
      <c r="G177">
        <v>1375.5583495999999</v>
      </c>
      <c r="H177">
        <v>1365.3015137</v>
      </c>
      <c r="I177">
        <v>1277.4853516000001</v>
      </c>
      <c r="J177">
        <v>1250.3358154</v>
      </c>
      <c r="K177">
        <v>1650</v>
      </c>
      <c r="L177">
        <v>0</v>
      </c>
      <c r="M177">
        <v>0</v>
      </c>
      <c r="N177">
        <v>1650</v>
      </c>
    </row>
    <row r="178" spans="1:14" x14ac:dyDescent="0.25">
      <c r="A178">
        <v>27.009544000000002</v>
      </c>
      <c r="B178" s="1">
        <f>DATE(2010,5,28) + TIME(0,13,44)</f>
        <v>40326.00953703704</v>
      </c>
      <c r="C178">
        <v>80</v>
      </c>
      <c r="D178">
        <v>79.865539550999998</v>
      </c>
      <c r="E178">
        <v>40</v>
      </c>
      <c r="F178">
        <v>14.997920036</v>
      </c>
      <c r="G178">
        <v>1375.4822998</v>
      </c>
      <c r="H178">
        <v>1365.2292480000001</v>
      </c>
      <c r="I178">
        <v>1277.4912108999999</v>
      </c>
      <c r="J178">
        <v>1250.3414307</v>
      </c>
      <c r="K178">
        <v>1650</v>
      </c>
      <c r="L178">
        <v>0</v>
      </c>
      <c r="M178">
        <v>0</v>
      </c>
      <c r="N178">
        <v>1650</v>
      </c>
    </row>
    <row r="179" spans="1:14" x14ac:dyDescent="0.25">
      <c r="A179">
        <v>27.468209000000002</v>
      </c>
      <c r="B179" s="1">
        <f>DATE(2010,5,28) + TIME(11,14,13)</f>
        <v>40326.468206018515</v>
      </c>
      <c r="C179">
        <v>80</v>
      </c>
      <c r="D179">
        <v>79.865615844999994</v>
      </c>
      <c r="E179">
        <v>40</v>
      </c>
      <c r="F179">
        <v>14.997933388</v>
      </c>
      <c r="G179">
        <v>1375.4069824000001</v>
      </c>
      <c r="H179">
        <v>1365.1578368999999</v>
      </c>
      <c r="I179">
        <v>1277.4971923999999</v>
      </c>
      <c r="J179">
        <v>1250.3469238</v>
      </c>
      <c r="K179">
        <v>1650</v>
      </c>
      <c r="L179">
        <v>0</v>
      </c>
      <c r="M179">
        <v>0</v>
      </c>
      <c r="N179">
        <v>1650</v>
      </c>
    </row>
    <row r="180" spans="1:14" x14ac:dyDescent="0.25">
      <c r="A180">
        <v>27.931114000000001</v>
      </c>
      <c r="B180" s="1">
        <f>DATE(2010,5,28) + TIME(22,20,48)</f>
        <v>40326.931111111109</v>
      </c>
      <c r="C180">
        <v>80</v>
      </c>
      <c r="D180">
        <v>79.865684509000005</v>
      </c>
      <c r="E180">
        <v>40</v>
      </c>
      <c r="F180">
        <v>14.997947693</v>
      </c>
      <c r="G180">
        <v>1375.3322754000001</v>
      </c>
      <c r="H180">
        <v>1365.0870361</v>
      </c>
      <c r="I180">
        <v>1277.5031738</v>
      </c>
      <c r="J180">
        <v>1250.3525391000001</v>
      </c>
      <c r="K180">
        <v>1650</v>
      </c>
      <c r="L180">
        <v>0</v>
      </c>
      <c r="M180">
        <v>0</v>
      </c>
      <c r="N180">
        <v>1650</v>
      </c>
    </row>
    <row r="181" spans="1:14" x14ac:dyDescent="0.25">
      <c r="A181">
        <v>28.396498999999999</v>
      </c>
      <c r="B181" s="1">
        <f>DATE(2010,5,29) + TIME(9,30,57)</f>
        <v>40327.396493055552</v>
      </c>
      <c r="C181">
        <v>80</v>
      </c>
      <c r="D181">
        <v>79.865753174000005</v>
      </c>
      <c r="E181">
        <v>40</v>
      </c>
      <c r="F181">
        <v>14.997961044</v>
      </c>
      <c r="G181">
        <v>1375.2580565999999</v>
      </c>
      <c r="H181">
        <v>1365.0167236</v>
      </c>
      <c r="I181">
        <v>1277.5092772999999</v>
      </c>
      <c r="J181">
        <v>1250.3581543</v>
      </c>
      <c r="K181">
        <v>1650</v>
      </c>
      <c r="L181">
        <v>0</v>
      </c>
      <c r="M181">
        <v>0</v>
      </c>
      <c r="N181">
        <v>1650</v>
      </c>
    </row>
    <row r="182" spans="1:14" x14ac:dyDescent="0.25">
      <c r="A182">
        <v>28.864615000000001</v>
      </c>
      <c r="B182" s="1">
        <f>DATE(2010,5,29) + TIME(20,45,2)</f>
        <v>40327.864606481482</v>
      </c>
      <c r="C182">
        <v>80</v>
      </c>
      <c r="D182">
        <v>79.865821838000002</v>
      </c>
      <c r="E182">
        <v>40</v>
      </c>
      <c r="F182">
        <v>14.997975349000001</v>
      </c>
      <c r="G182">
        <v>1375.1846923999999</v>
      </c>
      <c r="H182">
        <v>1364.9472656</v>
      </c>
      <c r="I182">
        <v>1277.5153809000001</v>
      </c>
      <c r="J182">
        <v>1250.3638916</v>
      </c>
      <c r="K182">
        <v>1650</v>
      </c>
      <c r="L182">
        <v>0</v>
      </c>
      <c r="M182">
        <v>0</v>
      </c>
      <c r="N182">
        <v>1650</v>
      </c>
    </row>
    <row r="183" spans="1:14" x14ac:dyDescent="0.25">
      <c r="A183">
        <v>29.33616</v>
      </c>
      <c r="B183" s="1">
        <f>DATE(2010,5,30) + TIME(8,4,4)</f>
        <v>40328.336157407408</v>
      </c>
      <c r="C183">
        <v>80</v>
      </c>
      <c r="D183">
        <v>79.865890503000003</v>
      </c>
      <c r="E183">
        <v>40</v>
      </c>
      <c r="F183">
        <v>14.997988701000001</v>
      </c>
      <c r="G183">
        <v>1375.1119385</v>
      </c>
      <c r="H183">
        <v>1364.8785399999999</v>
      </c>
      <c r="I183">
        <v>1277.5216064000001</v>
      </c>
      <c r="J183">
        <v>1250.3696289</v>
      </c>
      <c r="K183">
        <v>1650</v>
      </c>
      <c r="L183">
        <v>0</v>
      </c>
      <c r="M183">
        <v>0</v>
      </c>
      <c r="N183">
        <v>1650</v>
      </c>
    </row>
    <row r="184" spans="1:14" x14ac:dyDescent="0.25">
      <c r="A184">
        <v>29.811838000000002</v>
      </c>
      <c r="B184" s="1">
        <f>DATE(2010,5,30) + TIME(19,29,2)</f>
        <v>40328.811828703707</v>
      </c>
      <c r="C184">
        <v>80</v>
      </c>
      <c r="D184">
        <v>79.865959167</v>
      </c>
      <c r="E184">
        <v>40</v>
      </c>
      <c r="F184">
        <v>14.998002052</v>
      </c>
      <c r="G184">
        <v>1375.0397949000001</v>
      </c>
      <c r="H184">
        <v>1364.8103027</v>
      </c>
      <c r="I184">
        <v>1277.527832</v>
      </c>
      <c r="J184">
        <v>1250.3754882999999</v>
      </c>
      <c r="K184">
        <v>1650</v>
      </c>
      <c r="L184">
        <v>0</v>
      </c>
      <c r="M184">
        <v>0</v>
      </c>
      <c r="N184">
        <v>1650</v>
      </c>
    </row>
    <row r="185" spans="1:14" x14ac:dyDescent="0.25">
      <c r="A185">
        <v>30.292373000000001</v>
      </c>
      <c r="B185" s="1">
        <f>DATE(2010,5,31) + TIME(7,1,0)</f>
        <v>40329.292361111111</v>
      </c>
      <c r="C185">
        <v>80</v>
      </c>
      <c r="D185">
        <v>79.866027832</v>
      </c>
      <c r="E185">
        <v>40</v>
      </c>
      <c r="F185">
        <v>14.998015404</v>
      </c>
      <c r="G185">
        <v>1374.9681396000001</v>
      </c>
      <c r="H185">
        <v>1364.7426757999999</v>
      </c>
      <c r="I185">
        <v>1277.5341797000001</v>
      </c>
      <c r="J185">
        <v>1250.3813477000001</v>
      </c>
      <c r="K185">
        <v>1650</v>
      </c>
      <c r="L185">
        <v>0</v>
      </c>
      <c r="M185">
        <v>0</v>
      </c>
      <c r="N185">
        <v>1650</v>
      </c>
    </row>
    <row r="186" spans="1:14" x14ac:dyDescent="0.25">
      <c r="A186">
        <v>30.778510000000001</v>
      </c>
      <c r="B186" s="1">
        <f>DATE(2010,5,31) + TIME(18,41,3)</f>
        <v>40329.778506944444</v>
      </c>
      <c r="C186">
        <v>80</v>
      </c>
      <c r="D186">
        <v>79.866096497000001</v>
      </c>
      <c r="E186">
        <v>40</v>
      </c>
      <c r="F186">
        <v>14.998028755</v>
      </c>
      <c r="G186">
        <v>1374.8968506000001</v>
      </c>
      <c r="H186">
        <v>1364.6754149999999</v>
      </c>
      <c r="I186">
        <v>1277.5405272999999</v>
      </c>
      <c r="J186">
        <v>1250.3873291</v>
      </c>
      <c r="K186">
        <v>1650</v>
      </c>
      <c r="L186">
        <v>0</v>
      </c>
      <c r="M186">
        <v>0</v>
      </c>
      <c r="N186">
        <v>1650</v>
      </c>
    </row>
    <row r="187" spans="1:14" x14ac:dyDescent="0.25">
      <c r="A187">
        <v>31</v>
      </c>
      <c r="B187" s="1">
        <f>DATE(2010,6,1) + TIME(0,0,0)</f>
        <v>40330</v>
      </c>
      <c r="C187">
        <v>80</v>
      </c>
      <c r="D187">
        <v>79.866119385000005</v>
      </c>
      <c r="E187">
        <v>40</v>
      </c>
      <c r="F187">
        <v>14.998036385000001</v>
      </c>
      <c r="G187">
        <v>1374.8253173999999</v>
      </c>
      <c r="H187">
        <v>1364.6079102000001</v>
      </c>
      <c r="I187">
        <v>1277.5465088000001</v>
      </c>
      <c r="J187">
        <v>1250.3928223</v>
      </c>
      <c r="K187">
        <v>1650</v>
      </c>
      <c r="L187">
        <v>0</v>
      </c>
      <c r="M187">
        <v>0</v>
      </c>
      <c r="N187">
        <v>1650</v>
      </c>
    </row>
    <row r="188" spans="1:14" x14ac:dyDescent="0.25">
      <c r="A188">
        <v>31.492515000000001</v>
      </c>
      <c r="B188" s="1">
        <f>DATE(2010,6,1) + TIME(11,49,13)</f>
        <v>40330.492511574077</v>
      </c>
      <c r="C188">
        <v>80</v>
      </c>
      <c r="D188">
        <v>79.866195679</v>
      </c>
      <c r="E188">
        <v>40</v>
      </c>
      <c r="F188">
        <v>14.998049736</v>
      </c>
      <c r="G188">
        <v>1374.7935791</v>
      </c>
      <c r="H188">
        <v>1364.5780029</v>
      </c>
      <c r="I188">
        <v>1277.5500488</v>
      </c>
      <c r="J188">
        <v>1250.3961182</v>
      </c>
      <c r="K188">
        <v>1650</v>
      </c>
      <c r="L188">
        <v>0</v>
      </c>
      <c r="M188">
        <v>0</v>
      </c>
      <c r="N188">
        <v>1650</v>
      </c>
    </row>
    <row r="189" spans="1:14" x14ac:dyDescent="0.25">
      <c r="A189">
        <v>31.996039</v>
      </c>
      <c r="B189" s="1">
        <f>DATE(2010,6,1) + TIME(23,54,17)</f>
        <v>40330.996030092596</v>
      </c>
      <c r="C189">
        <v>80</v>
      </c>
      <c r="D189">
        <v>79.866271972999996</v>
      </c>
      <c r="E189">
        <v>40</v>
      </c>
      <c r="F189">
        <v>14.998062134</v>
      </c>
      <c r="G189">
        <v>1374.7233887</v>
      </c>
      <c r="H189">
        <v>1364.5119629000001</v>
      </c>
      <c r="I189">
        <v>1277.5566406</v>
      </c>
      <c r="J189">
        <v>1250.4022216999999</v>
      </c>
      <c r="K189">
        <v>1650</v>
      </c>
      <c r="L189">
        <v>0</v>
      </c>
      <c r="M189">
        <v>0</v>
      </c>
      <c r="N189">
        <v>1650</v>
      </c>
    </row>
    <row r="190" spans="1:14" x14ac:dyDescent="0.25">
      <c r="A190">
        <v>32.507953000000001</v>
      </c>
      <c r="B190" s="1">
        <f>DATE(2010,6,2) + TIME(12,11,27)</f>
        <v>40331.507951388892</v>
      </c>
      <c r="C190">
        <v>80</v>
      </c>
      <c r="D190">
        <v>79.866340636999993</v>
      </c>
      <c r="E190">
        <v>40</v>
      </c>
      <c r="F190">
        <v>14.998075484999999</v>
      </c>
      <c r="G190">
        <v>1374.6525879000001</v>
      </c>
      <c r="H190">
        <v>1364.4451904</v>
      </c>
      <c r="I190">
        <v>1277.5633545000001</v>
      </c>
      <c r="J190">
        <v>1250.4085693</v>
      </c>
      <c r="K190">
        <v>1650</v>
      </c>
      <c r="L190">
        <v>0</v>
      </c>
      <c r="M190">
        <v>0</v>
      </c>
      <c r="N190">
        <v>1650</v>
      </c>
    </row>
    <row r="191" spans="1:14" x14ac:dyDescent="0.25">
      <c r="A191">
        <v>33.029210999999997</v>
      </c>
      <c r="B191" s="1">
        <f>DATE(2010,6,3) + TIME(0,42,3)</f>
        <v>40332.02920138889</v>
      </c>
      <c r="C191">
        <v>80</v>
      </c>
      <c r="D191">
        <v>79.866416931000003</v>
      </c>
      <c r="E191">
        <v>40</v>
      </c>
      <c r="F191">
        <v>14.998088836999999</v>
      </c>
      <c r="G191">
        <v>1374.581543</v>
      </c>
      <c r="H191">
        <v>1364.378418</v>
      </c>
      <c r="I191">
        <v>1277.5703125</v>
      </c>
      <c r="J191">
        <v>1250.4149170000001</v>
      </c>
      <c r="K191">
        <v>1650</v>
      </c>
      <c r="L191">
        <v>0</v>
      </c>
      <c r="M191">
        <v>0</v>
      </c>
      <c r="N191">
        <v>1650</v>
      </c>
    </row>
    <row r="192" spans="1:14" x14ac:dyDescent="0.25">
      <c r="A192">
        <v>33.560951000000003</v>
      </c>
      <c r="B192" s="1">
        <f>DATE(2010,6,3) + TIME(13,27,46)</f>
        <v>40332.560949074075</v>
      </c>
      <c r="C192">
        <v>80</v>
      </c>
      <c r="D192">
        <v>79.866493224999999</v>
      </c>
      <c r="E192">
        <v>40</v>
      </c>
      <c r="F192">
        <v>14.998102188000001</v>
      </c>
      <c r="G192">
        <v>1374.510376</v>
      </c>
      <c r="H192">
        <v>1364.3115233999999</v>
      </c>
      <c r="I192">
        <v>1277.5773925999999</v>
      </c>
      <c r="J192">
        <v>1250.4215088000001</v>
      </c>
      <c r="K192">
        <v>1650</v>
      </c>
      <c r="L192">
        <v>0</v>
      </c>
      <c r="M192">
        <v>0</v>
      </c>
      <c r="N192">
        <v>1650</v>
      </c>
    </row>
    <row r="193" spans="1:14" x14ac:dyDescent="0.25">
      <c r="A193">
        <v>34.103085</v>
      </c>
      <c r="B193" s="1">
        <f>DATE(2010,6,4) + TIME(2,28,26)</f>
        <v>40333.103078703702</v>
      </c>
      <c r="C193">
        <v>80</v>
      </c>
      <c r="D193">
        <v>79.866569518999995</v>
      </c>
      <c r="E193">
        <v>40</v>
      </c>
      <c r="F193">
        <v>14.998115540000001</v>
      </c>
      <c r="G193">
        <v>1374.4388428</v>
      </c>
      <c r="H193">
        <v>1364.2442627</v>
      </c>
      <c r="I193">
        <v>1277.5845947</v>
      </c>
      <c r="J193">
        <v>1250.4282227000001</v>
      </c>
      <c r="K193">
        <v>1650</v>
      </c>
      <c r="L193">
        <v>0</v>
      </c>
      <c r="M193">
        <v>0</v>
      </c>
      <c r="N193">
        <v>1650</v>
      </c>
    </row>
    <row r="194" spans="1:14" x14ac:dyDescent="0.25">
      <c r="A194">
        <v>34.655473000000001</v>
      </c>
      <c r="B194" s="1">
        <f>DATE(2010,6,4) + TIME(15,43,52)</f>
        <v>40333.655462962961</v>
      </c>
      <c r="C194">
        <v>80</v>
      </c>
      <c r="D194">
        <v>79.866645813000005</v>
      </c>
      <c r="E194">
        <v>40</v>
      </c>
      <c r="F194">
        <v>14.998129844999999</v>
      </c>
      <c r="G194">
        <v>1374.3669434000001</v>
      </c>
      <c r="H194">
        <v>1364.1768798999999</v>
      </c>
      <c r="I194">
        <v>1277.5920410000001</v>
      </c>
      <c r="J194">
        <v>1250.4350586</v>
      </c>
      <c r="K194">
        <v>1650</v>
      </c>
      <c r="L194">
        <v>0</v>
      </c>
      <c r="M194">
        <v>0</v>
      </c>
      <c r="N194">
        <v>1650</v>
      </c>
    </row>
    <row r="195" spans="1:14" x14ac:dyDescent="0.25">
      <c r="A195">
        <v>35.214404999999999</v>
      </c>
      <c r="B195" s="1">
        <f>DATE(2010,6,5) + TIME(5,8,44)</f>
        <v>40334.214398148149</v>
      </c>
      <c r="C195">
        <v>80</v>
      </c>
      <c r="D195">
        <v>79.866722107000001</v>
      </c>
      <c r="E195">
        <v>40</v>
      </c>
      <c r="F195">
        <v>14.998143195999999</v>
      </c>
      <c r="G195">
        <v>1374.2947998</v>
      </c>
      <c r="H195">
        <v>1364.1092529</v>
      </c>
      <c r="I195">
        <v>1277.5996094</v>
      </c>
      <c r="J195">
        <v>1250.4421387</v>
      </c>
      <c r="K195">
        <v>1650</v>
      </c>
      <c r="L195">
        <v>0</v>
      </c>
      <c r="M195">
        <v>0</v>
      </c>
      <c r="N195">
        <v>1650</v>
      </c>
    </row>
    <row r="196" spans="1:14" x14ac:dyDescent="0.25">
      <c r="A196">
        <v>35.775922999999999</v>
      </c>
      <c r="B196" s="1">
        <f>DATE(2010,6,5) + TIME(18,37,19)</f>
        <v>40334.775914351849</v>
      </c>
      <c r="C196">
        <v>80</v>
      </c>
      <c r="D196">
        <v>79.866798400999997</v>
      </c>
      <c r="E196">
        <v>40</v>
      </c>
      <c r="F196">
        <v>14.998156548000001</v>
      </c>
      <c r="G196">
        <v>1374.2230225000001</v>
      </c>
      <c r="H196">
        <v>1364.0418701000001</v>
      </c>
      <c r="I196">
        <v>1277.6072998</v>
      </c>
      <c r="J196">
        <v>1250.4492187999999</v>
      </c>
      <c r="K196">
        <v>1650</v>
      </c>
      <c r="L196">
        <v>0</v>
      </c>
      <c r="M196">
        <v>0</v>
      </c>
      <c r="N196">
        <v>1650</v>
      </c>
    </row>
    <row r="197" spans="1:14" x14ac:dyDescent="0.25">
      <c r="A197">
        <v>36.341031000000001</v>
      </c>
      <c r="B197" s="1">
        <f>DATE(2010,6,6) + TIME(8,11,5)</f>
        <v>40335.34103009259</v>
      </c>
      <c r="C197">
        <v>80</v>
      </c>
      <c r="D197">
        <v>79.866882324000002</v>
      </c>
      <c r="E197">
        <v>40</v>
      </c>
      <c r="F197">
        <v>14.998169899000001</v>
      </c>
      <c r="G197">
        <v>1374.1518555</v>
      </c>
      <c r="H197">
        <v>1363.9752197</v>
      </c>
      <c r="I197">
        <v>1277.6149902</v>
      </c>
      <c r="J197">
        <v>1250.4564209</v>
      </c>
      <c r="K197">
        <v>1650</v>
      </c>
      <c r="L197">
        <v>0</v>
      </c>
      <c r="M197">
        <v>0</v>
      </c>
      <c r="N197">
        <v>1650</v>
      </c>
    </row>
    <row r="198" spans="1:14" x14ac:dyDescent="0.25">
      <c r="A198">
        <v>36.907333000000001</v>
      </c>
      <c r="B198" s="1">
        <f>DATE(2010,6,6) + TIME(21,46,33)</f>
        <v>40335.907326388886</v>
      </c>
      <c r="C198">
        <v>80</v>
      </c>
      <c r="D198">
        <v>79.866958617999998</v>
      </c>
      <c r="E198">
        <v>40</v>
      </c>
      <c r="F198">
        <v>14.99818325</v>
      </c>
      <c r="G198">
        <v>1374.0812988</v>
      </c>
      <c r="H198">
        <v>1363.9091797000001</v>
      </c>
      <c r="I198">
        <v>1277.6228027</v>
      </c>
      <c r="J198">
        <v>1250.4636230000001</v>
      </c>
      <c r="K198">
        <v>1650</v>
      </c>
      <c r="L198">
        <v>0</v>
      </c>
      <c r="M198">
        <v>0</v>
      </c>
      <c r="N198">
        <v>1650</v>
      </c>
    </row>
    <row r="199" spans="1:14" x14ac:dyDescent="0.25">
      <c r="A199">
        <v>37.474891999999997</v>
      </c>
      <c r="B199" s="1">
        <f>DATE(2010,6,7) + TIME(11,23,50)</f>
        <v>40336.47488425926</v>
      </c>
      <c r="C199">
        <v>80</v>
      </c>
      <c r="D199">
        <v>79.867034911999994</v>
      </c>
      <c r="E199">
        <v>40</v>
      </c>
      <c r="F199">
        <v>14.998196602</v>
      </c>
      <c r="G199">
        <v>1374.0115966999999</v>
      </c>
      <c r="H199">
        <v>1363.8439940999999</v>
      </c>
      <c r="I199">
        <v>1277.6306152</v>
      </c>
      <c r="J199">
        <v>1250.4709473</v>
      </c>
      <c r="K199">
        <v>1650</v>
      </c>
      <c r="L199">
        <v>0</v>
      </c>
      <c r="M199">
        <v>0</v>
      </c>
      <c r="N199">
        <v>1650</v>
      </c>
    </row>
    <row r="200" spans="1:14" x14ac:dyDescent="0.25">
      <c r="A200">
        <v>38.044573999999997</v>
      </c>
      <c r="B200" s="1">
        <f>DATE(2010,6,8) + TIME(1,4,11)</f>
        <v>40337.044571759259</v>
      </c>
      <c r="C200">
        <v>80</v>
      </c>
      <c r="D200">
        <v>79.867118834999999</v>
      </c>
      <c r="E200">
        <v>40</v>
      </c>
      <c r="F200">
        <v>14.998209953</v>
      </c>
      <c r="G200">
        <v>1373.9428711</v>
      </c>
      <c r="H200">
        <v>1363.7796631000001</v>
      </c>
      <c r="I200">
        <v>1277.6385498</v>
      </c>
      <c r="J200">
        <v>1250.4782714999999</v>
      </c>
      <c r="K200">
        <v>1650</v>
      </c>
      <c r="L200">
        <v>0</v>
      </c>
      <c r="M200">
        <v>0</v>
      </c>
      <c r="N200">
        <v>1650</v>
      </c>
    </row>
    <row r="201" spans="1:14" x14ac:dyDescent="0.25">
      <c r="A201">
        <v>38.617247999999996</v>
      </c>
      <c r="B201" s="1">
        <f>DATE(2010,6,8) + TIME(14,48,50)</f>
        <v>40337.617245370369</v>
      </c>
      <c r="C201">
        <v>80</v>
      </c>
      <c r="D201">
        <v>79.867195128999995</v>
      </c>
      <c r="E201">
        <v>40</v>
      </c>
      <c r="F201">
        <v>14.998223305</v>
      </c>
      <c r="G201">
        <v>1373.8747559000001</v>
      </c>
      <c r="H201">
        <v>1363.7160644999999</v>
      </c>
      <c r="I201">
        <v>1277.6466064000001</v>
      </c>
      <c r="J201">
        <v>1250.4855957</v>
      </c>
      <c r="K201">
        <v>1650</v>
      </c>
      <c r="L201">
        <v>0</v>
      </c>
      <c r="M201">
        <v>0</v>
      </c>
      <c r="N201">
        <v>1650</v>
      </c>
    </row>
    <row r="202" spans="1:14" x14ac:dyDescent="0.25">
      <c r="A202">
        <v>39.193778999999999</v>
      </c>
      <c r="B202" s="1">
        <f>DATE(2010,6,9) + TIME(4,39,2)</f>
        <v>40338.193773148145</v>
      </c>
      <c r="C202">
        <v>80</v>
      </c>
      <c r="D202">
        <v>79.867279053000004</v>
      </c>
      <c r="E202">
        <v>40</v>
      </c>
      <c r="F202">
        <v>14.998235703000001</v>
      </c>
      <c r="G202">
        <v>1373.807251</v>
      </c>
      <c r="H202">
        <v>1363.6529541</v>
      </c>
      <c r="I202">
        <v>1277.6545410000001</v>
      </c>
      <c r="J202">
        <v>1250.4930420000001</v>
      </c>
      <c r="K202">
        <v>1650</v>
      </c>
      <c r="L202">
        <v>0</v>
      </c>
      <c r="M202">
        <v>0</v>
      </c>
      <c r="N202">
        <v>1650</v>
      </c>
    </row>
    <row r="203" spans="1:14" x14ac:dyDescent="0.25">
      <c r="A203">
        <v>39.775041999999999</v>
      </c>
      <c r="B203" s="1">
        <f>DATE(2010,6,9) + TIME(18,36,3)</f>
        <v>40338.775034722225</v>
      </c>
      <c r="C203">
        <v>80</v>
      </c>
      <c r="D203">
        <v>79.867355347</v>
      </c>
      <c r="E203">
        <v>40</v>
      </c>
      <c r="F203">
        <v>14.998249054</v>
      </c>
      <c r="G203">
        <v>1373.7403564000001</v>
      </c>
      <c r="H203">
        <v>1363.5904541</v>
      </c>
      <c r="I203">
        <v>1277.6627197</v>
      </c>
      <c r="J203">
        <v>1250.5006103999999</v>
      </c>
      <c r="K203">
        <v>1650</v>
      </c>
      <c r="L203">
        <v>0</v>
      </c>
      <c r="M203">
        <v>0</v>
      </c>
      <c r="N203">
        <v>1650</v>
      </c>
    </row>
    <row r="204" spans="1:14" x14ac:dyDescent="0.25">
      <c r="A204">
        <v>40.361933000000001</v>
      </c>
      <c r="B204" s="1">
        <f>DATE(2010,6,10) + TIME(8,41,11)</f>
        <v>40339.361932870372</v>
      </c>
      <c r="C204">
        <v>80</v>
      </c>
      <c r="D204">
        <v>79.867439270000006</v>
      </c>
      <c r="E204">
        <v>40</v>
      </c>
      <c r="F204">
        <v>14.998262405</v>
      </c>
      <c r="G204">
        <v>1373.6737060999999</v>
      </c>
      <c r="H204">
        <v>1363.5284423999999</v>
      </c>
      <c r="I204">
        <v>1277.6710204999999</v>
      </c>
      <c r="J204">
        <v>1250.5081786999999</v>
      </c>
      <c r="K204">
        <v>1650</v>
      </c>
      <c r="L204">
        <v>0</v>
      </c>
      <c r="M204">
        <v>0</v>
      </c>
      <c r="N204">
        <v>1650</v>
      </c>
    </row>
    <row r="205" spans="1:14" x14ac:dyDescent="0.25">
      <c r="A205">
        <v>40.955373999999999</v>
      </c>
      <c r="B205" s="1">
        <f>DATE(2010,6,10) + TIME(22,55,44)</f>
        <v>40339.955370370371</v>
      </c>
      <c r="C205">
        <v>80</v>
      </c>
      <c r="D205">
        <v>79.867523192999997</v>
      </c>
      <c r="E205">
        <v>40</v>
      </c>
      <c r="F205">
        <v>14.998274802999999</v>
      </c>
      <c r="G205">
        <v>1373.6074219</v>
      </c>
      <c r="H205">
        <v>1363.4665527</v>
      </c>
      <c r="I205">
        <v>1277.6793213000001</v>
      </c>
      <c r="J205">
        <v>1250.5158690999999</v>
      </c>
      <c r="K205">
        <v>1650</v>
      </c>
      <c r="L205">
        <v>0</v>
      </c>
      <c r="M205">
        <v>0</v>
      </c>
      <c r="N205">
        <v>1650</v>
      </c>
    </row>
    <row r="206" spans="1:14" x14ac:dyDescent="0.25">
      <c r="A206">
        <v>41.556328999999998</v>
      </c>
      <c r="B206" s="1">
        <f>DATE(2010,6,11) + TIME(13,21,6)</f>
        <v>40340.556319444448</v>
      </c>
      <c r="C206">
        <v>80</v>
      </c>
      <c r="D206">
        <v>79.867607117000006</v>
      </c>
      <c r="E206">
        <v>40</v>
      </c>
      <c r="F206">
        <v>14.998287201</v>
      </c>
      <c r="G206">
        <v>1373.5413818</v>
      </c>
      <c r="H206">
        <v>1363.4050293</v>
      </c>
      <c r="I206">
        <v>1277.6878661999999</v>
      </c>
      <c r="J206">
        <v>1250.5238036999999</v>
      </c>
      <c r="K206">
        <v>1650</v>
      </c>
      <c r="L206">
        <v>0</v>
      </c>
      <c r="M206">
        <v>0</v>
      </c>
      <c r="N206">
        <v>1650</v>
      </c>
    </row>
    <row r="207" spans="1:14" x14ac:dyDescent="0.25">
      <c r="A207">
        <v>42.166072999999997</v>
      </c>
      <c r="B207" s="1">
        <f>DATE(2010,6,12) + TIME(3,59,8)</f>
        <v>40341.166064814817</v>
      </c>
      <c r="C207">
        <v>80</v>
      </c>
      <c r="D207">
        <v>79.867691039999997</v>
      </c>
      <c r="E207">
        <v>40</v>
      </c>
      <c r="F207">
        <v>14.998300552</v>
      </c>
      <c r="G207">
        <v>1373.4753418</v>
      </c>
      <c r="H207">
        <v>1363.3435059000001</v>
      </c>
      <c r="I207">
        <v>1277.6964111</v>
      </c>
      <c r="J207">
        <v>1250.5317382999999</v>
      </c>
      <c r="K207">
        <v>1650</v>
      </c>
      <c r="L207">
        <v>0</v>
      </c>
      <c r="M207">
        <v>0</v>
      </c>
      <c r="N207">
        <v>1650</v>
      </c>
    </row>
    <row r="208" spans="1:14" x14ac:dyDescent="0.25">
      <c r="A208">
        <v>42.785384999999998</v>
      </c>
      <c r="B208" s="1">
        <f>DATE(2010,6,12) + TIME(18,50,57)</f>
        <v>40341.785381944443</v>
      </c>
      <c r="C208">
        <v>80</v>
      </c>
      <c r="D208">
        <v>79.867774963000002</v>
      </c>
      <c r="E208">
        <v>40</v>
      </c>
      <c r="F208">
        <v>14.998312950000001</v>
      </c>
      <c r="G208">
        <v>1373.4091797000001</v>
      </c>
      <c r="H208">
        <v>1363.2821045000001</v>
      </c>
      <c r="I208">
        <v>1277.7052002</v>
      </c>
      <c r="J208">
        <v>1250.5397949000001</v>
      </c>
      <c r="K208">
        <v>1650</v>
      </c>
      <c r="L208">
        <v>0</v>
      </c>
      <c r="M208">
        <v>0</v>
      </c>
      <c r="N208">
        <v>1650</v>
      </c>
    </row>
    <row r="209" spans="1:14" x14ac:dyDescent="0.25">
      <c r="A209">
        <v>43.415320999999999</v>
      </c>
      <c r="B209" s="1">
        <f>DATE(2010,6,13) + TIME(9,58,3)</f>
        <v>40342.415312500001</v>
      </c>
      <c r="C209">
        <v>80</v>
      </c>
      <c r="D209">
        <v>79.867866516000007</v>
      </c>
      <c r="E209">
        <v>40</v>
      </c>
      <c r="F209">
        <v>14.998326302000001</v>
      </c>
      <c r="G209">
        <v>1373.3430175999999</v>
      </c>
      <c r="H209">
        <v>1363.2204589999999</v>
      </c>
      <c r="I209">
        <v>1277.7142334</v>
      </c>
      <c r="J209">
        <v>1250.5480957</v>
      </c>
      <c r="K209">
        <v>1650</v>
      </c>
      <c r="L209">
        <v>0</v>
      </c>
      <c r="M209">
        <v>0</v>
      </c>
      <c r="N209">
        <v>1650</v>
      </c>
    </row>
    <row r="210" spans="1:14" x14ac:dyDescent="0.25">
      <c r="A210">
        <v>44.057229</v>
      </c>
      <c r="B210" s="1">
        <f>DATE(2010,6,14) + TIME(1,22,24)</f>
        <v>40343.057222222225</v>
      </c>
      <c r="C210">
        <v>80</v>
      </c>
      <c r="D210">
        <v>79.867958068999997</v>
      </c>
      <c r="E210">
        <v>40</v>
      </c>
      <c r="F210">
        <v>14.998339653</v>
      </c>
      <c r="G210">
        <v>1373.2766113</v>
      </c>
      <c r="H210">
        <v>1363.1586914</v>
      </c>
      <c r="I210">
        <v>1277.7233887</v>
      </c>
      <c r="J210">
        <v>1250.5566406</v>
      </c>
      <c r="K210">
        <v>1650</v>
      </c>
      <c r="L210">
        <v>0</v>
      </c>
      <c r="M210">
        <v>0</v>
      </c>
      <c r="N210">
        <v>1650</v>
      </c>
    </row>
    <row r="211" spans="1:14" x14ac:dyDescent="0.25">
      <c r="A211">
        <v>44.711055999999999</v>
      </c>
      <c r="B211" s="1">
        <f>DATE(2010,6,14) + TIME(17,3,55)</f>
        <v>40343.711053240739</v>
      </c>
      <c r="C211">
        <v>80</v>
      </c>
      <c r="D211">
        <v>79.868049622000001</v>
      </c>
      <c r="E211">
        <v>40</v>
      </c>
      <c r="F211">
        <v>14.998352050999999</v>
      </c>
      <c r="G211">
        <v>1373.2098389</v>
      </c>
      <c r="H211">
        <v>1363.0966797000001</v>
      </c>
      <c r="I211">
        <v>1277.7327881000001</v>
      </c>
      <c r="J211">
        <v>1250.5653076000001</v>
      </c>
      <c r="K211">
        <v>1650</v>
      </c>
      <c r="L211">
        <v>0</v>
      </c>
      <c r="M211">
        <v>0</v>
      </c>
      <c r="N211">
        <v>1650</v>
      </c>
    </row>
    <row r="212" spans="1:14" x14ac:dyDescent="0.25">
      <c r="A212">
        <v>45.375979999999998</v>
      </c>
      <c r="B212" s="1">
        <f>DATE(2010,6,15) + TIME(9,1,24)</f>
        <v>40344.375972222224</v>
      </c>
      <c r="C212">
        <v>80</v>
      </c>
      <c r="D212">
        <v>79.868148804</v>
      </c>
      <c r="E212">
        <v>40</v>
      </c>
      <c r="F212">
        <v>14.998365401999999</v>
      </c>
      <c r="G212">
        <v>1373.1428223</v>
      </c>
      <c r="H212">
        <v>1363.0344238</v>
      </c>
      <c r="I212">
        <v>1277.7424315999999</v>
      </c>
      <c r="J212">
        <v>1250.5740966999999</v>
      </c>
      <c r="K212">
        <v>1650</v>
      </c>
      <c r="L212">
        <v>0</v>
      </c>
      <c r="M212">
        <v>0</v>
      </c>
      <c r="N212">
        <v>1650</v>
      </c>
    </row>
    <row r="213" spans="1:14" x14ac:dyDescent="0.25">
      <c r="A213">
        <v>45.713099999999997</v>
      </c>
      <c r="B213" s="1">
        <f>DATE(2010,6,15) + TIME(17,6,51)</f>
        <v>40344.713090277779</v>
      </c>
      <c r="C213">
        <v>80</v>
      </c>
      <c r="D213">
        <v>79.868179321</v>
      </c>
      <c r="E213">
        <v>40</v>
      </c>
      <c r="F213">
        <v>14.998373985000001</v>
      </c>
      <c r="G213">
        <v>1373.0749512</v>
      </c>
      <c r="H213">
        <v>1362.9714355000001</v>
      </c>
      <c r="I213">
        <v>1277.7518310999999</v>
      </c>
      <c r="J213">
        <v>1250.5827637</v>
      </c>
      <c r="K213">
        <v>1650</v>
      </c>
      <c r="L213">
        <v>0</v>
      </c>
      <c r="M213">
        <v>0</v>
      </c>
      <c r="N213">
        <v>1650</v>
      </c>
    </row>
    <row r="214" spans="1:14" x14ac:dyDescent="0.25">
      <c r="A214">
        <v>46.050220000000003</v>
      </c>
      <c r="B214" s="1">
        <f>DATE(2010,6,16) + TIME(1,12,19)</f>
        <v>40345.050219907411</v>
      </c>
      <c r="C214">
        <v>80</v>
      </c>
      <c r="D214">
        <v>79.868225097999996</v>
      </c>
      <c r="E214">
        <v>40</v>
      </c>
      <c r="F214">
        <v>14.998381615</v>
      </c>
      <c r="G214">
        <v>1373.0407714999999</v>
      </c>
      <c r="H214">
        <v>1362.9395752</v>
      </c>
      <c r="I214">
        <v>1277.7569579999999</v>
      </c>
      <c r="J214">
        <v>1250.5874022999999</v>
      </c>
      <c r="K214">
        <v>1650</v>
      </c>
      <c r="L214">
        <v>0</v>
      </c>
      <c r="M214">
        <v>0</v>
      </c>
      <c r="N214">
        <v>1650</v>
      </c>
    </row>
    <row r="215" spans="1:14" x14ac:dyDescent="0.25">
      <c r="A215">
        <v>46.387340000000002</v>
      </c>
      <c r="B215" s="1">
        <f>DATE(2010,6,16) + TIME(9,17,46)</f>
        <v>40345.387337962966</v>
      </c>
      <c r="C215">
        <v>80</v>
      </c>
      <c r="D215">
        <v>79.868270874000004</v>
      </c>
      <c r="E215">
        <v>40</v>
      </c>
      <c r="F215">
        <v>14.998389244</v>
      </c>
      <c r="G215">
        <v>1373.0072021000001</v>
      </c>
      <c r="H215">
        <v>1362.9084473</v>
      </c>
      <c r="I215">
        <v>1277.7619629000001</v>
      </c>
      <c r="J215">
        <v>1250.5920410000001</v>
      </c>
      <c r="K215">
        <v>1650</v>
      </c>
      <c r="L215">
        <v>0</v>
      </c>
      <c r="M215">
        <v>0</v>
      </c>
      <c r="N215">
        <v>1650</v>
      </c>
    </row>
    <row r="216" spans="1:14" x14ac:dyDescent="0.25">
      <c r="A216">
        <v>46.724460000000001</v>
      </c>
      <c r="B216" s="1">
        <f>DATE(2010,6,16) + TIME(17,23,13)</f>
        <v>40345.724456018521</v>
      </c>
      <c r="C216">
        <v>80</v>
      </c>
      <c r="D216">
        <v>79.868316649999997</v>
      </c>
      <c r="E216">
        <v>40</v>
      </c>
      <c r="F216">
        <v>14.99839592</v>
      </c>
      <c r="G216">
        <v>1372.9738769999999</v>
      </c>
      <c r="H216">
        <v>1362.8775635</v>
      </c>
      <c r="I216">
        <v>1277.7669678</v>
      </c>
      <c r="J216">
        <v>1250.5966797000001</v>
      </c>
      <c r="K216">
        <v>1650</v>
      </c>
      <c r="L216">
        <v>0</v>
      </c>
      <c r="M216">
        <v>0</v>
      </c>
      <c r="N216">
        <v>1650</v>
      </c>
    </row>
    <row r="217" spans="1:14" x14ac:dyDescent="0.25">
      <c r="A217">
        <v>47.061579999999999</v>
      </c>
      <c r="B217" s="1">
        <f>DATE(2010,6,17) + TIME(1,28,40)</f>
        <v>40346.061574074076</v>
      </c>
      <c r="C217">
        <v>80</v>
      </c>
      <c r="D217">
        <v>79.868362426999994</v>
      </c>
      <c r="E217">
        <v>40</v>
      </c>
      <c r="F217">
        <v>14.998402596</v>
      </c>
      <c r="G217">
        <v>1372.9407959</v>
      </c>
      <c r="H217">
        <v>1362.8468018000001</v>
      </c>
      <c r="I217">
        <v>1277.7720947</v>
      </c>
      <c r="J217">
        <v>1250.6013184000001</v>
      </c>
      <c r="K217">
        <v>1650</v>
      </c>
      <c r="L217">
        <v>0</v>
      </c>
      <c r="M217">
        <v>0</v>
      </c>
      <c r="N217">
        <v>1650</v>
      </c>
    </row>
    <row r="218" spans="1:14" x14ac:dyDescent="0.25">
      <c r="A218">
        <v>47.398699999999998</v>
      </c>
      <c r="B218" s="1">
        <f>DATE(2010,6,17) + TIME(9,34,7)</f>
        <v>40346.398692129631</v>
      </c>
      <c r="C218">
        <v>80</v>
      </c>
      <c r="D218">
        <v>79.868408203000001</v>
      </c>
      <c r="E218">
        <v>40</v>
      </c>
      <c r="F218">
        <v>14.998410225000001</v>
      </c>
      <c r="G218">
        <v>1372.9078368999999</v>
      </c>
      <c r="H218">
        <v>1362.8162841999999</v>
      </c>
      <c r="I218">
        <v>1277.7770995999999</v>
      </c>
      <c r="J218">
        <v>1250.6060791</v>
      </c>
      <c r="K218">
        <v>1650</v>
      </c>
      <c r="L218">
        <v>0</v>
      </c>
      <c r="M218">
        <v>0</v>
      </c>
      <c r="N218">
        <v>1650</v>
      </c>
    </row>
    <row r="219" spans="1:14" x14ac:dyDescent="0.25">
      <c r="A219">
        <v>47.735819999999997</v>
      </c>
      <c r="B219" s="1">
        <f>DATE(2010,6,17) + TIME(17,39,34)</f>
        <v>40346.735810185186</v>
      </c>
      <c r="C219">
        <v>80</v>
      </c>
      <c r="D219">
        <v>79.868453978999995</v>
      </c>
      <c r="E219">
        <v>40</v>
      </c>
      <c r="F219">
        <v>14.998416901000001</v>
      </c>
      <c r="G219">
        <v>1372.8752440999999</v>
      </c>
      <c r="H219">
        <v>1362.7860106999999</v>
      </c>
      <c r="I219">
        <v>1277.7822266000001</v>
      </c>
      <c r="J219">
        <v>1250.6107178</v>
      </c>
      <c r="K219">
        <v>1650</v>
      </c>
      <c r="L219">
        <v>0</v>
      </c>
      <c r="M219">
        <v>0</v>
      </c>
      <c r="N219">
        <v>1650</v>
      </c>
    </row>
    <row r="220" spans="1:14" x14ac:dyDescent="0.25">
      <c r="A220">
        <v>48.410060000000001</v>
      </c>
      <c r="B220" s="1">
        <f>DATE(2010,6,18) + TIME(9,50,29)</f>
        <v>40347.410057870373</v>
      </c>
      <c r="C220">
        <v>80</v>
      </c>
      <c r="D220">
        <v>79.868568420000003</v>
      </c>
      <c r="E220">
        <v>40</v>
      </c>
      <c r="F220">
        <v>14.998427391</v>
      </c>
      <c r="G220">
        <v>1372.8435059000001</v>
      </c>
      <c r="H220">
        <v>1362.7567139</v>
      </c>
      <c r="I220">
        <v>1277.7875977000001</v>
      </c>
      <c r="J220">
        <v>1250.6157227000001</v>
      </c>
      <c r="K220">
        <v>1650</v>
      </c>
      <c r="L220">
        <v>0</v>
      </c>
      <c r="M220">
        <v>0</v>
      </c>
      <c r="N220">
        <v>1650</v>
      </c>
    </row>
    <row r="221" spans="1:14" x14ac:dyDescent="0.25">
      <c r="A221">
        <v>49.084344999999999</v>
      </c>
      <c r="B221" s="1">
        <f>DATE(2010,6,19) + TIME(2,1,27)</f>
        <v>40348.084340277775</v>
      </c>
      <c r="C221">
        <v>80</v>
      </c>
      <c r="D221">
        <v>79.868667603000006</v>
      </c>
      <c r="E221">
        <v>40</v>
      </c>
      <c r="F221">
        <v>14.998438835</v>
      </c>
      <c r="G221">
        <v>1372.7795410000001</v>
      </c>
      <c r="H221">
        <v>1362.6975098</v>
      </c>
      <c r="I221">
        <v>1277.7977295000001</v>
      </c>
      <c r="J221">
        <v>1250.6251221</v>
      </c>
      <c r="K221">
        <v>1650</v>
      </c>
      <c r="L221">
        <v>0</v>
      </c>
      <c r="M221">
        <v>0</v>
      </c>
      <c r="N221">
        <v>1650</v>
      </c>
    </row>
    <row r="222" spans="1:14" x14ac:dyDescent="0.25">
      <c r="A222">
        <v>49.762383</v>
      </c>
      <c r="B222" s="1">
        <f>DATE(2010,6,19) + TIME(18,17,49)</f>
        <v>40348.762372685182</v>
      </c>
      <c r="C222">
        <v>80</v>
      </c>
      <c r="D222">
        <v>79.868766785000005</v>
      </c>
      <c r="E222">
        <v>40</v>
      </c>
      <c r="F222">
        <v>14.998450279</v>
      </c>
      <c r="G222">
        <v>1372.7161865</v>
      </c>
      <c r="H222">
        <v>1362.6389160000001</v>
      </c>
      <c r="I222">
        <v>1277.8079834</v>
      </c>
      <c r="J222">
        <v>1250.6345214999999</v>
      </c>
      <c r="K222">
        <v>1650</v>
      </c>
      <c r="L222">
        <v>0</v>
      </c>
      <c r="M222">
        <v>0</v>
      </c>
      <c r="N222">
        <v>1650</v>
      </c>
    </row>
    <row r="223" spans="1:14" x14ac:dyDescent="0.25">
      <c r="A223">
        <v>50.445188999999999</v>
      </c>
      <c r="B223" s="1">
        <f>DATE(2010,6,20) + TIME(10,41,4)</f>
        <v>40349.445185185185</v>
      </c>
      <c r="C223">
        <v>80</v>
      </c>
      <c r="D223">
        <v>79.868865967000005</v>
      </c>
      <c r="E223">
        <v>40</v>
      </c>
      <c r="F223">
        <v>14.998462676999999</v>
      </c>
      <c r="G223">
        <v>1372.6533202999999</v>
      </c>
      <c r="H223">
        <v>1362.5806885</v>
      </c>
      <c r="I223">
        <v>1277.8183594</v>
      </c>
      <c r="J223">
        <v>1250.644043</v>
      </c>
      <c r="K223">
        <v>1650</v>
      </c>
      <c r="L223">
        <v>0</v>
      </c>
      <c r="M223">
        <v>0</v>
      </c>
      <c r="N223">
        <v>1650</v>
      </c>
    </row>
    <row r="224" spans="1:14" x14ac:dyDescent="0.25">
      <c r="A224">
        <v>51.133800999999998</v>
      </c>
      <c r="B224" s="1">
        <f>DATE(2010,6,21) + TIME(3,12,40)</f>
        <v>40350.133796296293</v>
      </c>
      <c r="C224">
        <v>80</v>
      </c>
      <c r="D224">
        <v>79.868965149000005</v>
      </c>
      <c r="E224">
        <v>40</v>
      </c>
      <c r="F224">
        <v>14.998475075</v>
      </c>
      <c r="G224">
        <v>1372.5908202999999</v>
      </c>
      <c r="H224">
        <v>1362.5228271000001</v>
      </c>
      <c r="I224">
        <v>1277.8288574000001</v>
      </c>
      <c r="J224">
        <v>1250.6535644999999</v>
      </c>
      <c r="K224">
        <v>1650</v>
      </c>
      <c r="L224">
        <v>0</v>
      </c>
      <c r="M224">
        <v>0</v>
      </c>
      <c r="N224">
        <v>1650</v>
      </c>
    </row>
    <row r="225" spans="1:14" x14ac:dyDescent="0.25">
      <c r="A225">
        <v>51.829275000000003</v>
      </c>
      <c r="B225" s="1">
        <f>DATE(2010,6,21) + TIME(19,54,9)</f>
        <v>40350.829270833332</v>
      </c>
      <c r="C225">
        <v>80</v>
      </c>
      <c r="D225">
        <v>79.869071959999999</v>
      </c>
      <c r="E225">
        <v>40</v>
      </c>
      <c r="F225">
        <v>14.998486519</v>
      </c>
      <c r="G225">
        <v>1372.5285644999999</v>
      </c>
      <c r="H225">
        <v>1362.465332</v>
      </c>
      <c r="I225">
        <v>1277.8394774999999</v>
      </c>
      <c r="J225">
        <v>1250.6633300999999</v>
      </c>
      <c r="K225">
        <v>1650</v>
      </c>
      <c r="L225">
        <v>0</v>
      </c>
      <c r="M225">
        <v>0</v>
      </c>
      <c r="N225">
        <v>1650</v>
      </c>
    </row>
    <row r="226" spans="1:14" x14ac:dyDescent="0.25">
      <c r="A226">
        <v>52.532707000000002</v>
      </c>
      <c r="B226" s="1">
        <f>DATE(2010,6,22) + TIME(12,47,5)</f>
        <v>40351.532696759263</v>
      </c>
      <c r="C226">
        <v>80</v>
      </c>
      <c r="D226">
        <v>79.869171143000003</v>
      </c>
      <c r="E226">
        <v>40</v>
      </c>
      <c r="F226">
        <v>14.998498916999999</v>
      </c>
      <c r="G226">
        <v>1372.4664307</v>
      </c>
      <c r="H226">
        <v>1362.4079589999999</v>
      </c>
      <c r="I226">
        <v>1277.8503418</v>
      </c>
      <c r="J226">
        <v>1250.6733397999999</v>
      </c>
      <c r="K226">
        <v>1650</v>
      </c>
      <c r="L226">
        <v>0</v>
      </c>
      <c r="M226">
        <v>0</v>
      </c>
      <c r="N226">
        <v>1650</v>
      </c>
    </row>
    <row r="227" spans="1:14" x14ac:dyDescent="0.25">
      <c r="A227">
        <v>53.245328999999998</v>
      </c>
      <c r="B227" s="1">
        <f>DATE(2010,6,23) + TIME(5,53,16)</f>
        <v>40352.245324074072</v>
      </c>
      <c r="C227">
        <v>80</v>
      </c>
      <c r="D227">
        <v>79.869277953999998</v>
      </c>
      <c r="E227">
        <v>40</v>
      </c>
      <c r="F227">
        <v>14.998511314</v>
      </c>
      <c r="G227">
        <v>1372.4044189000001</v>
      </c>
      <c r="H227">
        <v>1362.3507079999999</v>
      </c>
      <c r="I227">
        <v>1277.8613281</v>
      </c>
      <c r="J227">
        <v>1250.6833495999999</v>
      </c>
      <c r="K227">
        <v>1650</v>
      </c>
      <c r="L227">
        <v>0</v>
      </c>
      <c r="M227">
        <v>0</v>
      </c>
      <c r="N227">
        <v>1650</v>
      </c>
    </row>
    <row r="228" spans="1:14" x14ac:dyDescent="0.25">
      <c r="A228">
        <v>53.968499000000001</v>
      </c>
      <c r="B228" s="1">
        <f>DATE(2010,6,23) + TIME(23,14,38)</f>
        <v>40352.968495370369</v>
      </c>
      <c r="C228">
        <v>80</v>
      </c>
      <c r="D228">
        <v>79.869377135999997</v>
      </c>
      <c r="E228">
        <v>40</v>
      </c>
      <c r="F228">
        <v>14.998523712000001</v>
      </c>
      <c r="G228">
        <v>1372.3422852000001</v>
      </c>
      <c r="H228">
        <v>1362.293457</v>
      </c>
      <c r="I228">
        <v>1277.8724365</v>
      </c>
      <c r="J228">
        <v>1250.6936035000001</v>
      </c>
      <c r="K228">
        <v>1650</v>
      </c>
      <c r="L228">
        <v>0</v>
      </c>
      <c r="M228">
        <v>0</v>
      </c>
      <c r="N228">
        <v>1650</v>
      </c>
    </row>
    <row r="229" spans="1:14" x14ac:dyDescent="0.25">
      <c r="A229">
        <v>54.703163000000004</v>
      </c>
      <c r="B229" s="1">
        <f>DATE(2010,6,24) + TIME(16,52,33)</f>
        <v>40353.703159722223</v>
      </c>
      <c r="C229">
        <v>80</v>
      </c>
      <c r="D229">
        <v>79.869483947999996</v>
      </c>
      <c r="E229">
        <v>40</v>
      </c>
      <c r="F229">
        <v>14.99853611</v>
      </c>
      <c r="G229">
        <v>1372.2801514</v>
      </c>
      <c r="H229">
        <v>1362.2360839999999</v>
      </c>
      <c r="I229">
        <v>1277.8839111</v>
      </c>
      <c r="J229">
        <v>1250.7041016000001</v>
      </c>
      <c r="K229">
        <v>1650</v>
      </c>
      <c r="L229">
        <v>0</v>
      </c>
      <c r="M229">
        <v>0</v>
      </c>
      <c r="N229">
        <v>1650</v>
      </c>
    </row>
    <row r="230" spans="1:14" x14ac:dyDescent="0.25">
      <c r="A230">
        <v>55.450665999999998</v>
      </c>
      <c r="B230" s="1">
        <f>DATE(2010,6,25) + TIME(10,48,57)</f>
        <v>40354.450659722221</v>
      </c>
      <c r="C230">
        <v>80</v>
      </c>
      <c r="D230">
        <v>79.869598389000004</v>
      </c>
      <c r="E230">
        <v>40</v>
      </c>
      <c r="F230">
        <v>14.998549461</v>
      </c>
      <c r="G230">
        <v>1372.2177733999999</v>
      </c>
      <c r="H230">
        <v>1362.1785889</v>
      </c>
      <c r="I230">
        <v>1277.8956298999999</v>
      </c>
      <c r="J230">
        <v>1250.7148437999999</v>
      </c>
      <c r="K230">
        <v>1650</v>
      </c>
      <c r="L230">
        <v>0</v>
      </c>
      <c r="M230">
        <v>0</v>
      </c>
      <c r="N230">
        <v>1650</v>
      </c>
    </row>
    <row r="231" spans="1:14" x14ac:dyDescent="0.25">
      <c r="A231">
        <v>56.212764999999997</v>
      </c>
      <c r="B231" s="1">
        <f>DATE(2010,6,26) + TIME(5,6,22)</f>
        <v>40355.212754629632</v>
      </c>
      <c r="C231">
        <v>80</v>
      </c>
      <c r="D231">
        <v>79.869705199999999</v>
      </c>
      <c r="E231">
        <v>40</v>
      </c>
      <c r="F231">
        <v>14.998561859</v>
      </c>
      <c r="G231">
        <v>1372.1550293</v>
      </c>
      <c r="H231">
        <v>1362.1207274999999</v>
      </c>
      <c r="I231">
        <v>1277.9075928</v>
      </c>
      <c r="J231">
        <v>1250.7257079999999</v>
      </c>
      <c r="K231">
        <v>1650</v>
      </c>
      <c r="L231">
        <v>0</v>
      </c>
      <c r="M231">
        <v>0</v>
      </c>
      <c r="N231">
        <v>1650</v>
      </c>
    </row>
    <row r="232" spans="1:14" x14ac:dyDescent="0.25">
      <c r="A232">
        <v>56.988061999999999</v>
      </c>
      <c r="B232" s="1">
        <f>DATE(2010,6,26) + TIME(23,42,48)</f>
        <v>40355.988055555557</v>
      </c>
      <c r="C232">
        <v>80</v>
      </c>
      <c r="D232">
        <v>79.869819641000007</v>
      </c>
      <c r="E232">
        <v>40</v>
      </c>
      <c r="F232">
        <v>14.998574257</v>
      </c>
      <c r="G232">
        <v>1372.0919189000001</v>
      </c>
      <c r="H232">
        <v>1362.0626221</v>
      </c>
      <c r="I232">
        <v>1277.9197998</v>
      </c>
      <c r="J232">
        <v>1250.7369385</v>
      </c>
      <c r="K232">
        <v>1650</v>
      </c>
      <c r="L232">
        <v>0</v>
      </c>
      <c r="M232">
        <v>0</v>
      </c>
      <c r="N232">
        <v>1650</v>
      </c>
    </row>
    <row r="233" spans="1:14" x14ac:dyDescent="0.25">
      <c r="A233">
        <v>57.377170999999997</v>
      </c>
      <c r="B233" s="1">
        <f>DATE(2010,6,27) + TIME(9,3,7)</f>
        <v>40356.377164351848</v>
      </c>
      <c r="C233">
        <v>80</v>
      </c>
      <c r="D233">
        <v>79.869865417</v>
      </c>
      <c r="E233">
        <v>40</v>
      </c>
      <c r="F233">
        <v>14.998582839999999</v>
      </c>
      <c r="G233">
        <v>1372.0280762</v>
      </c>
      <c r="H233">
        <v>1362.0036620999999</v>
      </c>
      <c r="I233">
        <v>1277.9320068</v>
      </c>
      <c r="J233">
        <v>1250.7480469</v>
      </c>
      <c r="K233">
        <v>1650</v>
      </c>
      <c r="L233">
        <v>0</v>
      </c>
      <c r="M233">
        <v>0</v>
      </c>
      <c r="N233">
        <v>1650</v>
      </c>
    </row>
    <row r="234" spans="1:14" x14ac:dyDescent="0.25">
      <c r="A234">
        <v>57.766280999999999</v>
      </c>
      <c r="B234" s="1">
        <f>DATE(2010,6,27) + TIME(18,23,26)</f>
        <v>40356.766273148147</v>
      </c>
      <c r="C234">
        <v>80</v>
      </c>
      <c r="D234">
        <v>79.869918823000006</v>
      </c>
      <c r="E234">
        <v>40</v>
      </c>
      <c r="F234">
        <v>14.998590469</v>
      </c>
      <c r="G234">
        <v>1371.9960937999999</v>
      </c>
      <c r="H234">
        <v>1361.9742432</v>
      </c>
      <c r="I234">
        <v>1277.9384766000001</v>
      </c>
      <c r="J234">
        <v>1250.7539062000001</v>
      </c>
      <c r="K234">
        <v>1650</v>
      </c>
      <c r="L234">
        <v>0</v>
      </c>
      <c r="M234">
        <v>0</v>
      </c>
      <c r="N234">
        <v>1650</v>
      </c>
    </row>
    <row r="235" spans="1:14" x14ac:dyDescent="0.25">
      <c r="A235">
        <v>58.155391000000002</v>
      </c>
      <c r="B235" s="1">
        <f>DATE(2010,6,28) + TIME(3,43,45)</f>
        <v>40357.155381944445</v>
      </c>
      <c r="C235">
        <v>80</v>
      </c>
      <c r="D235">
        <v>79.869972228999998</v>
      </c>
      <c r="E235">
        <v>40</v>
      </c>
      <c r="F235">
        <v>14.998598099000001</v>
      </c>
      <c r="G235">
        <v>1371.9647216999999</v>
      </c>
      <c r="H235">
        <v>1361.9453125</v>
      </c>
      <c r="I235">
        <v>1277.9448242000001</v>
      </c>
      <c r="J235">
        <v>1250.7597656</v>
      </c>
      <c r="K235">
        <v>1650</v>
      </c>
      <c r="L235">
        <v>0</v>
      </c>
      <c r="M235">
        <v>0</v>
      </c>
      <c r="N235">
        <v>1650</v>
      </c>
    </row>
    <row r="236" spans="1:14" x14ac:dyDescent="0.25">
      <c r="A236">
        <v>58.544499999999999</v>
      </c>
      <c r="B236" s="1">
        <f>DATE(2010,6,28) + TIME(13,4,4)</f>
        <v>40357.544490740744</v>
      </c>
      <c r="C236">
        <v>80</v>
      </c>
      <c r="D236">
        <v>79.870025635000005</v>
      </c>
      <c r="E236">
        <v>40</v>
      </c>
      <c r="F236">
        <v>14.998604774</v>
      </c>
      <c r="G236">
        <v>1371.9335937999999</v>
      </c>
      <c r="H236">
        <v>1361.916626</v>
      </c>
      <c r="I236">
        <v>1277.9511719</v>
      </c>
      <c r="J236">
        <v>1250.765625</v>
      </c>
      <c r="K236">
        <v>1650</v>
      </c>
      <c r="L236">
        <v>0</v>
      </c>
      <c r="M236">
        <v>0</v>
      </c>
      <c r="N236">
        <v>1650</v>
      </c>
    </row>
    <row r="237" spans="1:14" x14ac:dyDescent="0.25">
      <c r="A237">
        <v>58.933610000000002</v>
      </c>
      <c r="B237" s="1">
        <f>DATE(2010,6,28) + TIME(22,24,23)</f>
        <v>40357.933599537035</v>
      </c>
      <c r="C237">
        <v>80</v>
      </c>
      <c r="D237">
        <v>79.870079040999997</v>
      </c>
      <c r="E237">
        <v>40</v>
      </c>
      <c r="F237">
        <v>14.99861145</v>
      </c>
      <c r="G237">
        <v>1371.9025879000001</v>
      </c>
      <c r="H237">
        <v>1361.8880615</v>
      </c>
      <c r="I237">
        <v>1277.9576416</v>
      </c>
      <c r="J237">
        <v>1250.7714844</v>
      </c>
      <c r="K237">
        <v>1650</v>
      </c>
      <c r="L237">
        <v>0</v>
      </c>
      <c r="M237">
        <v>0</v>
      </c>
      <c r="N237">
        <v>1650</v>
      </c>
    </row>
    <row r="238" spans="1:14" x14ac:dyDescent="0.25">
      <c r="A238">
        <v>59.322719999999997</v>
      </c>
      <c r="B238" s="1">
        <f>DATE(2010,6,29) + TIME(7,44,42)</f>
        <v>40358.322708333333</v>
      </c>
      <c r="C238">
        <v>80</v>
      </c>
      <c r="D238">
        <v>79.870132446</v>
      </c>
      <c r="E238">
        <v>40</v>
      </c>
      <c r="F238">
        <v>14.998618126</v>
      </c>
      <c r="G238">
        <v>1371.8718262</v>
      </c>
      <c r="H238">
        <v>1361.8597411999999</v>
      </c>
      <c r="I238">
        <v>1277.9641113</v>
      </c>
      <c r="J238">
        <v>1250.7773437999999</v>
      </c>
      <c r="K238">
        <v>1650</v>
      </c>
      <c r="L238">
        <v>0</v>
      </c>
      <c r="M238">
        <v>0</v>
      </c>
      <c r="N238">
        <v>1650</v>
      </c>
    </row>
    <row r="239" spans="1:14" x14ac:dyDescent="0.25">
      <c r="A239">
        <v>60.100938999999997</v>
      </c>
      <c r="B239" s="1">
        <f>DATE(2010,6,30) + TIME(2,25,21)</f>
        <v>40359.100937499999</v>
      </c>
      <c r="C239">
        <v>80</v>
      </c>
      <c r="D239">
        <v>79.870262146000002</v>
      </c>
      <c r="E239">
        <v>40</v>
      </c>
      <c r="F239">
        <v>14.998628616</v>
      </c>
      <c r="G239">
        <v>1371.8419189000001</v>
      </c>
      <c r="H239">
        <v>1361.8322754000001</v>
      </c>
      <c r="I239">
        <v>1277.9709473</v>
      </c>
      <c r="J239">
        <v>1250.7835693</v>
      </c>
      <c r="K239">
        <v>1650</v>
      </c>
      <c r="L239">
        <v>0</v>
      </c>
      <c r="M239">
        <v>0</v>
      </c>
      <c r="N239">
        <v>1650</v>
      </c>
    </row>
    <row r="240" spans="1:14" x14ac:dyDescent="0.25">
      <c r="A240">
        <v>60.879294000000002</v>
      </c>
      <c r="B240" s="1">
        <f>DATE(2010,6,30) + TIME(21,6,11)</f>
        <v>40359.879293981481</v>
      </c>
      <c r="C240">
        <v>80</v>
      </c>
      <c r="D240">
        <v>79.870384216000005</v>
      </c>
      <c r="E240">
        <v>40</v>
      </c>
      <c r="F240">
        <v>14.99864006</v>
      </c>
      <c r="G240">
        <v>1371.7814940999999</v>
      </c>
      <c r="H240">
        <v>1361.7767334</v>
      </c>
      <c r="I240">
        <v>1277.9837646000001</v>
      </c>
      <c r="J240">
        <v>1250.7954102000001</v>
      </c>
      <c r="K240">
        <v>1650</v>
      </c>
      <c r="L240">
        <v>0</v>
      </c>
      <c r="M240">
        <v>0</v>
      </c>
      <c r="N240">
        <v>1650</v>
      </c>
    </row>
    <row r="241" spans="1:14" x14ac:dyDescent="0.25">
      <c r="A241">
        <v>61</v>
      </c>
      <c r="B241" s="1">
        <f>DATE(2010,7,1) + TIME(0,0,0)</f>
        <v>40360</v>
      </c>
      <c r="C241">
        <v>80</v>
      </c>
      <c r="D241">
        <v>79.870391846000004</v>
      </c>
      <c r="E241">
        <v>40</v>
      </c>
      <c r="F241">
        <v>14.998643875000001</v>
      </c>
      <c r="G241">
        <v>1371.7224120999999</v>
      </c>
      <c r="H241">
        <v>1361.7224120999999</v>
      </c>
      <c r="I241">
        <v>1277.9957274999999</v>
      </c>
      <c r="J241">
        <v>1250.8061522999999</v>
      </c>
      <c r="K241">
        <v>1650</v>
      </c>
      <c r="L241">
        <v>0</v>
      </c>
      <c r="M241">
        <v>0</v>
      </c>
      <c r="N241">
        <v>1650</v>
      </c>
    </row>
    <row r="242" spans="1:14" x14ac:dyDescent="0.25">
      <c r="A242">
        <v>61.782577000000003</v>
      </c>
      <c r="B242" s="1">
        <f>DATE(2010,7,1) + TIME(18,46,54)</f>
        <v>40360.782569444447</v>
      </c>
      <c r="C242">
        <v>80</v>
      </c>
      <c r="D242">
        <v>79.870521545000003</v>
      </c>
      <c r="E242">
        <v>40</v>
      </c>
      <c r="F242">
        <v>14.998654366</v>
      </c>
      <c r="G242">
        <v>1371.7121582</v>
      </c>
      <c r="H242">
        <v>1361.7128906</v>
      </c>
      <c r="I242">
        <v>1277.9989014</v>
      </c>
      <c r="J242">
        <v>1250.8092041</v>
      </c>
      <c r="K242">
        <v>1650</v>
      </c>
      <c r="L242">
        <v>0</v>
      </c>
      <c r="M242">
        <v>0</v>
      </c>
      <c r="N242">
        <v>1650</v>
      </c>
    </row>
    <row r="243" spans="1:14" x14ac:dyDescent="0.25">
      <c r="A243">
        <v>62.571547000000002</v>
      </c>
      <c r="B243" s="1">
        <f>DATE(2010,7,2) + TIME(13,43,1)</f>
        <v>40361.571539351855</v>
      </c>
      <c r="C243">
        <v>80</v>
      </c>
      <c r="D243">
        <v>79.870635985999996</v>
      </c>
      <c r="E243">
        <v>40</v>
      </c>
      <c r="F243">
        <v>14.99866581</v>
      </c>
      <c r="G243">
        <v>1371.6530762</v>
      </c>
      <c r="H243">
        <v>1361.6585693</v>
      </c>
      <c r="I243">
        <v>1278.0120850000001</v>
      </c>
      <c r="J243">
        <v>1250.8211670000001</v>
      </c>
      <c r="K243">
        <v>1650</v>
      </c>
      <c r="L243">
        <v>0</v>
      </c>
      <c r="M243">
        <v>0</v>
      </c>
      <c r="N243">
        <v>1650</v>
      </c>
    </row>
    <row r="244" spans="1:14" x14ac:dyDescent="0.25">
      <c r="A244">
        <v>63.367289999999997</v>
      </c>
      <c r="B244" s="1">
        <f>DATE(2010,7,3) + TIME(8,48,53)</f>
        <v>40362.367280092592</v>
      </c>
      <c r="C244">
        <v>80</v>
      </c>
      <c r="D244">
        <v>79.870758057000003</v>
      </c>
      <c r="E244">
        <v>40</v>
      </c>
      <c r="F244">
        <v>14.998678206999999</v>
      </c>
      <c r="G244">
        <v>1371.5938721</v>
      </c>
      <c r="H244">
        <v>1361.604126</v>
      </c>
      <c r="I244">
        <v>1278.0255127</v>
      </c>
      <c r="J244">
        <v>1250.833374</v>
      </c>
      <c r="K244">
        <v>1650</v>
      </c>
      <c r="L244">
        <v>0</v>
      </c>
      <c r="M244">
        <v>0</v>
      </c>
      <c r="N244">
        <v>1650</v>
      </c>
    </row>
    <row r="245" spans="1:14" x14ac:dyDescent="0.25">
      <c r="A245">
        <v>64.171071999999995</v>
      </c>
      <c r="B245" s="1">
        <f>DATE(2010,7,4) + TIME(4,6,20)</f>
        <v>40363.171064814815</v>
      </c>
      <c r="C245">
        <v>80</v>
      </c>
      <c r="D245">
        <v>79.870872497999997</v>
      </c>
      <c r="E245">
        <v>40</v>
      </c>
      <c r="F245">
        <v>14.998690605</v>
      </c>
      <c r="G245">
        <v>1371.5347899999999</v>
      </c>
      <c r="H245">
        <v>1361.5499268000001</v>
      </c>
      <c r="I245">
        <v>1278.0390625</v>
      </c>
      <c r="J245">
        <v>1250.8458252</v>
      </c>
      <c r="K245">
        <v>1650</v>
      </c>
      <c r="L245">
        <v>0</v>
      </c>
      <c r="M245">
        <v>0</v>
      </c>
      <c r="N245">
        <v>1650</v>
      </c>
    </row>
    <row r="246" spans="1:14" x14ac:dyDescent="0.25">
      <c r="A246">
        <v>64.984191999999993</v>
      </c>
      <c r="B246" s="1">
        <f>DATE(2010,7,4) + TIME(23,37,14)</f>
        <v>40363.984189814815</v>
      </c>
      <c r="C246">
        <v>80</v>
      </c>
      <c r="D246">
        <v>79.870994568</v>
      </c>
      <c r="E246">
        <v>40</v>
      </c>
      <c r="F246">
        <v>14.998703002999999</v>
      </c>
      <c r="G246">
        <v>1371.4759521000001</v>
      </c>
      <c r="H246">
        <v>1361.4958495999999</v>
      </c>
      <c r="I246">
        <v>1278.0529785000001</v>
      </c>
      <c r="J246">
        <v>1250.8583983999999</v>
      </c>
      <c r="K246">
        <v>1650</v>
      </c>
      <c r="L246">
        <v>0</v>
      </c>
      <c r="M246">
        <v>0</v>
      </c>
      <c r="N246">
        <v>1650</v>
      </c>
    </row>
    <row r="247" spans="1:14" x14ac:dyDescent="0.25">
      <c r="A247">
        <v>65.808372000000006</v>
      </c>
      <c r="B247" s="1">
        <f>DATE(2010,7,5) + TIME(19,24,3)</f>
        <v>40364.808368055557</v>
      </c>
      <c r="C247">
        <v>80</v>
      </c>
      <c r="D247">
        <v>79.871116638000004</v>
      </c>
      <c r="E247">
        <v>40</v>
      </c>
      <c r="F247">
        <v>14.998715401</v>
      </c>
      <c r="G247">
        <v>1371.4169922000001</v>
      </c>
      <c r="H247">
        <v>1361.4417725000001</v>
      </c>
      <c r="I247">
        <v>1278.0671387</v>
      </c>
      <c r="J247">
        <v>1250.8712158000001</v>
      </c>
      <c r="K247">
        <v>1650</v>
      </c>
      <c r="L247">
        <v>0</v>
      </c>
      <c r="M247">
        <v>0</v>
      </c>
      <c r="N247">
        <v>1650</v>
      </c>
    </row>
    <row r="248" spans="1:14" x14ac:dyDescent="0.25">
      <c r="A248">
        <v>66.644718999999995</v>
      </c>
      <c r="B248" s="1">
        <f>DATE(2010,7,6) + TIME(15,28,23)</f>
        <v>40365.64471064815</v>
      </c>
      <c r="C248">
        <v>80</v>
      </c>
      <c r="D248">
        <v>79.871246338000006</v>
      </c>
      <c r="E248">
        <v>40</v>
      </c>
      <c r="F248">
        <v>14.998727798000001</v>
      </c>
      <c r="G248">
        <v>1371.3580322</v>
      </c>
      <c r="H248">
        <v>1361.3875731999999</v>
      </c>
      <c r="I248">
        <v>1278.081543</v>
      </c>
      <c r="J248">
        <v>1250.8842772999999</v>
      </c>
      <c r="K248">
        <v>1650</v>
      </c>
      <c r="L248">
        <v>0</v>
      </c>
      <c r="M248">
        <v>0</v>
      </c>
      <c r="N248">
        <v>1650</v>
      </c>
    </row>
    <row r="249" spans="1:14" x14ac:dyDescent="0.25">
      <c r="A249">
        <v>67.494611000000006</v>
      </c>
      <c r="B249" s="1">
        <f>DATE(2010,7,7) + TIME(11,52,14)</f>
        <v>40366.494606481479</v>
      </c>
      <c r="C249">
        <v>80</v>
      </c>
      <c r="D249">
        <v>79.871368407999995</v>
      </c>
      <c r="E249">
        <v>40</v>
      </c>
      <c r="F249">
        <v>14.998741150000001</v>
      </c>
      <c r="G249">
        <v>1371.2987060999999</v>
      </c>
      <c r="H249">
        <v>1361.3332519999999</v>
      </c>
      <c r="I249">
        <v>1278.0963135</v>
      </c>
      <c r="J249">
        <v>1250.8977050999999</v>
      </c>
      <c r="K249">
        <v>1650</v>
      </c>
      <c r="L249">
        <v>0</v>
      </c>
      <c r="M249">
        <v>0</v>
      </c>
      <c r="N249">
        <v>1650</v>
      </c>
    </row>
    <row r="250" spans="1:14" x14ac:dyDescent="0.25">
      <c r="A250">
        <v>68.352384000000001</v>
      </c>
      <c r="B250" s="1">
        <f>DATE(2010,7,8) + TIME(8,27,25)</f>
        <v>40367.352372685185</v>
      </c>
      <c r="C250">
        <v>80</v>
      </c>
      <c r="D250">
        <v>79.871498107999997</v>
      </c>
      <c r="E250">
        <v>40</v>
      </c>
      <c r="F250">
        <v>14.998753548</v>
      </c>
      <c r="G250">
        <v>1371.2392577999999</v>
      </c>
      <c r="H250">
        <v>1361.2786865</v>
      </c>
      <c r="I250">
        <v>1278.1114502</v>
      </c>
      <c r="J250">
        <v>1250.9113769999999</v>
      </c>
      <c r="K250">
        <v>1650</v>
      </c>
      <c r="L250">
        <v>0</v>
      </c>
      <c r="M250">
        <v>0</v>
      </c>
      <c r="N250">
        <v>1650</v>
      </c>
    </row>
    <row r="251" spans="1:14" x14ac:dyDescent="0.25">
      <c r="A251">
        <v>69.218372000000002</v>
      </c>
      <c r="B251" s="1">
        <f>DATE(2010,7,9) + TIME(5,14,27)</f>
        <v>40368.218368055554</v>
      </c>
      <c r="C251">
        <v>80</v>
      </c>
      <c r="D251">
        <v>79.871627808</v>
      </c>
      <c r="E251">
        <v>40</v>
      </c>
      <c r="F251">
        <v>14.998766899</v>
      </c>
      <c r="G251">
        <v>1371.1799315999999</v>
      </c>
      <c r="H251">
        <v>1361.2242432</v>
      </c>
      <c r="I251">
        <v>1278.1268310999999</v>
      </c>
      <c r="J251">
        <v>1250.925293</v>
      </c>
      <c r="K251">
        <v>1650</v>
      </c>
      <c r="L251">
        <v>0</v>
      </c>
      <c r="M251">
        <v>0</v>
      </c>
      <c r="N251">
        <v>1650</v>
      </c>
    </row>
    <row r="252" spans="1:14" x14ac:dyDescent="0.25">
      <c r="A252">
        <v>70.093926999999994</v>
      </c>
      <c r="B252" s="1">
        <f>DATE(2010,7,10) + TIME(2,15,15)</f>
        <v>40369.093923611108</v>
      </c>
      <c r="C252">
        <v>80</v>
      </c>
      <c r="D252">
        <v>79.871757506999998</v>
      </c>
      <c r="E252">
        <v>40</v>
      </c>
      <c r="F252">
        <v>14.998781204</v>
      </c>
      <c r="G252">
        <v>1371.1206055</v>
      </c>
      <c r="H252">
        <v>1361.1699219</v>
      </c>
      <c r="I252">
        <v>1278.1424560999999</v>
      </c>
      <c r="J252">
        <v>1250.9394531</v>
      </c>
      <c r="K252">
        <v>1650</v>
      </c>
      <c r="L252">
        <v>0</v>
      </c>
      <c r="M252">
        <v>0</v>
      </c>
      <c r="N252">
        <v>1650</v>
      </c>
    </row>
    <row r="253" spans="1:14" x14ac:dyDescent="0.25">
      <c r="A253">
        <v>70.975260000000006</v>
      </c>
      <c r="B253" s="1">
        <f>DATE(2010,7,10) + TIME(23,24,22)</f>
        <v>40369.975254629629</v>
      </c>
      <c r="C253">
        <v>80</v>
      </c>
      <c r="D253">
        <v>79.871887207</v>
      </c>
      <c r="E253">
        <v>40</v>
      </c>
      <c r="F253">
        <v>14.998794556</v>
      </c>
      <c r="G253">
        <v>1371.0614014</v>
      </c>
      <c r="H253">
        <v>1361.1156006000001</v>
      </c>
      <c r="I253">
        <v>1278.1583252</v>
      </c>
      <c r="J253">
        <v>1250.9539795000001</v>
      </c>
      <c r="K253">
        <v>1650</v>
      </c>
      <c r="L253">
        <v>0</v>
      </c>
      <c r="M253">
        <v>0</v>
      </c>
      <c r="N253">
        <v>1650</v>
      </c>
    </row>
    <row r="254" spans="1:14" x14ac:dyDescent="0.25">
      <c r="A254">
        <v>71.856775999999996</v>
      </c>
      <c r="B254" s="1">
        <f>DATE(2010,7,11) + TIME(20,33,45)</f>
        <v>40370.856770833336</v>
      </c>
      <c r="C254">
        <v>80</v>
      </c>
      <c r="D254">
        <v>79.872024535999998</v>
      </c>
      <c r="E254">
        <v>40</v>
      </c>
      <c r="F254">
        <v>14.998808861000001</v>
      </c>
      <c r="G254">
        <v>1371.0024414</v>
      </c>
      <c r="H254">
        <v>1361.0615233999999</v>
      </c>
      <c r="I254">
        <v>1278.1745605000001</v>
      </c>
      <c r="J254">
        <v>1250.9686279</v>
      </c>
      <c r="K254">
        <v>1650</v>
      </c>
      <c r="L254">
        <v>0</v>
      </c>
      <c r="M254">
        <v>0</v>
      </c>
      <c r="N254">
        <v>1650</v>
      </c>
    </row>
    <row r="255" spans="1:14" x14ac:dyDescent="0.25">
      <c r="A255">
        <v>72.739947999999998</v>
      </c>
      <c r="B255" s="1">
        <f>DATE(2010,7,12) + TIME(17,45,31)</f>
        <v>40371.739942129629</v>
      </c>
      <c r="C255">
        <v>80</v>
      </c>
      <c r="D255">
        <v>79.872154236</v>
      </c>
      <c r="E255">
        <v>40</v>
      </c>
      <c r="F255">
        <v>14.998823165999999</v>
      </c>
      <c r="G255">
        <v>1370.9440918</v>
      </c>
      <c r="H255">
        <v>1361.0080565999999</v>
      </c>
      <c r="I255">
        <v>1278.190918</v>
      </c>
      <c r="J255">
        <v>1250.9832764</v>
      </c>
      <c r="K255">
        <v>1650</v>
      </c>
      <c r="L255">
        <v>0</v>
      </c>
      <c r="M255">
        <v>0</v>
      </c>
      <c r="N255">
        <v>1650</v>
      </c>
    </row>
    <row r="256" spans="1:14" x14ac:dyDescent="0.25">
      <c r="A256">
        <v>73.626084000000006</v>
      </c>
      <c r="B256" s="1">
        <f>DATE(2010,7,13) + TIME(15,1,33)</f>
        <v>40372.626076388886</v>
      </c>
      <c r="C256">
        <v>80</v>
      </c>
      <c r="D256">
        <v>79.872283936000002</v>
      </c>
      <c r="E256">
        <v>40</v>
      </c>
      <c r="F256">
        <v>14.998838425000001</v>
      </c>
      <c r="G256">
        <v>1370.8862305</v>
      </c>
      <c r="H256">
        <v>1360.9552002</v>
      </c>
      <c r="I256">
        <v>1278.2073975000001</v>
      </c>
      <c r="J256">
        <v>1250.9981689000001</v>
      </c>
      <c r="K256">
        <v>1650</v>
      </c>
      <c r="L256">
        <v>0</v>
      </c>
      <c r="M256">
        <v>0</v>
      </c>
      <c r="N256">
        <v>1650</v>
      </c>
    </row>
    <row r="257" spans="1:14" x14ac:dyDescent="0.25">
      <c r="A257">
        <v>74.516409999999993</v>
      </c>
      <c r="B257" s="1">
        <f>DATE(2010,7,14) + TIME(12,23,37)</f>
        <v>40373.516400462962</v>
      </c>
      <c r="C257">
        <v>80</v>
      </c>
      <c r="D257">
        <v>79.872421265</v>
      </c>
      <c r="E257">
        <v>40</v>
      </c>
      <c r="F257">
        <v>14.998853683</v>
      </c>
      <c r="G257">
        <v>1370.8288574000001</v>
      </c>
      <c r="H257">
        <v>1360.9025879000001</v>
      </c>
      <c r="I257">
        <v>1278.2241211</v>
      </c>
      <c r="J257">
        <v>1251.0133057</v>
      </c>
      <c r="K257">
        <v>1650</v>
      </c>
      <c r="L257">
        <v>0</v>
      </c>
      <c r="M257">
        <v>0</v>
      </c>
      <c r="N257">
        <v>1650</v>
      </c>
    </row>
    <row r="258" spans="1:14" x14ac:dyDescent="0.25">
      <c r="A258">
        <v>75.412338000000005</v>
      </c>
      <c r="B258" s="1">
        <f>DATE(2010,7,15) + TIME(9,53,45)</f>
        <v>40374.412326388891</v>
      </c>
      <c r="C258">
        <v>80</v>
      </c>
      <c r="D258">
        <v>79.872550963999998</v>
      </c>
      <c r="E258">
        <v>40</v>
      </c>
      <c r="F258">
        <v>14.998869896</v>
      </c>
      <c r="G258">
        <v>1370.7718506000001</v>
      </c>
      <c r="H258">
        <v>1360.8503418</v>
      </c>
      <c r="I258">
        <v>1278.2410889</v>
      </c>
      <c r="J258">
        <v>1251.0285644999999</v>
      </c>
      <c r="K258">
        <v>1650</v>
      </c>
      <c r="L258">
        <v>0</v>
      </c>
      <c r="M258">
        <v>0</v>
      </c>
      <c r="N258">
        <v>1650</v>
      </c>
    </row>
    <row r="259" spans="1:14" x14ac:dyDescent="0.25">
      <c r="A259">
        <v>76.315262000000004</v>
      </c>
      <c r="B259" s="1">
        <f>DATE(2010,7,16) + TIME(7,33,58)</f>
        <v>40375.315254629626</v>
      </c>
      <c r="C259">
        <v>80</v>
      </c>
      <c r="D259">
        <v>79.872688292999996</v>
      </c>
      <c r="E259">
        <v>40</v>
      </c>
      <c r="F259">
        <v>14.998886108000001</v>
      </c>
      <c r="G259">
        <v>1370.7150879000001</v>
      </c>
      <c r="H259">
        <v>1360.7983397999999</v>
      </c>
      <c r="I259">
        <v>1278.2581786999999</v>
      </c>
      <c r="J259">
        <v>1251.0440673999999</v>
      </c>
      <c r="K259">
        <v>1650</v>
      </c>
      <c r="L259">
        <v>0</v>
      </c>
      <c r="M259">
        <v>0</v>
      </c>
      <c r="N259">
        <v>1650</v>
      </c>
    </row>
    <row r="260" spans="1:14" x14ac:dyDescent="0.25">
      <c r="A260">
        <v>77.226624999999999</v>
      </c>
      <c r="B260" s="1">
        <f>DATE(2010,7,17) + TIME(5,26,20)</f>
        <v>40376.226620370369</v>
      </c>
      <c r="C260">
        <v>80</v>
      </c>
      <c r="D260">
        <v>79.872825622999997</v>
      </c>
      <c r="E260">
        <v>40</v>
      </c>
      <c r="F260">
        <v>14.998904228000001</v>
      </c>
      <c r="G260">
        <v>1370.6584473</v>
      </c>
      <c r="H260">
        <v>1360.746582</v>
      </c>
      <c r="I260">
        <v>1278.2757568</v>
      </c>
      <c r="J260">
        <v>1251.0598144999999</v>
      </c>
      <c r="K260">
        <v>1650</v>
      </c>
      <c r="L260">
        <v>0</v>
      </c>
      <c r="M260">
        <v>0</v>
      </c>
      <c r="N260">
        <v>1650</v>
      </c>
    </row>
    <row r="261" spans="1:14" x14ac:dyDescent="0.25">
      <c r="A261">
        <v>78.145228000000003</v>
      </c>
      <c r="B261" s="1">
        <f>DATE(2010,7,18) + TIME(3,29,7)</f>
        <v>40377.145219907405</v>
      </c>
      <c r="C261">
        <v>80</v>
      </c>
      <c r="D261">
        <v>79.872962951999995</v>
      </c>
      <c r="E261">
        <v>40</v>
      </c>
      <c r="F261">
        <v>14.998923302</v>
      </c>
      <c r="G261">
        <v>1370.6019286999999</v>
      </c>
      <c r="H261">
        <v>1360.6948242000001</v>
      </c>
      <c r="I261">
        <v>1278.2935791</v>
      </c>
      <c r="J261">
        <v>1251.0758057</v>
      </c>
      <c r="K261">
        <v>1650</v>
      </c>
      <c r="L261">
        <v>0</v>
      </c>
      <c r="M261">
        <v>0</v>
      </c>
      <c r="N261">
        <v>1650</v>
      </c>
    </row>
    <row r="262" spans="1:14" x14ac:dyDescent="0.25">
      <c r="A262">
        <v>79.067836999999997</v>
      </c>
      <c r="B262" s="1">
        <f>DATE(2010,7,19) + TIME(1,37,41)</f>
        <v>40378.067835648151</v>
      </c>
      <c r="C262">
        <v>80</v>
      </c>
      <c r="D262">
        <v>79.873100281000006</v>
      </c>
      <c r="E262">
        <v>40</v>
      </c>
      <c r="F262">
        <v>14.998943328999999</v>
      </c>
      <c r="G262">
        <v>1370.5455322</v>
      </c>
      <c r="H262">
        <v>1360.6431885</v>
      </c>
      <c r="I262">
        <v>1278.3116454999999</v>
      </c>
      <c r="J262">
        <v>1251.0921631000001</v>
      </c>
      <c r="K262">
        <v>1650</v>
      </c>
      <c r="L262">
        <v>0</v>
      </c>
      <c r="M262">
        <v>0</v>
      </c>
      <c r="N262">
        <v>1650</v>
      </c>
    </row>
    <row r="263" spans="1:14" x14ac:dyDescent="0.25">
      <c r="A263">
        <v>79.995969000000002</v>
      </c>
      <c r="B263" s="1">
        <f>DATE(2010,7,19) + TIME(23,54,11)</f>
        <v>40378.99596064815</v>
      </c>
      <c r="C263">
        <v>80</v>
      </c>
      <c r="D263">
        <v>79.873237610000004</v>
      </c>
      <c r="E263">
        <v>40</v>
      </c>
      <c r="F263">
        <v>14.998965263000001</v>
      </c>
      <c r="G263">
        <v>1370.4893798999999</v>
      </c>
      <c r="H263">
        <v>1360.5919189000001</v>
      </c>
      <c r="I263">
        <v>1278.3300781</v>
      </c>
      <c r="J263">
        <v>1251.1086425999999</v>
      </c>
      <c r="K263">
        <v>1650</v>
      </c>
      <c r="L263">
        <v>0</v>
      </c>
      <c r="M263">
        <v>0</v>
      </c>
      <c r="N263">
        <v>1650</v>
      </c>
    </row>
    <row r="264" spans="1:14" x14ac:dyDescent="0.25">
      <c r="A264">
        <v>80.931121000000005</v>
      </c>
      <c r="B264" s="1">
        <f>DATE(2010,7,20) + TIME(22,20,48)</f>
        <v>40379.931111111109</v>
      </c>
      <c r="C264">
        <v>80</v>
      </c>
      <c r="D264">
        <v>79.873382567999997</v>
      </c>
      <c r="E264">
        <v>40</v>
      </c>
      <c r="F264">
        <v>14.998988152000001</v>
      </c>
      <c r="G264">
        <v>1370.4335937999999</v>
      </c>
      <c r="H264">
        <v>1360.5407714999999</v>
      </c>
      <c r="I264">
        <v>1278.3487548999999</v>
      </c>
      <c r="J264">
        <v>1251.1253661999999</v>
      </c>
      <c r="K264">
        <v>1650</v>
      </c>
      <c r="L264">
        <v>0</v>
      </c>
      <c r="M264">
        <v>0</v>
      </c>
      <c r="N264">
        <v>1650</v>
      </c>
    </row>
    <row r="265" spans="1:14" x14ac:dyDescent="0.25">
      <c r="A265">
        <v>81.874796000000003</v>
      </c>
      <c r="B265" s="1">
        <f>DATE(2010,7,21) + TIME(20,59,42)</f>
        <v>40380.874791666669</v>
      </c>
      <c r="C265">
        <v>80</v>
      </c>
      <c r="D265">
        <v>79.873519896999994</v>
      </c>
      <c r="E265">
        <v>40</v>
      </c>
      <c r="F265">
        <v>14.999014854</v>
      </c>
      <c r="G265">
        <v>1370.3779297000001</v>
      </c>
      <c r="H265">
        <v>1360.4898682</v>
      </c>
      <c r="I265">
        <v>1278.3677978999999</v>
      </c>
      <c r="J265">
        <v>1251.1424560999999</v>
      </c>
      <c r="K265">
        <v>1650</v>
      </c>
      <c r="L265">
        <v>0</v>
      </c>
      <c r="M265">
        <v>0</v>
      </c>
      <c r="N265">
        <v>1650</v>
      </c>
    </row>
    <row r="266" spans="1:14" x14ac:dyDescent="0.25">
      <c r="A266">
        <v>82.828548999999995</v>
      </c>
      <c r="B266" s="1">
        <f>DATE(2010,7,22) + TIME(19,53,6)</f>
        <v>40381.828541666669</v>
      </c>
      <c r="C266">
        <v>80</v>
      </c>
      <c r="D266">
        <v>79.873664856000005</v>
      </c>
      <c r="E266">
        <v>40</v>
      </c>
      <c r="F266">
        <v>14.999043465</v>
      </c>
      <c r="G266">
        <v>1370.3222656</v>
      </c>
      <c r="H266">
        <v>1360.4389647999999</v>
      </c>
      <c r="I266">
        <v>1278.3870850000001</v>
      </c>
      <c r="J266">
        <v>1251.1597899999999</v>
      </c>
      <c r="K266">
        <v>1650</v>
      </c>
      <c r="L266">
        <v>0</v>
      </c>
      <c r="M266">
        <v>0</v>
      </c>
      <c r="N266">
        <v>1650</v>
      </c>
    </row>
    <row r="267" spans="1:14" x14ac:dyDescent="0.25">
      <c r="A267">
        <v>83.793959999999998</v>
      </c>
      <c r="B267" s="1">
        <f>DATE(2010,7,23) + TIME(19,3,18)</f>
        <v>40382.793958333335</v>
      </c>
      <c r="C267">
        <v>80</v>
      </c>
      <c r="D267">
        <v>79.873809813999998</v>
      </c>
      <c r="E267">
        <v>40</v>
      </c>
      <c r="F267">
        <v>14.99907589</v>
      </c>
      <c r="G267">
        <v>1370.2666016000001</v>
      </c>
      <c r="H267">
        <v>1360.3880615</v>
      </c>
      <c r="I267">
        <v>1278.4069824000001</v>
      </c>
      <c r="J267">
        <v>1251.1774902</v>
      </c>
      <c r="K267">
        <v>1650</v>
      </c>
      <c r="L267">
        <v>0</v>
      </c>
      <c r="M267">
        <v>0</v>
      </c>
      <c r="N267">
        <v>1650</v>
      </c>
    </row>
    <row r="268" spans="1:14" x14ac:dyDescent="0.25">
      <c r="A268">
        <v>84.770931000000004</v>
      </c>
      <c r="B268" s="1">
        <f>DATE(2010,7,24) + TIME(18,30,8)</f>
        <v>40383.770925925928</v>
      </c>
      <c r="C268">
        <v>80</v>
      </c>
      <c r="D268">
        <v>79.873954772999994</v>
      </c>
      <c r="E268">
        <v>40</v>
      </c>
      <c r="F268">
        <v>14.999112129</v>
      </c>
      <c r="G268">
        <v>1370.2109375</v>
      </c>
      <c r="H268">
        <v>1360.3370361</v>
      </c>
      <c r="I268">
        <v>1278.427124</v>
      </c>
      <c r="J268">
        <v>1251.1955565999999</v>
      </c>
      <c r="K268">
        <v>1650</v>
      </c>
      <c r="L268">
        <v>0</v>
      </c>
      <c r="M268">
        <v>0</v>
      </c>
      <c r="N268">
        <v>1650</v>
      </c>
    </row>
    <row r="269" spans="1:14" x14ac:dyDescent="0.25">
      <c r="A269">
        <v>85.748926999999995</v>
      </c>
      <c r="B269" s="1">
        <f>DATE(2010,7,25) + TIME(17,58,27)</f>
        <v>40384.748923611114</v>
      </c>
      <c r="C269">
        <v>80</v>
      </c>
      <c r="D269">
        <v>79.874107361</v>
      </c>
      <c r="E269">
        <v>40</v>
      </c>
      <c r="F269">
        <v>14.999154090999999</v>
      </c>
      <c r="G269">
        <v>1370.1550293</v>
      </c>
      <c r="H269">
        <v>1360.2860106999999</v>
      </c>
      <c r="I269">
        <v>1278.447876</v>
      </c>
      <c r="J269">
        <v>1251.2141113</v>
      </c>
      <c r="K269">
        <v>1650</v>
      </c>
      <c r="L269">
        <v>0</v>
      </c>
      <c r="M269">
        <v>0</v>
      </c>
      <c r="N269">
        <v>1650</v>
      </c>
    </row>
    <row r="270" spans="1:14" x14ac:dyDescent="0.25">
      <c r="A270">
        <v>86.239221000000001</v>
      </c>
      <c r="B270" s="1">
        <f>DATE(2010,7,26) + TIME(5,44,28)</f>
        <v>40385.239212962966</v>
      </c>
      <c r="C270">
        <v>80</v>
      </c>
      <c r="D270">
        <v>79.874168396000002</v>
      </c>
      <c r="E270">
        <v>40</v>
      </c>
      <c r="F270">
        <v>14.999184608</v>
      </c>
      <c r="G270">
        <v>1370.0992432</v>
      </c>
      <c r="H270">
        <v>1360.2348632999999</v>
      </c>
      <c r="I270">
        <v>1278.4685059000001</v>
      </c>
      <c r="J270">
        <v>1251.2324219</v>
      </c>
      <c r="K270">
        <v>1650</v>
      </c>
      <c r="L270">
        <v>0</v>
      </c>
      <c r="M270">
        <v>0</v>
      </c>
      <c r="N270">
        <v>1650</v>
      </c>
    </row>
    <row r="271" spans="1:14" x14ac:dyDescent="0.25">
      <c r="A271">
        <v>86.729515000000006</v>
      </c>
      <c r="B271" s="1">
        <f>DATE(2010,7,26) + TIME(17,30,30)</f>
        <v>40385.729513888888</v>
      </c>
      <c r="C271">
        <v>80</v>
      </c>
      <c r="D271">
        <v>79.874237061000002</v>
      </c>
      <c r="E271">
        <v>40</v>
      </c>
      <c r="F271">
        <v>14.999215125999999</v>
      </c>
      <c r="G271">
        <v>1370.0712891000001</v>
      </c>
      <c r="H271">
        <v>1360.2092285000001</v>
      </c>
      <c r="I271">
        <v>1278.4792480000001</v>
      </c>
      <c r="J271">
        <v>1251.2420654</v>
      </c>
      <c r="K271">
        <v>1650</v>
      </c>
      <c r="L271">
        <v>0</v>
      </c>
      <c r="M271">
        <v>0</v>
      </c>
      <c r="N271">
        <v>1650</v>
      </c>
    </row>
    <row r="272" spans="1:14" x14ac:dyDescent="0.25">
      <c r="A272">
        <v>87.219808</v>
      </c>
      <c r="B272" s="1">
        <f>DATE(2010,7,27) + TIME(5,16,31)</f>
        <v>40386.21980324074</v>
      </c>
      <c r="C272">
        <v>80</v>
      </c>
      <c r="D272">
        <v>79.874305724999999</v>
      </c>
      <c r="E272">
        <v>40</v>
      </c>
      <c r="F272">
        <v>14.999245644</v>
      </c>
      <c r="G272">
        <v>1370.0438231999999</v>
      </c>
      <c r="H272">
        <v>1360.184082</v>
      </c>
      <c r="I272">
        <v>1278.4899902</v>
      </c>
      <c r="J272">
        <v>1251.2515868999999</v>
      </c>
      <c r="K272">
        <v>1650</v>
      </c>
      <c r="L272">
        <v>0</v>
      </c>
      <c r="M272">
        <v>0</v>
      </c>
      <c r="N272">
        <v>1650</v>
      </c>
    </row>
    <row r="273" spans="1:14" x14ac:dyDescent="0.25">
      <c r="A273">
        <v>87.710102000000006</v>
      </c>
      <c r="B273" s="1">
        <f>DATE(2010,7,27) + TIME(17,2,32)</f>
        <v>40386.710092592592</v>
      </c>
      <c r="C273">
        <v>80</v>
      </c>
      <c r="D273">
        <v>79.87437439</v>
      </c>
      <c r="E273">
        <v>40</v>
      </c>
      <c r="F273">
        <v>14.999278069000001</v>
      </c>
      <c r="G273">
        <v>1370.0164795000001</v>
      </c>
      <c r="H273">
        <v>1360.1590576000001</v>
      </c>
      <c r="I273">
        <v>1278.5007324000001</v>
      </c>
      <c r="J273">
        <v>1251.2612305</v>
      </c>
      <c r="K273">
        <v>1650</v>
      </c>
      <c r="L273">
        <v>0</v>
      </c>
      <c r="M273">
        <v>0</v>
      </c>
      <c r="N273">
        <v>1650</v>
      </c>
    </row>
    <row r="274" spans="1:14" x14ac:dyDescent="0.25">
      <c r="A274">
        <v>88.200395999999998</v>
      </c>
      <c r="B274" s="1">
        <f>DATE(2010,7,28) + TIME(4,48,34)</f>
        <v>40387.20039351852</v>
      </c>
      <c r="C274">
        <v>80</v>
      </c>
      <c r="D274">
        <v>79.874450683999996</v>
      </c>
      <c r="E274">
        <v>40</v>
      </c>
      <c r="F274">
        <v>14.999312400999999</v>
      </c>
      <c r="G274">
        <v>1369.9892577999999</v>
      </c>
      <c r="H274">
        <v>1360.1341553</v>
      </c>
      <c r="I274">
        <v>1278.5115966999999</v>
      </c>
      <c r="J274">
        <v>1251.270874</v>
      </c>
      <c r="K274">
        <v>1650</v>
      </c>
      <c r="L274">
        <v>0</v>
      </c>
      <c r="M274">
        <v>0</v>
      </c>
      <c r="N274">
        <v>1650</v>
      </c>
    </row>
    <row r="275" spans="1:14" x14ac:dyDescent="0.25">
      <c r="A275">
        <v>88.690689000000006</v>
      </c>
      <c r="B275" s="1">
        <f>DATE(2010,7,28) + TIME(16,34,35)</f>
        <v>40387.690682870372</v>
      </c>
      <c r="C275">
        <v>80</v>
      </c>
      <c r="D275">
        <v>79.874519348000007</v>
      </c>
      <c r="E275">
        <v>40</v>
      </c>
      <c r="F275">
        <v>14.999347687</v>
      </c>
      <c r="G275">
        <v>1369.9622803</v>
      </c>
      <c r="H275">
        <v>1360.109375</v>
      </c>
      <c r="I275">
        <v>1278.5225829999999</v>
      </c>
      <c r="J275">
        <v>1251.2805175999999</v>
      </c>
      <c r="K275">
        <v>1650</v>
      </c>
      <c r="L275">
        <v>0</v>
      </c>
      <c r="M275">
        <v>0</v>
      </c>
      <c r="N275">
        <v>1650</v>
      </c>
    </row>
    <row r="276" spans="1:14" x14ac:dyDescent="0.25">
      <c r="A276">
        <v>89.180982999999998</v>
      </c>
      <c r="B276" s="1">
        <f>DATE(2010,7,29) + TIME(4,20,36)</f>
        <v>40388.180972222224</v>
      </c>
      <c r="C276">
        <v>80</v>
      </c>
      <c r="D276">
        <v>79.874595642000003</v>
      </c>
      <c r="E276">
        <v>40</v>
      </c>
      <c r="F276">
        <v>14.999385834</v>
      </c>
      <c r="G276">
        <v>1369.9353027</v>
      </c>
      <c r="H276">
        <v>1360.0847168</v>
      </c>
      <c r="I276">
        <v>1278.5335693</v>
      </c>
      <c r="J276">
        <v>1251.2902832</v>
      </c>
      <c r="K276">
        <v>1650</v>
      </c>
      <c r="L276">
        <v>0</v>
      </c>
      <c r="M276">
        <v>0</v>
      </c>
      <c r="N276">
        <v>1650</v>
      </c>
    </row>
    <row r="277" spans="1:14" x14ac:dyDescent="0.25">
      <c r="A277">
        <v>89.671277000000003</v>
      </c>
      <c r="B277" s="1">
        <f>DATE(2010,7,29) + TIME(16,6,38)</f>
        <v>40388.671273148146</v>
      </c>
      <c r="C277">
        <v>80</v>
      </c>
      <c r="D277">
        <v>79.874664307000003</v>
      </c>
      <c r="E277">
        <v>40</v>
      </c>
      <c r="F277">
        <v>14.999426842</v>
      </c>
      <c r="G277">
        <v>1369.9084473</v>
      </c>
      <c r="H277">
        <v>1360.0601807</v>
      </c>
      <c r="I277">
        <v>1278.5445557</v>
      </c>
      <c r="J277">
        <v>1251.3000488</v>
      </c>
      <c r="K277">
        <v>1650</v>
      </c>
      <c r="L277">
        <v>0</v>
      </c>
      <c r="M277">
        <v>0</v>
      </c>
      <c r="N277">
        <v>1650</v>
      </c>
    </row>
    <row r="278" spans="1:14" x14ac:dyDescent="0.25">
      <c r="A278">
        <v>90.161569999999998</v>
      </c>
      <c r="B278" s="1">
        <f>DATE(2010,7,30) + TIME(3,52,39)</f>
        <v>40389.161562499998</v>
      </c>
      <c r="C278">
        <v>80</v>
      </c>
      <c r="D278">
        <v>79.874740600999999</v>
      </c>
      <c r="E278">
        <v>40</v>
      </c>
      <c r="F278">
        <v>14.999470711000001</v>
      </c>
      <c r="G278">
        <v>1369.8818358999999</v>
      </c>
      <c r="H278">
        <v>1360.0357666</v>
      </c>
      <c r="I278">
        <v>1278.5556641000001</v>
      </c>
      <c r="J278">
        <v>1251.3099365</v>
      </c>
      <c r="K278">
        <v>1650</v>
      </c>
      <c r="L278">
        <v>0</v>
      </c>
      <c r="M278">
        <v>0</v>
      </c>
      <c r="N278">
        <v>1650</v>
      </c>
    </row>
    <row r="279" spans="1:14" x14ac:dyDescent="0.25">
      <c r="A279">
        <v>90.651864000000003</v>
      </c>
      <c r="B279" s="1">
        <f>DATE(2010,7,30) + TIME(15,38,41)</f>
        <v>40389.651863425926</v>
      </c>
      <c r="C279">
        <v>80</v>
      </c>
      <c r="D279">
        <v>79.874816894999995</v>
      </c>
      <c r="E279">
        <v>40</v>
      </c>
      <c r="F279">
        <v>14.999517441</v>
      </c>
      <c r="G279">
        <v>1369.8552245999999</v>
      </c>
      <c r="H279">
        <v>1360.0114745999999</v>
      </c>
      <c r="I279">
        <v>1278.5668945</v>
      </c>
      <c r="J279">
        <v>1251.3199463000001</v>
      </c>
      <c r="K279">
        <v>1650</v>
      </c>
      <c r="L279">
        <v>0</v>
      </c>
      <c r="M279">
        <v>0</v>
      </c>
      <c r="N279">
        <v>1650</v>
      </c>
    </row>
    <row r="280" spans="1:14" x14ac:dyDescent="0.25">
      <c r="A280">
        <v>91.142157999999995</v>
      </c>
      <c r="B280" s="1">
        <f>DATE(2010,7,31) + TIME(3,24,42)</f>
        <v>40390.142152777778</v>
      </c>
      <c r="C280">
        <v>80</v>
      </c>
      <c r="D280">
        <v>79.874885559000006</v>
      </c>
      <c r="E280">
        <v>40</v>
      </c>
      <c r="F280">
        <v>14.999567032</v>
      </c>
      <c r="G280">
        <v>1369.8288574000001</v>
      </c>
      <c r="H280">
        <v>1359.9873047000001</v>
      </c>
      <c r="I280">
        <v>1278.578125</v>
      </c>
      <c r="J280">
        <v>1251.3298339999999</v>
      </c>
      <c r="K280">
        <v>1650</v>
      </c>
      <c r="L280">
        <v>0</v>
      </c>
      <c r="M280">
        <v>0</v>
      </c>
      <c r="N280">
        <v>1650</v>
      </c>
    </row>
    <row r="281" spans="1:14" x14ac:dyDescent="0.25">
      <c r="A281">
        <v>92</v>
      </c>
      <c r="B281" s="1">
        <f>DATE(2010,8,1) + TIME(0,0,0)</f>
        <v>40391</v>
      </c>
      <c r="C281">
        <v>80</v>
      </c>
      <c r="D281">
        <v>79.875030518000003</v>
      </c>
      <c r="E281">
        <v>40</v>
      </c>
      <c r="F281">
        <v>14.999644279</v>
      </c>
      <c r="G281">
        <v>1369.8028564000001</v>
      </c>
      <c r="H281">
        <v>1359.9636230000001</v>
      </c>
      <c r="I281">
        <v>1278.5895995999999</v>
      </c>
      <c r="J281">
        <v>1251.3400879000001</v>
      </c>
      <c r="K281">
        <v>1650</v>
      </c>
      <c r="L281">
        <v>0</v>
      </c>
      <c r="M281">
        <v>0</v>
      </c>
      <c r="N281">
        <v>1650</v>
      </c>
    </row>
    <row r="282" spans="1:14" x14ac:dyDescent="0.25">
      <c r="A282">
        <v>92.980587</v>
      </c>
      <c r="B282" s="1">
        <f>DATE(2010,8,1) + TIME(23,32,2)</f>
        <v>40391.980578703704</v>
      </c>
      <c r="C282">
        <v>80</v>
      </c>
      <c r="D282">
        <v>79.875183105000005</v>
      </c>
      <c r="E282">
        <v>40</v>
      </c>
      <c r="F282">
        <v>14.999745368999999</v>
      </c>
      <c r="G282">
        <v>1369.7574463000001</v>
      </c>
      <c r="H282">
        <v>1359.9221190999999</v>
      </c>
      <c r="I282">
        <v>1278.6094971</v>
      </c>
      <c r="J282">
        <v>1251.3577881000001</v>
      </c>
      <c r="K282">
        <v>1650</v>
      </c>
      <c r="L282">
        <v>0</v>
      </c>
      <c r="M282">
        <v>0</v>
      </c>
      <c r="N282">
        <v>1650</v>
      </c>
    </row>
    <row r="283" spans="1:14" x14ac:dyDescent="0.25">
      <c r="A283">
        <v>93.970496999999995</v>
      </c>
      <c r="B283" s="1">
        <f>DATE(2010,8,2) + TIME(23,17,30)</f>
        <v>40392.970486111109</v>
      </c>
      <c r="C283">
        <v>80</v>
      </c>
      <c r="D283">
        <v>79.875335692999997</v>
      </c>
      <c r="E283">
        <v>40</v>
      </c>
      <c r="F283">
        <v>14.9998703</v>
      </c>
      <c r="G283">
        <v>1369.7056885</v>
      </c>
      <c r="H283">
        <v>1359.8747559000001</v>
      </c>
      <c r="I283">
        <v>1278.6324463000001</v>
      </c>
      <c r="J283">
        <v>1251.3781738</v>
      </c>
      <c r="K283">
        <v>1650</v>
      </c>
      <c r="L283">
        <v>0</v>
      </c>
      <c r="M283">
        <v>0</v>
      </c>
      <c r="N283">
        <v>1650</v>
      </c>
    </row>
    <row r="284" spans="1:14" x14ac:dyDescent="0.25">
      <c r="A284">
        <v>94.970550000000003</v>
      </c>
      <c r="B284" s="1">
        <f>DATE(2010,8,3) + TIME(23,17,35)</f>
        <v>40393.970543981479</v>
      </c>
      <c r="C284">
        <v>80</v>
      </c>
      <c r="D284">
        <v>79.875488281000003</v>
      </c>
      <c r="E284">
        <v>40</v>
      </c>
      <c r="F284">
        <v>15.000020027</v>
      </c>
      <c r="G284">
        <v>1369.6538086</v>
      </c>
      <c r="H284">
        <v>1359.8272704999999</v>
      </c>
      <c r="I284">
        <v>1278.6560059000001</v>
      </c>
      <c r="J284">
        <v>1251.3989257999999</v>
      </c>
      <c r="K284">
        <v>1650</v>
      </c>
      <c r="L284">
        <v>0</v>
      </c>
      <c r="M284">
        <v>0</v>
      </c>
      <c r="N284">
        <v>1650</v>
      </c>
    </row>
    <row r="285" spans="1:14" x14ac:dyDescent="0.25">
      <c r="A285">
        <v>95.982363000000007</v>
      </c>
      <c r="B285" s="1">
        <f>DATE(2010,8,4) + TIME(23,34,36)</f>
        <v>40394.982361111113</v>
      </c>
      <c r="C285">
        <v>80</v>
      </c>
      <c r="D285">
        <v>79.875648498999993</v>
      </c>
      <c r="E285">
        <v>40</v>
      </c>
      <c r="F285">
        <v>15.000195503</v>
      </c>
      <c r="G285">
        <v>1369.6019286999999</v>
      </c>
      <c r="H285">
        <v>1359.7797852000001</v>
      </c>
      <c r="I285">
        <v>1278.6800536999999</v>
      </c>
      <c r="J285">
        <v>1251.4201660000001</v>
      </c>
      <c r="K285">
        <v>1650</v>
      </c>
      <c r="L285">
        <v>0</v>
      </c>
      <c r="M285">
        <v>0</v>
      </c>
      <c r="N285">
        <v>1650</v>
      </c>
    </row>
    <row r="286" spans="1:14" x14ac:dyDescent="0.25">
      <c r="A286">
        <v>97.007603000000003</v>
      </c>
      <c r="B286" s="1">
        <f>DATE(2010,8,6) + TIME(0,10,56)</f>
        <v>40396.007592592592</v>
      </c>
      <c r="C286">
        <v>80</v>
      </c>
      <c r="D286">
        <v>79.875801085999996</v>
      </c>
      <c r="E286">
        <v>40</v>
      </c>
      <c r="F286">
        <v>15.000402450999999</v>
      </c>
      <c r="G286">
        <v>1369.5498047000001</v>
      </c>
      <c r="H286">
        <v>1359.7321777</v>
      </c>
      <c r="I286">
        <v>1278.7047118999999</v>
      </c>
      <c r="J286">
        <v>1251.4420166</v>
      </c>
      <c r="K286">
        <v>1650</v>
      </c>
      <c r="L286">
        <v>0</v>
      </c>
      <c r="M286">
        <v>0</v>
      </c>
      <c r="N286">
        <v>1650</v>
      </c>
    </row>
    <row r="287" spans="1:14" x14ac:dyDescent="0.25">
      <c r="A287">
        <v>98.048130999999998</v>
      </c>
      <c r="B287" s="1">
        <f>DATE(2010,8,7) + TIME(1,9,18)</f>
        <v>40397.048125000001</v>
      </c>
      <c r="C287">
        <v>80</v>
      </c>
      <c r="D287">
        <v>79.875953674000002</v>
      </c>
      <c r="E287">
        <v>40</v>
      </c>
      <c r="F287">
        <v>15.000645638</v>
      </c>
      <c r="G287">
        <v>1369.4975586</v>
      </c>
      <c r="H287">
        <v>1359.6843262</v>
      </c>
      <c r="I287">
        <v>1278.7301024999999</v>
      </c>
      <c r="J287">
        <v>1251.4643555</v>
      </c>
      <c r="K287">
        <v>1650</v>
      </c>
      <c r="L287">
        <v>0</v>
      </c>
      <c r="M287">
        <v>0</v>
      </c>
      <c r="N287">
        <v>1650</v>
      </c>
    </row>
    <row r="288" spans="1:14" x14ac:dyDescent="0.25">
      <c r="A288">
        <v>98.571652999999998</v>
      </c>
      <c r="B288" s="1">
        <f>DATE(2010,8,7) + TIME(13,43,10)</f>
        <v>40397.571643518517</v>
      </c>
      <c r="C288">
        <v>80</v>
      </c>
      <c r="D288">
        <v>79.876022339000002</v>
      </c>
      <c r="E288">
        <v>40</v>
      </c>
      <c r="F288">
        <v>15.000828743</v>
      </c>
      <c r="G288">
        <v>1369.4445800999999</v>
      </c>
      <c r="H288">
        <v>1359.6358643000001</v>
      </c>
      <c r="I288">
        <v>1278.7558594</v>
      </c>
      <c r="J288">
        <v>1251.4869385</v>
      </c>
      <c r="K288">
        <v>1650</v>
      </c>
      <c r="L288">
        <v>0</v>
      </c>
      <c r="M288">
        <v>0</v>
      </c>
      <c r="N288">
        <v>1650</v>
      </c>
    </row>
    <row r="289" spans="1:14" x14ac:dyDescent="0.25">
      <c r="A289">
        <v>99.095174999999998</v>
      </c>
      <c r="B289" s="1">
        <f>DATE(2010,8,8) + TIME(2,17,3)</f>
        <v>40398.095173611109</v>
      </c>
      <c r="C289">
        <v>80</v>
      </c>
      <c r="D289">
        <v>79.876098632999998</v>
      </c>
      <c r="E289">
        <v>40</v>
      </c>
      <c r="F289">
        <v>15.001015663</v>
      </c>
      <c r="G289">
        <v>1369.4178466999999</v>
      </c>
      <c r="H289">
        <v>1359.6113281</v>
      </c>
      <c r="I289">
        <v>1278.7692870999999</v>
      </c>
      <c r="J289">
        <v>1251.4989014</v>
      </c>
      <c r="K289">
        <v>1650</v>
      </c>
      <c r="L289">
        <v>0</v>
      </c>
      <c r="M289">
        <v>0</v>
      </c>
      <c r="N289">
        <v>1650</v>
      </c>
    </row>
    <row r="290" spans="1:14" x14ac:dyDescent="0.25">
      <c r="A290">
        <v>99.618696999999997</v>
      </c>
      <c r="B290" s="1">
        <f>DATE(2010,8,8) + TIME(14,50,55)</f>
        <v>40398.618692129632</v>
      </c>
      <c r="C290">
        <v>80</v>
      </c>
      <c r="D290">
        <v>79.876174926999994</v>
      </c>
      <c r="E290">
        <v>40</v>
      </c>
      <c r="F290">
        <v>15.001207352</v>
      </c>
      <c r="G290">
        <v>1369.3916016000001</v>
      </c>
      <c r="H290">
        <v>1359.5874022999999</v>
      </c>
      <c r="I290">
        <v>1278.7827147999999</v>
      </c>
      <c r="J290">
        <v>1251.5107422000001</v>
      </c>
      <c r="K290">
        <v>1650</v>
      </c>
      <c r="L290">
        <v>0</v>
      </c>
      <c r="M290">
        <v>0</v>
      </c>
      <c r="N290">
        <v>1650</v>
      </c>
    </row>
    <row r="291" spans="1:14" x14ac:dyDescent="0.25">
      <c r="A291">
        <v>100.142219</v>
      </c>
      <c r="B291" s="1">
        <f>DATE(2010,8,9) + TIME(3,24,47)</f>
        <v>40399.142210648148</v>
      </c>
      <c r="C291">
        <v>80</v>
      </c>
      <c r="D291">
        <v>79.876251221000004</v>
      </c>
      <c r="E291">
        <v>40</v>
      </c>
      <c r="F291">
        <v>15.001408576999999</v>
      </c>
      <c r="G291">
        <v>1369.3654785000001</v>
      </c>
      <c r="H291">
        <v>1359.5634766000001</v>
      </c>
      <c r="I291">
        <v>1278.7962646000001</v>
      </c>
      <c r="J291">
        <v>1251.5225829999999</v>
      </c>
      <c r="K291">
        <v>1650</v>
      </c>
      <c r="L291">
        <v>0</v>
      </c>
      <c r="M291">
        <v>0</v>
      </c>
      <c r="N291">
        <v>1650</v>
      </c>
    </row>
    <row r="292" spans="1:14" x14ac:dyDescent="0.25">
      <c r="A292">
        <v>100.665741</v>
      </c>
      <c r="B292" s="1">
        <f>DATE(2010,8,9) + TIME(15,58,40)</f>
        <v>40399.66574074074</v>
      </c>
      <c r="C292">
        <v>80</v>
      </c>
      <c r="D292">
        <v>79.876327515</v>
      </c>
      <c r="E292">
        <v>40</v>
      </c>
      <c r="F292">
        <v>15.0016222</v>
      </c>
      <c r="G292">
        <v>1369.3394774999999</v>
      </c>
      <c r="H292">
        <v>1359.5395507999999</v>
      </c>
      <c r="I292">
        <v>1278.8099365</v>
      </c>
      <c r="J292">
        <v>1251.534668</v>
      </c>
      <c r="K292">
        <v>1650</v>
      </c>
      <c r="L292">
        <v>0</v>
      </c>
      <c r="M292">
        <v>0</v>
      </c>
      <c r="N292">
        <v>1650</v>
      </c>
    </row>
    <row r="293" spans="1:14" x14ac:dyDescent="0.25">
      <c r="A293">
        <v>101.189263</v>
      </c>
      <c r="B293" s="1">
        <f>DATE(2010,8,10) + TIME(4,32,32)</f>
        <v>40400.189259259256</v>
      </c>
      <c r="C293">
        <v>80</v>
      </c>
      <c r="D293">
        <v>79.876403808999996</v>
      </c>
      <c r="E293">
        <v>40</v>
      </c>
      <c r="F293">
        <v>15.001848220999999</v>
      </c>
      <c r="G293">
        <v>1369.3135986</v>
      </c>
      <c r="H293">
        <v>1359.5158690999999</v>
      </c>
      <c r="I293">
        <v>1278.8237305</v>
      </c>
      <c r="J293">
        <v>1251.5467529</v>
      </c>
      <c r="K293">
        <v>1650</v>
      </c>
      <c r="L293">
        <v>0</v>
      </c>
      <c r="M293">
        <v>0</v>
      </c>
      <c r="N293">
        <v>1650</v>
      </c>
    </row>
    <row r="294" spans="1:14" x14ac:dyDescent="0.25">
      <c r="A294">
        <v>101.712785</v>
      </c>
      <c r="B294" s="1">
        <f>DATE(2010,8,10) + TIME(17,6,24)</f>
        <v>40400.712777777779</v>
      </c>
      <c r="C294">
        <v>80</v>
      </c>
      <c r="D294">
        <v>79.876480103000006</v>
      </c>
      <c r="E294">
        <v>40</v>
      </c>
      <c r="F294">
        <v>15.0020895</v>
      </c>
      <c r="G294">
        <v>1369.2878418</v>
      </c>
      <c r="H294">
        <v>1359.4923096</v>
      </c>
      <c r="I294">
        <v>1278.8375243999999</v>
      </c>
      <c r="J294">
        <v>1251.5589600000001</v>
      </c>
      <c r="K294">
        <v>1650</v>
      </c>
      <c r="L294">
        <v>0</v>
      </c>
      <c r="M294">
        <v>0</v>
      </c>
      <c r="N294">
        <v>1650</v>
      </c>
    </row>
    <row r="295" spans="1:14" x14ac:dyDescent="0.25">
      <c r="A295">
        <v>102.236307</v>
      </c>
      <c r="B295" s="1">
        <f>DATE(2010,8,11) + TIME(5,40,16)</f>
        <v>40401.236296296294</v>
      </c>
      <c r="C295">
        <v>80</v>
      </c>
      <c r="D295">
        <v>79.876564025999997</v>
      </c>
      <c r="E295">
        <v>40</v>
      </c>
      <c r="F295">
        <v>15.002348899999999</v>
      </c>
      <c r="G295">
        <v>1369.2620850000001</v>
      </c>
      <c r="H295">
        <v>1359.46875</v>
      </c>
      <c r="I295">
        <v>1278.8515625</v>
      </c>
      <c r="J295">
        <v>1251.5712891000001</v>
      </c>
      <c r="K295">
        <v>1650</v>
      </c>
      <c r="L295">
        <v>0</v>
      </c>
      <c r="M295">
        <v>0</v>
      </c>
      <c r="N295">
        <v>1650</v>
      </c>
    </row>
    <row r="296" spans="1:14" x14ac:dyDescent="0.25">
      <c r="A296">
        <v>102.759828</v>
      </c>
      <c r="B296" s="1">
        <f>DATE(2010,8,11) + TIME(18,14,9)</f>
        <v>40401.759826388887</v>
      </c>
      <c r="C296">
        <v>80</v>
      </c>
      <c r="D296">
        <v>79.876640320000007</v>
      </c>
      <c r="E296">
        <v>40</v>
      </c>
      <c r="F296">
        <v>15.002625464999999</v>
      </c>
      <c r="G296">
        <v>1369.2365723</v>
      </c>
      <c r="H296">
        <v>1359.4453125</v>
      </c>
      <c r="I296">
        <v>1278.8656006000001</v>
      </c>
      <c r="J296">
        <v>1251.5836182</v>
      </c>
      <c r="K296">
        <v>1650</v>
      </c>
      <c r="L296">
        <v>0</v>
      </c>
      <c r="M296">
        <v>0</v>
      </c>
      <c r="N296">
        <v>1650</v>
      </c>
    </row>
    <row r="297" spans="1:14" x14ac:dyDescent="0.25">
      <c r="A297">
        <v>103.28335</v>
      </c>
      <c r="B297" s="1">
        <f>DATE(2010,8,12) + TIME(6,48,1)</f>
        <v>40402.28334490741</v>
      </c>
      <c r="C297">
        <v>80</v>
      </c>
      <c r="D297">
        <v>79.876716614000003</v>
      </c>
      <c r="E297">
        <v>40</v>
      </c>
      <c r="F297">
        <v>15.002923012</v>
      </c>
      <c r="G297">
        <v>1369.2110596</v>
      </c>
      <c r="H297">
        <v>1359.4219971</v>
      </c>
      <c r="I297">
        <v>1278.8798827999999</v>
      </c>
      <c r="J297">
        <v>1251.5960693</v>
      </c>
      <c r="K297">
        <v>1650</v>
      </c>
      <c r="L297">
        <v>0</v>
      </c>
      <c r="M297">
        <v>0</v>
      </c>
      <c r="N297">
        <v>1650</v>
      </c>
    </row>
    <row r="298" spans="1:14" x14ac:dyDescent="0.25">
      <c r="A298">
        <v>103.806872</v>
      </c>
      <c r="B298" s="1">
        <f>DATE(2010,8,12) + TIME(19,21,53)</f>
        <v>40402.806863425925</v>
      </c>
      <c r="C298">
        <v>80</v>
      </c>
      <c r="D298">
        <v>79.876792907999999</v>
      </c>
      <c r="E298">
        <v>40</v>
      </c>
      <c r="F298">
        <v>15.003241538999999</v>
      </c>
      <c r="G298">
        <v>1369.1856689000001</v>
      </c>
      <c r="H298">
        <v>1359.3986815999999</v>
      </c>
      <c r="I298">
        <v>1278.8941649999999</v>
      </c>
      <c r="J298">
        <v>1251.6086425999999</v>
      </c>
      <c r="K298">
        <v>1650</v>
      </c>
      <c r="L298">
        <v>0</v>
      </c>
      <c r="M298">
        <v>0</v>
      </c>
      <c r="N298">
        <v>1650</v>
      </c>
    </row>
    <row r="299" spans="1:14" x14ac:dyDescent="0.25">
      <c r="A299">
        <v>104.330394</v>
      </c>
      <c r="B299" s="1">
        <f>DATE(2010,8,13) + TIME(7,55,46)</f>
        <v>40403.330393518518</v>
      </c>
      <c r="C299">
        <v>80</v>
      </c>
      <c r="D299">
        <v>79.876876831000004</v>
      </c>
      <c r="E299">
        <v>40</v>
      </c>
      <c r="F299">
        <v>15.003582954000001</v>
      </c>
      <c r="G299">
        <v>1369.1604004000001</v>
      </c>
      <c r="H299">
        <v>1359.3756103999999</v>
      </c>
      <c r="I299">
        <v>1278.9085693</v>
      </c>
      <c r="J299">
        <v>1251.6213379000001</v>
      </c>
      <c r="K299">
        <v>1650</v>
      </c>
      <c r="L299">
        <v>0</v>
      </c>
      <c r="M299">
        <v>0</v>
      </c>
      <c r="N299">
        <v>1650</v>
      </c>
    </row>
    <row r="300" spans="1:14" x14ac:dyDescent="0.25">
      <c r="A300">
        <v>104.853916</v>
      </c>
      <c r="B300" s="1">
        <f>DATE(2010,8,13) + TIME(20,29,38)</f>
        <v>40403.853912037041</v>
      </c>
      <c r="C300">
        <v>80</v>
      </c>
      <c r="D300">
        <v>79.876953125</v>
      </c>
      <c r="E300">
        <v>40</v>
      </c>
      <c r="F300">
        <v>15.003950119000001</v>
      </c>
      <c r="G300">
        <v>1369.1352539</v>
      </c>
      <c r="H300">
        <v>1359.3525391000001</v>
      </c>
      <c r="I300">
        <v>1278.9230957</v>
      </c>
      <c r="J300">
        <v>1251.6341553</v>
      </c>
      <c r="K300">
        <v>1650</v>
      </c>
      <c r="L300">
        <v>0</v>
      </c>
      <c r="M300">
        <v>0</v>
      </c>
      <c r="N300">
        <v>1650</v>
      </c>
    </row>
    <row r="301" spans="1:14" x14ac:dyDescent="0.25">
      <c r="A301">
        <v>105.377438</v>
      </c>
      <c r="B301" s="1">
        <f>DATE(2010,8,14) + TIME(9,3,30)</f>
        <v>40404.377430555556</v>
      </c>
      <c r="C301">
        <v>80</v>
      </c>
      <c r="D301">
        <v>79.877029418999996</v>
      </c>
      <c r="E301">
        <v>40</v>
      </c>
      <c r="F301">
        <v>15.004343987</v>
      </c>
      <c r="G301">
        <v>1369.1102295000001</v>
      </c>
      <c r="H301">
        <v>1359.3294678</v>
      </c>
      <c r="I301">
        <v>1278.9378661999999</v>
      </c>
      <c r="J301">
        <v>1251.6469727000001</v>
      </c>
      <c r="K301">
        <v>1650</v>
      </c>
      <c r="L301">
        <v>0</v>
      </c>
      <c r="M301">
        <v>0</v>
      </c>
      <c r="N301">
        <v>1650</v>
      </c>
    </row>
    <row r="302" spans="1:14" x14ac:dyDescent="0.25">
      <c r="A302">
        <v>105.90096</v>
      </c>
      <c r="B302" s="1">
        <f>DATE(2010,8,14) + TIME(21,37,22)</f>
        <v>40404.900949074072</v>
      </c>
      <c r="C302">
        <v>80</v>
      </c>
      <c r="D302">
        <v>79.877113342000001</v>
      </c>
      <c r="E302">
        <v>40</v>
      </c>
      <c r="F302">
        <v>15.004766463999999</v>
      </c>
      <c r="G302">
        <v>1369.0852050999999</v>
      </c>
      <c r="H302">
        <v>1359.3066406</v>
      </c>
      <c r="I302">
        <v>1278.9526367000001</v>
      </c>
      <c r="J302">
        <v>1251.6600341999999</v>
      </c>
      <c r="K302">
        <v>1650</v>
      </c>
      <c r="L302">
        <v>0</v>
      </c>
      <c r="M302">
        <v>0</v>
      </c>
      <c r="N302">
        <v>1650</v>
      </c>
    </row>
    <row r="303" spans="1:14" x14ac:dyDescent="0.25">
      <c r="A303">
        <v>106.948004</v>
      </c>
      <c r="B303" s="1">
        <f>DATE(2010,8,15) + TIME(22,45,7)</f>
        <v>40405.947997685187</v>
      </c>
      <c r="C303">
        <v>80</v>
      </c>
      <c r="D303">
        <v>79.877281189000001</v>
      </c>
      <c r="E303">
        <v>40</v>
      </c>
      <c r="F303">
        <v>15.005466460999999</v>
      </c>
      <c r="G303">
        <v>1369.0607910000001</v>
      </c>
      <c r="H303">
        <v>1359.2843018000001</v>
      </c>
      <c r="I303">
        <v>1278.9677733999999</v>
      </c>
      <c r="J303">
        <v>1251.6734618999999</v>
      </c>
      <c r="K303">
        <v>1650</v>
      </c>
      <c r="L303">
        <v>0</v>
      </c>
      <c r="M303">
        <v>0</v>
      </c>
      <c r="N303">
        <v>1650</v>
      </c>
    </row>
    <row r="304" spans="1:14" x14ac:dyDescent="0.25">
      <c r="A304">
        <v>107.995355</v>
      </c>
      <c r="B304" s="1">
        <f>DATE(2010,8,16) + TIME(23,53,18)</f>
        <v>40406.995347222219</v>
      </c>
      <c r="C304">
        <v>80</v>
      </c>
      <c r="D304">
        <v>79.877449036000002</v>
      </c>
      <c r="E304">
        <v>40</v>
      </c>
      <c r="F304">
        <v>15.006360054</v>
      </c>
      <c r="G304">
        <v>1369.0114745999999</v>
      </c>
      <c r="H304">
        <v>1359.2392577999999</v>
      </c>
      <c r="I304">
        <v>1278.9978027</v>
      </c>
      <c r="J304">
        <v>1251.6998291</v>
      </c>
      <c r="K304">
        <v>1650</v>
      </c>
      <c r="L304">
        <v>0</v>
      </c>
      <c r="M304">
        <v>0</v>
      </c>
      <c r="N304">
        <v>1650</v>
      </c>
    </row>
    <row r="305" spans="1:14" x14ac:dyDescent="0.25">
      <c r="A305">
        <v>109.05579899999999</v>
      </c>
      <c r="B305" s="1">
        <f>DATE(2010,8,18) + TIME(1,20,21)</f>
        <v>40408.055798611109</v>
      </c>
      <c r="C305">
        <v>80</v>
      </c>
      <c r="D305">
        <v>79.877609253000003</v>
      </c>
      <c r="E305">
        <v>40</v>
      </c>
      <c r="F305">
        <v>15.007437705999999</v>
      </c>
      <c r="G305">
        <v>1368.9624022999999</v>
      </c>
      <c r="H305">
        <v>1359.1942139</v>
      </c>
      <c r="I305">
        <v>1279.0284423999999</v>
      </c>
      <c r="J305">
        <v>1251.7266846</v>
      </c>
      <c r="K305">
        <v>1650</v>
      </c>
      <c r="L305">
        <v>0</v>
      </c>
      <c r="M305">
        <v>0</v>
      </c>
      <c r="N305">
        <v>1650</v>
      </c>
    </row>
    <row r="306" spans="1:14" x14ac:dyDescent="0.25">
      <c r="A306">
        <v>110.131021</v>
      </c>
      <c r="B306" s="1">
        <f>DATE(2010,8,19) + TIME(3,8,40)</f>
        <v>40409.131018518521</v>
      </c>
      <c r="C306">
        <v>80</v>
      </c>
      <c r="D306">
        <v>79.877769470000004</v>
      </c>
      <c r="E306">
        <v>40</v>
      </c>
      <c r="F306">
        <v>15.008708953999999</v>
      </c>
      <c r="G306">
        <v>1368.9130858999999</v>
      </c>
      <c r="H306">
        <v>1359.1490478999999</v>
      </c>
      <c r="I306">
        <v>1279.0599365</v>
      </c>
      <c r="J306">
        <v>1251.7543945</v>
      </c>
      <c r="K306">
        <v>1650</v>
      </c>
      <c r="L306">
        <v>0</v>
      </c>
      <c r="M306">
        <v>0</v>
      </c>
      <c r="N306">
        <v>1650</v>
      </c>
    </row>
    <row r="307" spans="1:14" x14ac:dyDescent="0.25">
      <c r="A307">
        <v>111.22318</v>
      </c>
      <c r="B307" s="1">
        <f>DATE(2010,8,20) + TIME(5,21,22)</f>
        <v>40410.223171296297</v>
      </c>
      <c r="C307">
        <v>80</v>
      </c>
      <c r="D307">
        <v>79.877937317000004</v>
      </c>
      <c r="E307">
        <v>40</v>
      </c>
      <c r="F307">
        <v>15.010194778000001</v>
      </c>
      <c r="G307">
        <v>1368.8635254000001</v>
      </c>
      <c r="H307">
        <v>1359.1036377</v>
      </c>
      <c r="I307">
        <v>1279.0925293</v>
      </c>
      <c r="J307">
        <v>1251.7829589999999</v>
      </c>
      <c r="K307">
        <v>1650</v>
      </c>
      <c r="L307">
        <v>0</v>
      </c>
      <c r="M307">
        <v>0</v>
      </c>
      <c r="N307">
        <v>1650</v>
      </c>
    </row>
    <row r="308" spans="1:14" x14ac:dyDescent="0.25">
      <c r="A308">
        <v>111.769485</v>
      </c>
      <c r="B308" s="1">
        <f>DATE(2010,8,20) + TIME(18,28,3)</f>
        <v>40410.769479166665</v>
      </c>
      <c r="C308">
        <v>80</v>
      </c>
      <c r="D308">
        <v>79.878005981000001</v>
      </c>
      <c r="E308">
        <v>40</v>
      </c>
      <c r="F308">
        <v>15.011311531</v>
      </c>
      <c r="G308">
        <v>1368.8131103999999</v>
      </c>
      <c r="H308">
        <v>1359.0574951000001</v>
      </c>
      <c r="I308">
        <v>1279.1262207</v>
      </c>
      <c r="J308">
        <v>1251.8121338000001</v>
      </c>
      <c r="K308">
        <v>1650</v>
      </c>
      <c r="L308">
        <v>0</v>
      </c>
      <c r="M308">
        <v>0</v>
      </c>
      <c r="N308">
        <v>1650</v>
      </c>
    </row>
    <row r="309" spans="1:14" x14ac:dyDescent="0.25">
      <c r="A309">
        <v>112.31579000000001</v>
      </c>
      <c r="B309" s="1">
        <f>DATE(2010,8,21) + TIME(7,34,44)</f>
        <v>40411.315787037034</v>
      </c>
      <c r="C309">
        <v>80</v>
      </c>
      <c r="D309">
        <v>79.878082274999997</v>
      </c>
      <c r="E309">
        <v>40</v>
      </c>
      <c r="F309">
        <v>15.012431145000001</v>
      </c>
      <c r="G309">
        <v>1368.7878418</v>
      </c>
      <c r="H309">
        <v>1359.0341797000001</v>
      </c>
      <c r="I309">
        <v>1279.1435547000001</v>
      </c>
      <c r="J309">
        <v>1251.8273925999999</v>
      </c>
      <c r="K309">
        <v>1650</v>
      </c>
      <c r="L309">
        <v>0</v>
      </c>
      <c r="M309">
        <v>0</v>
      </c>
      <c r="N309">
        <v>1650</v>
      </c>
    </row>
    <row r="310" spans="1:14" x14ac:dyDescent="0.25">
      <c r="A310">
        <v>112.862095</v>
      </c>
      <c r="B310" s="1">
        <f>DATE(2010,8,21) + TIME(20,41,24)</f>
        <v>40411.862083333333</v>
      </c>
      <c r="C310">
        <v>80</v>
      </c>
      <c r="D310">
        <v>79.878158568999993</v>
      </c>
      <c r="E310">
        <v>40</v>
      </c>
      <c r="F310">
        <v>15.013577461000001</v>
      </c>
      <c r="G310">
        <v>1368.7629394999999</v>
      </c>
      <c r="H310">
        <v>1359.0113524999999</v>
      </c>
      <c r="I310">
        <v>1279.1608887</v>
      </c>
      <c r="J310">
        <v>1251.8427733999999</v>
      </c>
      <c r="K310">
        <v>1650</v>
      </c>
      <c r="L310">
        <v>0</v>
      </c>
      <c r="M310">
        <v>0</v>
      </c>
      <c r="N310">
        <v>1650</v>
      </c>
    </row>
    <row r="311" spans="1:14" x14ac:dyDescent="0.25">
      <c r="A311">
        <v>113.408399</v>
      </c>
      <c r="B311" s="1">
        <f>DATE(2010,8,22) + TIME(9,48,5)</f>
        <v>40412.408391203702</v>
      </c>
      <c r="C311">
        <v>80</v>
      </c>
      <c r="D311">
        <v>79.878242493000002</v>
      </c>
      <c r="E311">
        <v>40</v>
      </c>
      <c r="F311">
        <v>15.014767646999999</v>
      </c>
      <c r="G311">
        <v>1368.7381591999999</v>
      </c>
      <c r="H311">
        <v>1358.9886475000001</v>
      </c>
      <c r="I311">
        <v>1279.1784668</v>
      </c>
      <c r="J311">
        <v>1251.8582764</v>
      </c>
      <c r="K311">
        <v>1650</v>
      </c>
      <c r="L311">
        <v>0</v>
      </c>
      <c r="M311">
        <v>0</v>
      </c>
      <c r="N311">
        <v>1650</v>
      </c>
    </row>
    <row r="312" spans="1:14" x14ac:dyDescent="0.25">
      <c r="A312">
        <v>113.95470400000001</v>
      </c>
      <c r="B312" s="1">
        <f>DATE(2010,8,22) + TIME(22,54,46)</f>
        <v>40412.954699074071</v>
      </c>
      <c r="C312">
        <v>80</v>
      </c>
      <c r="D312">
        <v>79.878318786999998</v>
      </c>
      <c r="E312">
        <v>40</v>
      </c>
      <c r="F312">
        <v>15.016014099</v>
      </c>
      <c r="G312">
        <v>1368.713501</v>
      </c>
      <c r="H312">
        <v>1358.9659423999999</v>
      </c>
      <c r="I312">
        <v>1279.1962891000001</v>
      </c>
      <c r="J312">
        <v>1251.8739014</v>
      </c>
      <c r="K312">
        <v>1650</v>
      </c>
      <c r="L312">
        <v>0</v>
      </c>
      <c r="M312">
        <v>0</v>
      </c>
      <c r="N312">
        <v>1650</v>
      </c>
    </row>
    <row r="313" spans="1:14" x14ac:dyDescent="0.25">
      <c r="A313">
        <v>114.501009</v>
      </c>
      <c r="B313" s="1">
        <f>DATE(2010,8,23) + TIME(12,1,27)</f>
        <v>40413.501006944447</v>
      </c>
      <c r="C313">
        <v>80</v>
      </c>
      <c r="D313">
        <v>79.878402710000003</v>
      </c>
      <c r="E313">
        <v>40</v>
      </c>
      <c r="F313">
        <v>15.017328261999999</v>
      </c>
      <c r="G313">
        <v>1368.6889647999999</v>
      </c>
      <c r="H313">
        <v>1358.9433594</v>
      </c>
      <c r="I313">
        <v>1279.2142334</v>
      </c>
      <c r="J313">
        <v>1251.8897704999999</v>
      </c>
      <c r="K313">
        <v>1650</v>
      </c>
      <c r="L313">
        <v>0</v>
      </c>
      <c r="M313">
        <v>0</v>
      </c>
      <c r="N313">
        <v>1650</v>
      </c>
    </row>
    <row r="314" spans="1:14" x14ac:dyDescent="0.25">
      <c r="A314">
        <v>115.047314</v>
      </c>
      <c r="B314" s="1">
        <f>DATE(2010,8,24) + TIME(1,8,7)</f>
        <v>40414.047303240739</v>
      </c>
      <c r="C314">
        <v>80</v>
      </c>
      <c r="D314">
        <v>79.878479003999999</v>
      </c>
      <c r="E314">
        <v>40</v>
      </c>
      <c r="F314">
        <v>15.018719673</v>
      </c>
      <c r="G314">
        <v>1368.6644286999999</v>
      </c>
      <c r="H314">
        <v>1358.9208983999999</v>
      </c>
      <c r="I314">
        <v>1279.2322998</v>
      </c>
      <c r="J314">
        <v>1251.9057617000001</v>
      </c>
      <c r="K314">
        <v>1650</v>
      </c>
      <c r="L314">
        <v>0</v>
      </c>
      <c r="M314">
        <v>0</v>
      </c>
      <c r="N314">
        <v>1650</v>
      </c>
    </row>
    <row r="315" spans="1:14" x14ac:dyDescent="0.25">
      <c r="A315">
        <v>115.59361800000001</v>
      </c>
      <c r="B315" s="1">
        <f>DATE(2010,8,24) + TIME(14,14,48)</f>
        <v>40414.593611111108</v>
      </c>
      <c r="C315">
        <v>80</v>
      </c>
      <c r="D315">
        <v>79.878562927000004</v>
      </c>
      <c r="E315">
        <v>40</v>
      </c>
      <c r="F315">
        <v>15.020195961000001</v>
      </c>
      <c r="G315">
        <v>1368.6400146000001</v>
      </c>
      <c r="H315">
        <v>1358.8984375</v>
      </c>
      <c r="I315">
        <v>1279.2507324000001</v>
      </c>
      <c r="J315">
        <v>1251.921875</v>
      </c>
      <c r="K315">
        <v>1650</v>
      </c>
      <c r="L315">
        <v>0</v>
      </c>
      <c r="M315">
        <v>0</v>
      </c>
      <c r="N315">
        <v>1650</v>
      </c>
    </row>
    <row r="316" spans="1:14" x14ac:dyDescent="0.25">
      <c r="A316">
        <v>116.139923</v>
      </c>
      <c r="B316" s="1">
        <f>DATE(2010,8,25) + TIME(3,21,29)</f>
        <v>40415.139918981484</v>
      </c>
      <c r="C316">
        <v>80</v>
      </c>
      <c r="D316">
        <v>79.878639221</v>
      </c>
      <c r="E316">
        <v>40</v>
      </c>
      <c r="F316">
        <v>15.021765709</v>
      </c>
      <c r="G316">
        <v>1368.6157227000001</v>
      </c>
      <c r="H316">
        <v>1358.8760986</v>
      </c>
      <c r="I316">
        <v>1279.2691649999999</v>
      </c>
      <c r="J316">
        <v>1251.9382324000001</v>
      </c>
      <c r="K316">
        <v>1650</v>
      </c>
      <c r="L316">
        <v>0</v>
      </c>
      <c r="M316">
        <v>0</v>
      </c>
      <c r="N316">
        <v>1650</v>
      </c>
    </row>
    <row r="317" spans="1:14" x14ac:dyDescent="0.25">
      <c r="A317">
        <v>116.686228</v>
      </c>
      <c r="B317" s="1">
        <f>DATE(2010,8,25) + TIME(16,28,10)</f>
        <v>40415.686226851853</v>
      </c>
      <c r="C317">
        <v>80</v>
      </c>
      <c r="D317">
        <v>79.878723144999995</v>
      </c>
      <c r="E317">
        <v>40</v>
      </c>
      <c r="F317">
        <v>15.023434639</v>
      </c>
      <c r="G317">
        <v>1368.5914307</v>
      </c>
      <c r="H317">
        <v>1358.8538818</v>
      </c>
      <c r="I317">
        <v>1279.2879639</v>
      </c>
      <c r="J317">
        <v>1251.9548339999999</v>
      </c>
      <c r="K317">
        <v>1650</v>
      </c>
      <c r="L317">
        <v>0</v>
      </c>
      <c r="M317">
        <v>0</v>
      </c>
      <c r="N317">
        <v>1650</v>
      </c>
    </row>
    <row r="318" spans="1:14" x14ac:dyDescent="0.25">
      <c r="A318">
        <v>117.232533</v>
      </c>
      <c r="B318" s="1">
        <f>DATE(2010,8,26) + TIME(5,34,50)</f>
        <v>40416.232523148145</v>
      </c>
      <c r="C318">
        <v>80</v>
      </c>
      <c r="D318">
        <v>79.878807068</v>
      </c>
      <c r="E318">
        <v>40</v>
      </c>
      <c r="F318">
        <v>15.025212288000001</v>
      </c>
      <c r="G318">
        <v>1368.5672606999999</v>
      </c>
      <c r="H318">
        <v>1358.8316649999999</v>
      </c>
      <c r="I318">
        <v>1279.3068848</v>
      </c>
      <c r="J318">
        <v>1251.9715576000001</v>
      </c>
      <c r="K318">
        <v>1650</v>
      </c>
      <c r="L318">
        <v>0</v>
      </c>
      <c r="M318">
        <v>0</v>
      </c>
      <c r="N318">
        <v>1650</v>
      </c>
    </row>
    <row r="319" spans="1:14" x14ac:dyDescent="0.25">
      <c r="A319">
        <v>117.77883799999999</v>
      </c>
      <c r="B319" s="1">
        <f>DATE(2010,8,26) + TIME(18,41,31)</f>
        <v>40416.778831018521</v>
      </c>
      <c r="C319">
        <v>80</v>
      </c>
      <c r="D319">
        <v>79.878883361999996</v>
      </c>
      <c r="E319">
        <v>40</v>
      </c>
      <c r="F319">
        <v>15.027102470000001</v>
      </c>
      <c r="G319">
        <v>1368.5430908000001</v>
      </c>
      <c r="H319">
        <v>1358.8094481999999</v>
      </c>
      <c r="I319">
        <v>1279.3260498</v>
      </c>
      <c r="J319">
        <v>1251.9886475000001</v>
      </c>
      <c r="K319">
        <v>1650</v>
      </c>
      <c r="L319">
        <v>0</v>
      </c>
      <c r="M319">
        <v>0</v>
      </c>
      <c r="N319">
        <v>1650</v>
      </c>
    </row>
    <row r="320" spans="1:14" x14ac:dyDescent="0.25">
      <c r="A320">
        <v>118.325142</v>
      </c>
      <c r="B320" s="1">
        <f>DATE(2010,8,27) + TIME(7,48,12)</f>
        <v>40417.325138888889</v>
      </c>
      <c r="C320">
        <v>80</v>
      </c>
      <c r="D320">
        <v>79.878967285000002</v>
      </c>
      <c r="E320">
        <v>40</v>
      </c>
      <c r="F320">
        <v>15.029115677</v>
      </c>
      <c r="G320">
        <v>1368.519043</v>
      </c>
      <c r="H320">
        <v>1358.7873535000001</v>
      </c>
      <c r="I320">
        <v>1279.3454589999999</v>
      </c>
      <c r="J320">
        <v>1252.0057373</v>
      </c>
      <c r="K320">
        <v>1650</v>
      </c>
      <c r="L320">
        <v>0</v>
      </c>
      <c r="M320">
        <v>0</v>
      </c>
      <c r="N320">
        <v>1650</v>
      </c>
    </row>
    <row r="321" spans="1:14" x14ac:dyDescent="0.25">
      <c r="A321">
        <v>118.871447</v>
      </c>
      <c r="B321" s="1">
        <f>DATE(2010,8,27) + TIME(20,54,53)</f>
        <v>40417.871446759258</v>
      </c>
      <c r="C321">
        <v>80</v>
      </c>
      <c r="D321">
        <v>79.879051208000007</v>
      </c>
      <c r="E321">
        <v>40</v>
      </c>
      <c r="F321">
        <v>15.031257629000001</v>
      </c>
      <c r="G321">
        <v>1368.4951172000001</v>
      </c>
      <c r="H321">
        <v>1358.7653809000001</v>
      </c>
      <c r="I321">
        <v>1279.3649902</v>
      </c>
      <c r="J321">
        <v>1252.0231934000001</v>
      </c>
      <c r="K321">
        <v>1650</v>
      </c>
      <c r="L321">
        <v>0</v>
      </c>
      <c r="M321">
        <v>0</v>
      </c>
      <c r="N321">
        <v>1650</v>
      </c>
    </row>
    <row r="322" spans="1:14" x14ac:dyDescent="0.25">
      <c r="A322">
        <v>119.41775199999999</v>
      </c>
      <c r="B322" s="1">
        <f>DATE(2010,8,28) + TIME(10,1,33)</f>
        <v>40418.417743055557</v>
      </c>
      <c r="C322">
        <v>80</v>
      </c>
      <c r="D322">
        <v>79.879127502000003</v>
      </c>
      <c r="E322">
        <v>40</v>
      </c>
      <c r="F322">
        <v>15.033535957</v>
      </c>
      <c r="G322">
        <v>1368.4711914</v>
      </c>
      <c r="H322">
        <v>1358.7434082</v>
      </c>
      <c r="I322">
        <v>1279.3848877</v>
      </c>
      <c r="J322">
        <v>1252.0407714999999</v>
      </c>
      <c r="K322">
        <v>1650</v>
      </c>
      <c r="L322">
        <v>0</v>
      </c>
      <c r="M322">
        <v>0</v>
      </c>
      <c r="N322">
        <v>1650</v>
      </c>
    </row>
    <row r="323" spans="1:14" x14ac:dyDescent="0.25">
      <c r="A323">
        <v>120.510361</v>
      </c>
      <c r="B323" s="1">
        <f>DATE(2010,8,29) + TIME(12,14,55)</f>
        <v>40419.510358796295</v>
      </c>
      <c r="C323">
        <v>80</v>
      </c>
      <c r="D323">
        <v>79.879302979000002</v>
      </c>
      <c r="E323">
        <v>40</v>
      </c>
      <c r="F323">
        <v>15.037261963000001</v>
      </c>
      <c r="G323">
        <v>1368.4477539</v>
      </c>
      <c r="H323">
        <v>1358.7219238</v>
      </c>
      <c r="I323">
        <v>1279.4047852000001</v>
      </c>
      <c r="J323">
        <v>1252.0593262</v>
      </c>
      <c r="K323">
        <v>1650</v>
      </c>
      <c r="L323">
        <v>0</v>
      </c>
      <c r="M323">
        <v>0</v>
      </c>
      <c r="N323">
        <v>1650</v>
      </c>
    </row>
    <row r="324" spans="1:14" x14ac:dyDescent="0.25">
      <c r="A324">
        <v>121.607382</v>
      </c>
      <c r="B324" s="1">
        <f>DATE(2010,8,30) + TIME(14,34,37)</f>
        <v>40420.607372685183</v>
      </c>
      <c r="C324">
        <v>80</v>
      </c>
      <c r="D324">
        <v>79.879470824999999</v>
      </c>
      <c r="E324">
        <v>40</v>
      </c>
      <c r="F324">
        <v>15.041985512</v>
      </c>
      <c r="G324">
        <v>1368.4006348</v>
      </c>
      <c r="H324">
        <v>1358.6785889</v>
      </c>
      <c r="I324">
        <v>1279.4453125</v>
      </c>
      <c r="J324">
        <v>1252.0952147999999</v>
      </c>
      <c r="K324">
        <v>1650</v>
      </c>
      <c r="L324">
        <v>0</v>
      </c>
      <c r="M324">
        <v>0</v>
      </c>
      <c r="N324">
        <v>1650</v>
      </c>
    </row>
    <row r="325" spans="1:14" x14ac:dyDescent="0.25">
      <c r="A325">
        <v>122.72055899999999</v>
      </c>
      <c r="B325" s="1">
        <f>DATE(2010,8,31) + TIME(17,17,36)</f>
        <v>40421.720555555556</v>
      </c>
      <c r="C325">
        <v>80</v>
      </c>
      <c r="D325">
        <v>79.879638671999999</v>
      </c>
      <c r="E325">
        <v>40</v>
      </c>
      <c r="F325">
        <v>15.047629356</v>
      </c>
      <c r="G325">
        <v>1368.3533935999999</v>
      </c>
      <c r="H325">
        <v>1358.6352539</v>
      </c>
      <c r="I325">
        <v>1279.4869385</v>
      </c>
      <c r="J325">
        <v>1252.1324463000001</v>
      </c>
      <c r="K325">
        <v>1650</v>
      </c>
      <c r="L325">
        <v>0</v>
      </c>
      <c r="M325">
        <v>0</v>
      </c>
      <c r="N325">
        <v>1650</v>
      </c>
    </row>
    <row r="326" spans="1:14" x14ac:dyDescent="0.25">
      <c r="A326">
        <v>123</v>
      </c>
      <c r="B326" s="1">
        <f>DATE(2010,9,1) + TIME(0,0,0)</f>
        <v>40422</v>
      </c>
      <c r="C326">
        <v>80</v>
      </c>
      <c r="D326">
        <v>79.879669188999998</v>
      </c>
      <c r="E326">
        <v>40</v>
      </c>
      <c r="F326">
        <v>15.050151825</v>
      </c>
      <c r="G326">
        <v>1368.3060303</v>
      </c>
      <c r="H326">
        <v>1358.5916748</v>
      </c>
      <c r="I326">
        <v>1279.5303954999999</v>
      </c>
      <c r="J326">
        <v>1252.1693115</v>
      </c>
      <c r="K326">
        <v>1650</v>
      </c>
      <c r="L326">
        <v>0</v>
      </c>
      <c r="M326">
        <v>0</v>
      </c>
      <c r="N326">
        <v>1650</v>
      </c>
    </row>
    <row r="327" spans="1:14" x14ac:dyDescent="0.25">
      <c r="A327">
        <v>123.565668</v>
      </c>
      <c r="B327" s="1">
        <f>DATE(2010,9,1) + TIME(13,34,33)</f>
        <v>40422.565659722219</v>
      </c>
      <c r="C327">
        <v>80</v>
      </c>
      <c r="D327">
        <v>79.879753113000007</v>
      </c>
      <c r="E327">
        <v>40</v>
      </c>
      <c r="F327">
        <v>15.054335593999999</v>
      </c>
      <c r="G327">
        <v>1368.2929687999999</v>
      </c>
      <c r="H327">
        <v>1358.5795897999999</v>
      </c>
      <c r="I327">
        <v>1279.5418701000001</v>
      </c>
      <c r="J327">
        <v>1252.1809082</v>
      </c>
      <c r="K327">
        <v>1650</v>
      </c>
      <c r="L327">
        <v>0</v>
      </c>
      <c r="M327">
        <v>0</v>
      </c>
      <c r="N327">
        <v>1650</v>
      </c>
    </row>
    <row r="328" spans="1:14" x14ac:dyDescent="0.25">
      <c r="A328">
        <v>124.13133500000001</v>
      </c>
      <c r="B328" s="1">
        <f>DATE(2010,9,2) + TIME(3,9,7)</f>
        <v>40423.131331018521</v>
      </c>
      <c r="C328">
        <v>80</v>
      </c>
      <c r="D328">
        <v>79.879837035999998</v>
      </c>
      <c r="E328">
        <v>40</v>
      </c>
      <c r="F328">
        <v>15.058596611</v>
      </c>
      <c r="G328">
        <v>1368.269043</v>
      </c>
      <c r="H328">
        <v>1358.5574951000001</v>
      </c>
      <c r="I328">
        <v>1279.5643310999999</v>
      </c>
      <c r="J328">
        <v>1252.2014160000001</v>
      </c>
      <c r="K328">
        <v>1650</v>
      </c>
      <c r="L328">
        <v>0</v>
      </c>
      <c r="M328">
        <v>0</v>
      </c>
      <c r="N328">
        <v>1650</v>
      </c>
    </row>
    <row r="329" spans="1:14" x14ac:dyDescent="0.25">
      <c r="A329">
        <v>124.697003</v>
      </c>
      <c r="B329" s="1">
        <f>DATE(2010,9,2) + TIME(16,43,41)</f>
        <v>40423.697002314817</v>
      </c>
      <c r="C329">
        <v>80</v>
      </c>
      <c r="D329">
        <v>79.879913329999994</v>
      </c>
      <c r="E329">
        <v>40</v>
      </c>
      <c r="F329">
        <v>15.062994957000001</v>
      </c>
      <c r="G329">
        <v>1368.2449951000001</v>
      </c>
      <c r="H329">
        <v>1358.5354004000001</v>
      </c>
      <c r="I329">
        <v>1279.5872803</v>
      </c>
      <c r="J329">
        <v>1252.2224120999999</v>
      </c>
      <c r="K329">
        <v>1650</v>
      </c>
      <c r="L329">
        <v>0</v>
      </c>
      <c r="M329">
        <v>0</v>
      </c>
      <c r="N329">
        <v>1650</v>
      </c>
    </row>
    <row r="330" spans="1:14" x14ac:dyDescent="0.25">
      <c r="A330">
        <v>125.262671</v>
      </c>
      <c r="B330" s="1">
        <f>DATE(2010,9,3) + TIME(6,18,14)</f>
        <v>40424.262662037036</v>
      </c>
      <c r="C330">
        <v>80</v>
      </c>
      <c r="D330">
        <v>79.879997252999999</v>
      </c>
      <c r="E330">
        <v>40</v>
      </c>
      <c r="F330">
        <v>15.067577362</v>
      </c>
      <c r="G330">
        <v>1368.2209473</v>
      </c>
      <c r="H330">
        <v>1358.5133057</v>
      </c>
      <c r="I330">
        <v>1279.6104736</v>
      </c>
      <c r="J330">
        <v>1252.2436522999999</v>
      </c>
      <c r="K330">
        <v>1650</v>
      </c>
      <c r="L330">
        <v>0</v>
      </c>
      <c r="M330">
        <v>0</v>
      </c>
      <c r="N330">
        <v>1650</v>
      </c>
    </row>
    <row r="331" spans="1:14" x14ac:dyDescent="0.25">
      <c r="A331">
        <v>125.828338</v>
      </c>
      <c r="B331" s="1">
        <f>DATE(2010,9,3) + TIME(19,52,48)</f>
        <v>40424.828333333331</v>
      </c>
      <c r="C331">
        <v>80</v>
      </c>
      <c r="D331">
        <v>79.880081176999994</v>
      </c>
      <c r="E331">
        <v>40</v>
      </c>
      <c r="F331">
        <v>15.07238102</v>
      </c>
      <c r="G331">
        <v>1368.1970214999999</v>
      </c>
      <c r="H331">
        <v>1358.4912108999999</v>
      </c>
      <c r="I331">
        <v>1279.6341553</v>
      </c>
      <c r="J331">
        <v>1252.2651367000001</v>
      </c>
      <c r="K331">
        <v>1650</v>
      </c>
      <c r="L331">
        <v>0</v>
      </c>
      <c r="M331">
        <v>0</v>
      </c>
      <c r="N331">
        <v>1650</v>
      </c>
    </row>
    <row r="332" spans="1:14" x14ac:dyDescent="0.25">
      <c r="A332">
        <v>126.394006</v>
      </c>
      <c r="B332" s="1">
        <f>DATE(2010,9,4) + TIME(9,27,22)</f>
        <v>40425.394004629627</v>
      </c>
      <c r="C332">
        <v>80</v>
      </c>
      <c r="D332">
        <v>79.880165099999999</v>
      </c>
      <c r="E332">
        <v>40</v>
      </c>
      <c r="F332">
        <v>15.07743454</v>
      </c>
      <c r="G332">
        <v>1368.1732178</v>
      </c>
      <c r="H332">
        <v>1358.4692382999999</v>
      </c>
      <c r="I332">
        <v>1279.6579589999999</v>
      </c>
      <c r="J332">
        <v>1252.2871094</v>
      </c>
      <c r="K332">
        <v>1650</v>
      </c>
      <c r="L332">
        <v>0</v>
      </c>
      <c r="M332">
        <v>0</v>
      </c>
      <c r="N332">
        <v>1650</v>
      </c>
    </row>
    <row r="333" spans="1:14" x14ac:dyDescent="0.25">
      <c r="A333">
        <v>126.959673</v>
      </c>
      <c r="B333" s="1">
        <f>DATE(2010,9,4) + TIME(23,1,55)</f>
        <v>40425.959664351853</v>
      </c>
      <c r="C333">
        <v>80</v>
      </c>
      <c r="D333">
        <v>79.880249023000005</v>
      </c>
      <c r="E333">
        <v>40</v>
      </c>
      <c r="F333">
        <v>15.082766532999999</v>
      </c>
      <c r="G333">
        <v>1368.1494141000001</v>
      </c>
      <c r="H333">
        <v>1358.4473877</v>
      </c>
      <c r="I333">
        <v>1279.6821289</v>
      </c>
      <c r="J333">
        <v>1252.3093262</v>
      </c>
      <c r="K333">
        <v>1650</v>
      </c>
      <c r="L333">
        <v>0</v>
      </c>
      <c r="M333">
        <v>0</v>
      </c>
      <c r="N333">
        <v>1650</v>
      </c>
    </row>
    <row r="334" spans="1:14" x14ac:dyDescent="0.25">
      <c r="A334">
        <v>127.525341</v>
      </c>
      <c r="B334" s="1">
        <f>DATE(2010,9,5) + TIME(12,36,29)</f>
        <v>40426.525335648148</v>
      </c>
      <c r="C334">
        <v>80</v>
      </c>
      <c r="D334">
        <v>79.880332946999999</v>
      </c>
      <c r="E334">
        <v>40</v>
      </c>
      <c r="F334">
        <v>15.08839798</v>
      </c>
      <c r="G334">
        <v>1368.1256103999999</v>
      </c>
      <c r="H334">
        <v>1358.4254149999999</v>
      </c>
      <c r="I334">
        <v>1279.7066649999999</v>
      </c>
      <c r="J334">
        <v>1252.3320312000001</v>
      </c>
      <c r="K334">
        <v>1650</v>
      </c>
      <c r="L334">
        <v>0</v>
      </c>
      <c r="M334">
        <v>0</v>
      </c>
      <c r="N334">
        <v>1650</v>
      </c>
    </row>
    <row r="335" spans="1:14" x14ac:dyDescent="0.25">
      <c r="A335">
        <v>128.09025099999999</v>
      </c>
      <c r="B335" s="1">
        <f>DATE(2010,9,6) + TIME(2,9,57)</f>
        <v>40427.090243055558</v>
      </c>
      <c r="C335">
        <v>80</v>
      </c>
      <c r="D335">
        <v>79.880409240999995</v>
      </c>
      <c r="E335">
        <v>40</v>
      </c>
      <c r="F335">
        <v>15.094347000000001</v>
      </c>
      <c r="G335">
        <v>1368.1019286999999</v>
      </c>
      <c r="H335">
        <v>1358.4035644999999</v>
      </c>
      <c r="I335">
        <v>1279.7315673999999</v>
      </c>
      <c r="J335">
        <v>1252.3549805</v>
      </c>
      <c r="K335">
        <v>1650</v>
      </c>
      <c r="L335">
        <v>0</v>
      </c>
      <c r="M335">
        <v>0</v>
      </c>
      <c r="N335">
        <v>1650</v>
      </c>
    </row>
    <row r="336" spans="1:14" x14ac:dyDescent="0.25">
      <c r="A336">
        <v>128.654157</v>
      </c>
      <c r="B336" s="1">
        <f>DATE(2010,9,6) + TIME(15,41,59)</f>
        <v>40427.65415509259</v>
      </c>
      <c r="C336">
        <v>80</v>
      </c>
      <c r="D336">
        <v>79.880493164000001</v>
      </c>
      <c r="E336">
        <v>40</v>
      </c>
      <c r="F336">
        <v>15.100629807000001</v>
      </c>
      <c r="G336">
        <v>1368.0783690999999</v>
      </c>
      <c r="H336">
        <v>1358.3818358999999</v>
      </c>
      <c r="I336">
        <v>1279.7567139</v>
      </c>
      <c r="J336">
        <v>1252.378418</v>
      </c>
      <c r="K336">
        <v>1650</v>
      </c>
      <c r="L336">
        <v>0</v>
      </c>
      <c r="M336">
        <v>0</v>
      </c>
      <c r="N336">
        <v>1650</v>
      </c>
    </row>
    <row r="337" spans="1:14" x14ac:dyDescent="0.25">
      <c r="A337">
        <v>129.21723299999999</v>
      </c>
      <c r="B337" s="1">
        <f>DATE(2010,9,7) + TIME(5,12,48)</f>
        <v>40428.217222222222</v>
      </c>
      <c r="C337">
        <v>80</v>
      </c>
      <c r="D337">
        <v>79.880577087000006</v>
      </c>
      <c r="E337">
        <v>40</v>
      </c>
      <c r="F337">
        <v>15.107266426000001</v>
      </c>
      <c r="G337">
        <v>1368.0548096</v>
      </c>
      <c r="H337">
        <v>1358.3602295000001</v>
      </c>
      <c r="I337">
        <v>1279.7822266000001</v>
      </c>
      <c r="J337">
        <v>1252.4022216999999</v>
      </c>
      <c r="K337">
        <v>1650</v>
      </c>
      <c r="L337">
        <v>0</v>
      </c>
      <c r="M337">
        <v>0</v>
      </c>
      <c r="N337">
        <v>1650</v>
      </c>
    </row>
    <row r="338" spans="1:14" x14ac:dyDescent="0.25">
      <c r="A338">
        <v>129.77963800000001</v>
      </c>
      <c r="B338" s="1">
        <f>DATE(2010,9,7) + TIME(18,42,40)</f>
        <v>40428.779629629629</v>
      </c>
      <c r="C338">
        <v>80</v>
      </c>
      <c r="D338">
        <v>79.880661011000001</v>
      </c>
      <c r="E338">
        <v>40</v>
      </c>
      <c r="F338">
        <v>15.114276886000001</v>
      </c>
      <c r="G338">
        <v>1368.0313721</v>
      </c>
      <c r="H338">
        <v>1358.3386230000001</v>
      </c>
      <c r="I338">
        <v>1279.8079834</v>
      </c>
      <c r="J338">
        <v>1252.4263916</v>
      </c>
      <c r="K338">
        <v>1650</v>
      </c>
      <c r="L338">
        <v>0</v>
      </c>
      <c r="M338">
        <v>0</v>
      </c>
      <c r="N338">
        <v>1650</v>
      </c>
    </row>
    <row r="339" spans="1:14" x14ac:dyDescent="0.25">
      <c r="A339">
        <v>130.34154000000001</v>
      </c>
      <c r="B339" s="1">
        <f>DATE(2010,9,8) + TIME(8,11,49)</f>
        <v>40429.341539351852</v>
      </c>
      <c r="C339">
        <v>80</v>
      </c>
      <c r="D339">
        <v>79.880744934000006</v>
      </c>
      <c r="E339">
        <v>40</v>
      </c>
      <c r="F339">
        <v>15.121682166999999</v>
      </c>
      <c r="G339">
        <v>1368.0080565999999</v>
      </c>
      <c r="H339">
        <v>1358.3170166</v>
      </c>
      <c r="I339">
        <v>1279.8341064000001</v>
      </c>
      <c r="J339">
        <v>1252.4509277</v>
      </c>
      <c r="K339">
        <v>1650</v>
      </c>
      <c r="L339">
        <v>0</v>
      </c>
      <c r="M339">
        <v>0</v>
      </c>
      <c r="N339">
        <v>1650</v>
      </c>
    </row>
    <row r="340" spans="1:14" x14ac:dyDescent="0.25">
      <c r="A340">
        <v>131.46467999999999</v>
      </c>
      <c r="B340" s="1">
        <f>DATE(2010,9,9) + TIME(11,9,8)</f>
        <v>40430.464675925927</v>
      </c>
      <c r="C340">
        <v>80</v>
      </c>
      <c r="D340">
        <v>79.880920410000002</v>
      </c>
      <c r="E340">
        <v>40</v>
      </c>
      <c r="F340">
        <v>15.13365078</v>
      </c>
      <c r="G340">
        <v>1367.9852295000001</v>
      </c>
      <c r="H340">
        <v>1358.2960204999999</v>
      </c>
      <c r="I340">
        <v>1279.8596190999999</v>
      </c>
      <c r="J340">
        <v>1252.4772949000001</v>
      </c>
      <c r="K340">
        <v>1650</v>
      </c>
      <c r="L340">
        <v>0</v>
      </c>
      <c r="M340">
        <v>0</v>
      </c>
      <c r="N340">
        <v>1650</v>
      </c>
    </row>
    <row r="341" spans="1:14" x14ac:dyDescent="0.25">
      <c r="A341">
        <v>132.59252799999999</v>
      </c>
      <c r="B341" s="1">
        <f>DATE(2010,9,10) + TIME(14,13,14)</f>
        <v>40431.592523148145</v>
      </c>
      <c r="C341">
        <v>80</v>
      </c>
      <c r="D341">
        <v>79.881088257000002</v>
      </c>
      <c r="E341">
        <v>40</v>
      </c>
      <c r="F341">
        <v>15.148726462999999</v>
      </c>
      <c r="G341">
        <v>1367.9392089999999</v>
      </c>
      <c r="H341">
        <v>1358.2535399999999</v>
      </c>
      <c r="I341">
        <v>1279.9134521000001</v>
      </c>
      <c r="J341">
        <v>1252.5275879000001</v>
      </c>
      <c r="K341">
        <v>1650</v>
      </c>
      <c r="L341">
        <v>0</v>
      </c>
      <c r="M341">
        <v>0</v>
      </c>
      <c r="N341">
        <v>1650</v>
      </c>
    </row>
    <row r="342" spans="1:14" x14ac:dyDescent="0.25">
      <c r="A342">
        <v>133.737866</v>
      </c>
      <c r="B342" s="1">
        <f>DATE(2010,9,11) + TIME(17,42,31)</f>
        <v>40432.737858796296</v>
      </c>
      <c r="C342">
        <v>80</v>
      </c>
      <c r="D342">
        <v>79.881263732999997</v>
      </c>
      <c r="E342">
        <v>40</v>
      </c>
      <c r="F342">
        <v>15.166577339</v>
      </c>
      <c r="G342">
        <v>1367.8929443</v>
      </c>
      <c r="H342">
        <v>1358.2108154</v>
      </c>
      <c r="I342">
        <v>1279.96875</v>
      </c>
      <c r="J342">
        <v>1252.5803223</v>
      </c>
      <c r="K342">
        <v>1650</v>
      </c>
      <c r="L342">
        <v>0</v>
      </c>
      <c r="M342">
        <v>0</v>
      </c>
      <c r="N342">
        <v>1650</v>
      </c>
    </row>
    <row r="343" spans="1:14" x14ac:dyDescent="0.25">
      <c r="A343">
        <v>134.31855200000001</v>
      </c>
      <c r="B343" s="1">
        <f>DATE(2010,9,12) + TIME(7,38,42)</f>
        <v>40433.318541666667</v>
      </c>
      <c r="C343">
        <v>80</v>
      </c>
      <c r="D343">
        <v>79.881340026999993</v>
      </c>
      <c r="E343">
        <v>40</v>
      </c>
      <c r="F343">
        <v>15.180110931</v>
      </c>
      <c r="G343">
        <v>1367.8459473</v>
      </c>
      <c r="H343">
        <v>1358.1674805</v>
      </c>
      <c r="I343">
        <v>1280.0281981999999</v>
      </c>
      <c r="J343">
        <v>1252.6339111</v>
      </c>
      <c r="K343">
        <v>1650</v>
      </c>
      <c r="L343">
        <v>0</v>
      </c>
      <c r="M343">
        <v>0</v>
      </c>
      <c r="N343">
        <v>1650</v>
      </c>
    </row>
    <row r="344" spans="1:14" x14ac:dyDescent="0.25">
      <c r="A344">
        <v>134.89465899999999</v>
      </c>
      <c r="B344" s="1">
        <f>DATE(2010,9,12) + TIME(21,28,18)</f>
        <v>40433.894652777781</v>
      </c>
      <c r="C344">
        <v>80</v>
      </c>
      <c r="D344">
        <v>79.881416321000003</v>
      </c>
      <c r="E344">
        <v>40</v>
      </c>
      <c r="F344">
        <v>15.193439484000001</v>
      </c>
      <c r="G344">
        <v>1367.8218993999999</v>
      </c>
      <c r="H344">
        <v>1358.1451416</v>
      </c>
      <c r="I344">
        <v>1280.0581055</v>
      </c>
      <c r="J344">
        <v>1252.6640625</v>
      </c>
      <c r="K344">
        <v>1650</v>
      </c>
      <c r="L344">
        <v>0</v>
      </c>
      <c r="M344">
        <v>0</v>
      </c>
      <c r="N344">
        <v>1650</v>
      </c>
    </row>
    <row r="345" spans="1:14" x14ac:dyDescent="0.25">
      <c r="A345">
        <v>135.47044299999999</v>
      </c>
      <c r="B345" s="1">
        <f>DATE(2010,9,13) + TIME(11,17,26)</f>
        <v>40434.470439814817</v>
      </c>
      <c r="C345">
        <v>80</v>
      </c>
      <c r="D345">
        <v>79.881500243999994</v>
      </c>
      <c r="E345">
        <v>40</v>
      </c>
      <c r="F345">
        <v>15.206889153000001</v>
      </c>
      <c r="G345">
        <v>1367.7984618999999</v>
      </c>
      <c r="H345">
        <v>1358.1235352000001</v>
      </c>
      <c r="I345">
        <v>1280.0881348</v>
      </c>
      <c r="J345">
        <v>1252.6943358999999</v>
      </c>
      <c r="K345">
        <v>1650</v>
      </c>
      <c r="L345">
        <v>0</v>
      </c>
      <c r="M345">
        <v>0</v>
      </c>
      <c r="N345">
        <v>1650</v>
      </c>
    </row>
    <row r="346" spans="1:14" x14ac:dyDescent="0.25">
      <c r="A346">
        <v>136.04559499999999</v>
      </c>
      <c r="B346" s="1">
        <f>DATE(2010,9,14) + TIME(1,5,39)</f>
        <v>40435.045590277776</v>
      </c>
      <c r="C346">
        <v>80</v>
      </c>
      <c r="D346">
        <v>79.881576538000004</v>
      </c>
      <c r="E346">
        <v>40</v>
      </c>
      <c r="F346">
        <v>15.220647811999999</v>
      </c>
      <c r="G346">
        <v>1367.7750243999999</v>
      </c>
      <c r="H346">
        <v>1358.1018065999999</v>
      </c>
      <c r="I346">
        <v>1280.1186522999999</v>
      </c>
      <c r="J346">
        <v>1252.7250977000001</v>
      </c>
      <c r="K346">
        <v>1650</v>
      </c>
      <c r="L346">
        <v>0</v>
      </c>
      <c r="M346">
        <v>0</v>
      </c>
      <c r="N346">
        <v>1650</v>
      </c>
    </row>
    <row r="347" spans="1:14" x14ac:dyDescent="0.25">
      <c r="A347">
        <v>136.62011899999999</v>
      </c>
      <c r="B347" s="1">
        <f>DATE(2010,9,14) + TIME(14,52,58)</f>
        <v>40435.620115740741</v>
      </c>
      <c r="C347">
        <v>80</v>
      </c>
      <c r="D347">
        <v>79.881660460999996</v>
      </c>
      <c r="E347">
        <v>40</v>
      </c>
      <c r="F347">
        <v>15.234856605999999</v>
      </c>
      <c r="G347">
        <v>1367.7517089999999</v>
      </c>
      <c r="H347">
        <v>1358.0803223</v>
      </c>
      <c r="I347">
        <v>1280.1496582</v>
      </c>
      <c r="J347">
        <v>1252.7563477000001</v>
      </c>
      <c r="K347">
        <v>1650</v>
      </c>
      <c r="L347">
        <v>0</v>
      </c>
      <c r="M347">
        <v>0</v>
      </c>
      <c r="N347">
        <v>1650</v>
      </c>
    </row>
    <row r="348" spans="1:14" x14ac:dyDescent="0.25">
      <c r="A348">
        <v>137.19402500000001</v>
      </c>
      <c r="B348" s="1">
        <f>DATE(2010,9,15) + TIME(4,39,23)</f>
        <v>40436.194016203706</v>
      </c>
      <c r="C348">
        <v>80</v>
      </c>
      <c r="D348">
        <v>79.881744385000005</v>
      </c>
      <c r="E348">
        <v>40</v>
      </c>
      <c r="F348">
        <v>15.249623299</v>
      </c>
      <c r="G348">
        <v>1367.7285156</v>
      </c>
      <c r="H348">
        <v>1358.0587158000001</v>
      </c>
      <c r="I348">
        <v>1280.1812743999999</v>
      </c>
      <c r="J348">
        <v>1252.7882079999999</v>
      </c>
      <c r="K348">
        <v>1650</v>
      </c>
      <c r="L348">
        <v>0</v>
      </c>
      <c r="M348">
        <v>0</v>
      </c>
      <c r="N348">
        <v>1650</v>
      </c>
    </row>
    <row r="349" spans="1:14" x14ac:dyDescent="0.25">
      <c r="A349">
        <v>137.76735099999999</v>
      </c>
      <c r="B349" s="1">
        <f>DATE(2010,9,15) + TIME(18,24,59)</f>
        <v>40436.76734953704</v>
      </c>
      <c r="C349">
        <v>80</v>
      </c>
      <c r="D349">
        <v>79.881828307999996</v>
      </c>
      <c r="E349">
        <v>40</v>
      </c>
      <c r="F349">
        <v>15.265032767999999</v>
      </c>
      <c r="G349">
        <v>1367.7053223</v>
      </c>
      <c r="H349">
        <v>1358.0372314000001</v>
      </c>
      <c r="I349">
        <v>1280.2131348</v>
      </c>
      <c r="J349">
        <v>1252.8208007999999</v>
      </c>
      <c r="K349">
        <v>1650</v>
      </c>
      <c r="L349">
        <v>0</v>
      </c>
      <c r="M349">
        <v>0</v>
      </c>
      <c r="N349">
        <v>1650</v>
      </c>
    </row>
    <row r="350" spans="1:14" x14ac:dyDescent="0.25">
      <c r="A350">
        <v>138.340158</v>
      </c>
      <c r="B350" s="1">
        <f>DATE(2010,9,16) + TIME(8,9,49)</f>
        <v>40437.340150462966</v>
      </c>
      <c r="C350">
        <v>80</v>
      </c>
      <c r="D350">
        <v>79.881912231000001</v>
      </c>
      <c r="E350">
        <v>40</v>
      </c>
      <c r="F350">
        <v>15.281152725</v>
      </c>
      <c r="G350">
        <v>1367.682251</v>
      </c>
      <c r="H350">
        <v>1358.0158690999999</v>
      </c>
      <c r="I350">
        <v>1280.2456055</v>
      </c>
      <c r="J350">
        <v>1252.8538818</v>
      </c>
      <c r="K350">
        <v>1650</v>
      </c>
      <c r="L350">
        <v>0</v>
      </c>
      <c r="M350">
        <v>0</v>
      </c>
      <c r="N350">
        <v>1650</v>
      </c>
    </row>
    <row r="351" spans="1:14" x14ac:dyDescent="0.25">
      <c r="A351">
        <v>138.912522</v>
      </c>
      <c r="B351" s="1">
        <f>DATE(2010,9,16) + TIME(21,54,1)</f>
        <v>40437.912511574075</v>
      </c>
      <c r="C351">
        <v>80</v>
      </c>
      <c r="D351">
        <v>79.881996154999996</v>
      </c>
      <c r="E351">
        <v>40</v>
      </c>
      <c r="F351">
        <v>15.298044205</v>
      </c>
      <c r="G351">
        <v>1367.6591797000001</v>
      </c>
      <c r="H351">
        <v>1357.9945068</v>
      </c>
      <c r="I351">
        <v>1280.2784423999999</v>
      </c>
      <c r="J351">
        <v>1252.8878173999999</v>
      </c>
      <c r="K351">
        <v>1650</v>
      </c>
      <c r="L351">
        <v>0</v>
      </c>
      <c r="M351">
        <v>0</v>
      </c>
      <c r="N351">
        <v>1650</v>
      </c>
    </row>
    <row r="352" spans="1:14" x14ac:dyDescent="0.25">
      <c r="A352">
        <v>139.48453499999999</v>
      </c>
      <c r="B352" s="1">
        <f>DATE(2010,9,17) + TIME(11,37,43)</f>
        <v>40438.484525462962</v>
      </c>
      <c r="C352">
        <v>80</v>
      </c>
      <c r="D352">
        <v>79.882080078000001</v>
      </c>
      <c r="E352">
        <v>40</v>
      </c>
      <c r="F352">
        <v>15.315760612</v>
      </c>
      <c r="G352">
        <v>1367.6361084</v>
      </c>
      <c r="H352">
        <v>1357.9731445</v>
      </c>
      <c r="I352">
        <v>1280.3117675999999</v>
      </c>
      <c r="J352">
        <v>1252.9223632999999</v>
      </c>
      <c r="K352">
        <v>1650</v>
      </c>
      <c r="L352">
        <v>0</v>
      </c>
      <c r="M352">
        <v>0</v>
      </c>
      <c r="N352">
        <v>1650</v>
      </c>
    </row>
    <row r="353" spans="1:14" x14ac:dyDescent="0.25">
      <c r="A353">
        <v>140.05630600000001</v>
      </c>
      <c r="B353" s="1">
        <f>DATE(2010,9,18) + TIME(1,21,4)</f>
        <v>40439.056296296294</v>
      </c>
      <c r="C353">
        <v>80</v>
      </c>
      <c r="D353">
        <v>79.882164001000007</v>
      </c>
      <c r="E353">
        <v>40</v>
      </c>
      <c r="F353">
        <v>15.334352493000001</v>
      </c>
      <c r="G353">
        <v>1367.6131591999999</v>
      </c>
      <c r="H353">
        <v>1357.9519043</v>
      </c>
      <c r="I353">
        <v>1280.3455810999999</v>
      </c>
      <c r="J353">
        <v>1252.9576416</v>
      </c>
      <c r="K353">
        <v>1650</v>
      </c>
      <c r="L353">
        <v>0</v>
      </c>
      <c r="M353">
        <v>0</v>
      </c>
      <c r="N353">
        <v>1650</v>
      </c>
    </row>
    <row r="354" spans="1:14" x14ac:dyDescent="0.25">
      <c r="A354">
        <v>141.19960399999999</v>
      </c>
      <c r="B354" s="1">
        <f>DATE(2010,9,19) + TIME(4,47,25)</f>
        <v>40440.199594907404</v>
      </c>
      <c r="C354">
        <v>80</v>
      </c>
      <c r="D354">
        <v>79.882339478000006</v>
      </c>
      <c r="E354">
        <v>40</v>
      </c>
      <c r="F354">
        <v>15.364099503</v>
      </c>
      <c r="G354">
        <v>1367.5905762</v>
      </c>
      <c r="H354">
        <v>1357.9309082</v>
      </c>
      <c r="I354">
        <v>1280.3773193</v>
      </c>
      <c r="J354">
        <v>1252.9969481999999</v>
      </c>
      <c r="K354">
        <v>1650</v>
      </c>
      <c r="L354">
        <v>0</v>
      </c>
      <c r="M354">
        <v>0</v>
      </c>
      <c r="N354">
        <v>1650</v>
      </c>
    </row>
    <row r="355" spans="1:14" x14ac:dyDescent="0.25">
      <c r="A355">
        <v>142.343447</v>
      </c>
      <c r="B355" s="1">
        <f>DATE(2010,9,20) + TIME(8,14,33)</f>
        <v>40441.3434375</v>
      </c>
      <c r="C355">
        <v>80</v>
      </c>
      <c r="D355">
        <v>79.882507324000002</v>
      </c>
      <c r="E355">
        <v>40</v>
      </c>
      <c r="F355">
        <v>15.401248932</v>
      </c>
      <c r="G355">
        <v>1367.5451660000001</v>
      </c>
      <c r="H355">
        <v>1357.8887939000001</v>
      </c>
      <c r="I355">
        <v>1280.4476318</v>
      </c>
      <c r="J355">
        <v>1253.0693358999999</v>
      </c>
      <c r="K355">
        <v>1650</v>
      </c>
      <c r="L355">
        <v>0</v>
      </c>
      <c r="M355">
        <v>0</v>
      </c>
      <c r="N355">
        <v>1650</v>
      </c>
    </row>
    <row r="356" spans="1:14" x14ac:dyDescent="0.25">
      <c r="A356">
        <v>143.50284600000001</v>
      </c>
      <c r="B356" s="1">
        <f>DATE(2010,9,21) + TIME(12,4,5)</f>
        <v>40442.502835648149</v>
      </c>
      <c r="C356">
        <v>80</v>
      </c>
      <c r="D356">
        <v>79.882675171000002</v>
      </c>
      <c r="E356">
        <v>40</v>
      </c>
      <c r="F356">
        <v>15.444727898</v>
      </c>
      <c r="G356">
        <v>1367.4996338000001</v>
      </c>
      <c r="H356">
        <v>1357.8465576000001</v>
      </c>
      <c r="I356">
        <v>1280.5195312000001</v>
      </c>
      <c r="J356">
        <v>1253.1461182</v>
      </c>
      <c r="K356">
        <v>1650</v>
      </c>
      <c r="L356">
        <v>0</v>
      </c>
      <c r="M356">
        <v>0</v>
      </c>
      <c r="N356">
        <v>1650</v>
      </c>
    </row>
    <row r="357" spans="1:14" x14ac:dyDescent="0.25">
      <c r="A357">
        <v>144.091386</v>
      </c>
      <c r="B357" s="1">
        <f>DATE(2010,9,22) + TIME(2,11,35)</f>
        <v>40443.091377314813</v>
      </c>
      <c r="C357">
        <v>80</v>
      </c>
      <c r="D357">
        <v>79.882751464999998</v>
      </c>
      <c r="E357">
        <v>40</v>
      </c>
      <c r="F357">
        <v>15.477441788</v>
      </c>
      <c r="G357">
        <v>1367.4534911999999</v>
      </c>
      <c r="H357">
        <v>1357.8037108999999</v>
      </c>
      <c r="I357">
        <v>1280.5983887</v>
      </c>
      <c r="J357">
        <v>1253.2227783000001</v>
      </c>
      <c r="K357">
        <v>1650</v>
      </c>
      <c r="L357">
        <v>0</v>
      </c>
      <c r="M357">
        <v>0</v>
      </c>
      <c r="N357">
        <v>1650</v>
      </c>
    </row>
    <row r="358" spans="1:14" x14ac:dyDescent="0.25">
      <c r="A358">
        <v>145.24331799999999</v>
      </c>
      <c r="B358" s="1">
        <f>DATE(2010,9,23) + TIME(5,50,22)</f>
        <v>40444.243310185186</v>
      </c>
      <c r="C358">
        <v>80</v>
      </c>
      <c r="D358">
        <v>79.882926940999994</v>
      </c>
      <c r="E358">
        <v>40</v>
      </c>
      <c r="F358">
        <v>15.525575637999999</v>
      </c>
      <c r="G358">
        <v>1367.4299315999999</v>
      </c>
      <c r="H358">
        <v>1357.7818603999999</v>
      </c>
      <c r="I358">
        <v>1280.6325684000001</v>
      </c>
      <c r="J358">
        <v>1253.2725829999999</v>
      </c>
      <c r="K358">
        <v>1650</v>
      </c>
      <c r="L358">
        <v>0</v>
      </c>
      <c r="M358">
        <v>0</v>
      </c>
      <c r="N358">
        <v>1650</v>
      </c>
    </row>
    <row r="359" spans="1:14" x14ac:dyDescent="0.25">
      <c r="A359">
        <v>145.827562</v>
      </c>
      <c r="B359" s="1">
        <f>DATE(2010,9,23) + TIME(19,51,41)</f>
        <v>40444.827557870369</v>
      </c>
      <c r="C359">
        <v>80</v>
      </c>
      <c r="D359">
        <v>79.883003235000004</v>
      </c>
      <c r="E359">
        <v>40</v>
      </c>
      <c r="F359">
        <v>15.56235981</v>
      </c>
      <c r="G359">
        <v>1367.3845214999999</v>
      </c>
      <c r="H359">
        <v>1357.739624</v>
      </c>
      <c r="I359">
        <v>1280.7149658000001</v>
      </c>
      <c r="J359">
        <v>1253.3536377</v>
      </c>
      <c r="K359">
        <v>1650</v>
      </c>
      <c r="L359">
        <v>0</v>
      </c>
      <c r="M359">
        <v>0</v>
      </c>
      <c r="N359">
        <v>1650</v>
      </c>
    </row>
    <row r="360" spans="1:14" x14ac:dyDescent="0.25">
      <c r="A360">
        <v>146.96493000000001</v>
      </c>
      <c r="B360" s="1">
        <f>DATE(2010,9,24) + TIME(23,9,29)</f>
        <v>40445.964918981481</v>
      </c>
      <c r="C360">
        <v>80</v>
      </c>
      <c r="D360">
        <v>79.883171082000004</v>
      </c>
      <c r="E360">
        <v>40</v>
      </c>
      <c r="F360">
        <v>15.616576195</v>
      </c>
      <c r="G360">
        <v>1367.3612060999999</v>
      </c>
      <c r="H360">
        <v>1357.7180175999999</v>
      </c>
      <c r="I360">
        <v>1280.7498779</v>
      </c>
      <c r="J360">
        <v>1253.4069824000001</v>
      </c>
      <c r="K360">
        <v>1650</v>
      </c>
      <c r="L360">
        <v>0</v>
      </c>
      <c r="M360">
        <v>0</v>
      </c>
      <c r="N360">
        <v>1650</v>
      </c>
    </row>
    <row r="361" spans="1:14" x14ac:dyDescent="0.25">
      <c r="A361">
        <v>148.12671800000001</v>
      </c>
      <c r="B361" s="1">
        <f>DATE(2010,9,26) + TIME(3,2,28)</f>
        <v>40447.126712962963</v>
      </c>
      <c r="C361">
        <v>80</v>
      </c>
      <c r="D361">
        <v>79.883346558</v>
      </c>
      <c r="E361">
        <v>40</v>
      </c>
      <c r="F361">
        <v>15.679722785999999</v>
      </c>
      <c r="G361">
        <v>1367.3166504000001</v>
      </c>
      <c r="H361">
        <v>1357.6765137</v>
      </c>
      <c r="I361">
        <v>1280.8299560999999</v>
      </c>
      <c r="J361">
        <v>1253.4990233999999</v>
      </c>
      <c r="K361">
        <v>1650</v>
      </c>
      <c r="L361">
        <v>0</v>
      </c>
      <c r="M361">
        <v>0</v>
      </c>
      <c r="N361">
        <v>1650</v>
      </c>
    </row>
    <row r="362" spans="1:14" x14ac:dyDescent="0.25">
      <c r="A362">
        <v>149.29184900000001</v>
      </c>
      <c r="B362" s="1">
        <f>DATE(2010,9,27) + TIME(7,0,15)</f>
        <v>40448.29184027778</v>
      </c>
      <c r="C362">
        <v>80</v>
      </c>
      <c r="D362">
        <v>79.883514403999996</v>
      </c>
      <c r="E362">
        <v>40</v>
      </c>
      <c r="F362">
        <v>15.750887871</v>
      </c>
      <c r="G362">
        <v>1367.270874</v>
      </c>
      <c r="H362">
        <v>1357.6339111</v>
      </c>
      <c r="I362">
        <v>1280.9138184000001</v>
      </c>
      <c r="J362">
        <v>1253.5980225000001</v>
      </c>
      <c r="K362">
        <v>1650</v>
      </c>
      <c r="L362">
        <v>0</v>
      </c>
      <c r="M362">
        <v>0</v>
      </c>
      <c r="N362">
        <v>1650</v>
      </c>
    </row>
    <row r="363" spans="1:14" x14ac:dyDescent="0.25">
      <c r="A363">
        <v>150.46338700000001</v>
      </c>
      <c r="B363" s="1">
        <f>DATE(2010,9,28) + TIME(11,7,16)</f>
        <v>40449.463379629633</v>
      </c>
      <c r="C363">
        <v>80</v>
      </c>
      <c r="D363">
        <v>79.883682250999996</v>
      </c>
      <c r="E363">
        <v>40</v>
      </c>
      <c r="F363">
        <v>15.829883575</v>
      </c>
      <c r="G363">
        <v>1367.2250977000001</v>
      </c>
      <c r="H363">
        <v>1357.5913086</v>
      </c>
      <c r="I363">
        <v>1281</v>
      </c>
      <c r="J363">
        <v>1253.7023925999999</v>
      </c>
      <c r="K363">
        <v>1650</v>
      </c>
      <c r="L363">
        <v>0</v>
      </c>
      <c r="M363">
        <v>0</v>
      </c>
      <c r="N363">
        <v>1650</v>
      </c>
    </row>
    <row r="364" spans="1:14" x14ac:dyDescent="0.25">
      <c r="A364">
        <v>151.05229600000001</v>
      </c>
      <c r="B364" s="1">
        <f>DATE(2010,9,29) + TIME(1,15,18)</f>
        <v>40450.052291666667</v>
      </c>
      <c r="C364">
        <v>80</v>
      </c>
      <c r="D364">
        <v>79.883758545000006</v>
      </c>
      <c r="E364">
        <v>40</v>
      </c>
      <c r="F364">
        <v>15.887365341000001</v>
      </c>
      <c r="G364">
        <v>1367.1791992000001</v>
      </c>
      <c r="H364">
        <v>1357.5483397999999</v>
      </c>
      <c r="I364">
        <v>1281.0963135</v>
      </c>
      <c r="J364">
        <v>1253.8040771000001</v>
      </c>
      <c r="K364">
        <v>1650</v>
      </c>
      <c r="L364">
        <v>0</v>
      </c>
      <c r="M364">
        <v>0</v>
      </c>
      <c r="N364">
        <v>1650</v>
      </c>
    </row>
    <row r="365" spans="1:14" x14ac:dyDescent="0.25">
      <c r="A365">
        <v>151.64120500000001</v>
      </c>
      <c r="B365" s="1">
        <f>DATE(2010,9,29) + TIME(15,23,20)</f>
        <v>40450.641203703701</v>
      </c>
      <c r="C365">
        <v>80</v>
      </c>
      <c r="D365">
        <v>79.883834839000002</v>
      </c>
      <c r="E365">
        <v>40</v>
      </c>
      <c r="F365">
        <v>15.94301033</v>
      </c>
      <c r="G365">
        <v>1367.1556396000001</v>
      </c>
      <c r="H365">
        <v>1357.5263672000001</v>
      </c>
      <c r="I365">
        <v>1281.1405029</v>
      </c>
      <c r="J365">
        <v>1253.8651123</v>
      </c>
      <c r="K365">
        <v>1650</v>
      </c>
      <c r="L365">
        <v>0</v>
      </c>
      <c r="M365">
        <v>0</v>
      </c>
      <c r="N365">
        <v>1650</v>
      </c>
    </row>
    <row r="366" spans="1:14" x14ac:dyDescent="0.25">
      <c r="A366">
        <v>152.23011399999999</v>
      </c>
      <c r="B366" s="1">
        <f>DATE(2010,9,30) + TIME(5,31,21)</f>
        <v>40451.230104166665</v>
      </c>
      <c r="C366">
        <v>80</v>
      </c>
      <c r="D366">
        <v>79.883918761999993</v>
      </c>
      <c r="E366">
        <v>40</v>
      </c>
      <c r="F366">
        <v>15.998097420000001</v>
      </c>
      <c r="G366">
        <v>1367.1325684000001</v>
      </c>
      <c r="H366">
        <v>1357.5048827999999</v>
      </c>
      <c r="I366">
        <v>1281.1857910000001</v>
      </c>
      <c r="J366">
        <v>1253.9267577999999</v>
      </c>
      <c r="K366">
        <v>1650</v>
      </c>
      <c r="L366">
        <v>0</v>
      </c>
      <c r="M366">
        <v>0</v>
      </c>
      <c r="N366">
        <v>1650</v>
      </c>
    </row>
    <row r="367" spans="1:14" x14ac:dyDescent="0.25">
      <c r="A367">
        <v>153</v>
      </c>
      <c r="B367" s="1">
        <f>DATE(2010,10,1) + TIME(0,0,0)</f>
        <v>40452</v>
      </c>
      <c r="C367">
        <v>80</v>
      </c>
      <c r="D367">
        <v>79.884025574000006</v>
      </c>
      <c r="E367">
        <v>40</v>
      </c>
      <c r="F367">
        <v>16.064004898</v>
      </c>
      <c r="G367">
        <v>1367.1096190999999</v>
      </c>
      <c r="H367">
        <v>1357.4833983999999</v>
      </c>
      <c r="I367">
        <v>1281.2290039</v>
      </c>
      <c r="J367">
        <v>1253.9921875</v>
      </c>
      <c r="K367">
        <v>1650</v>
      </c>
      <c r="L367">
        <v>0</v>
      </c>
      <c r="M367">
        <v>0</v>
      </c>
      <c r="N367">
        <v>1650</v>
      </c>
    </row>
    <row r="368" spans="1:14" x14ac:dyDescent="0.25">
      <c r="A368">
        <v>153.588909</v>
      </c>
      <c r="B368" s="1">
        <f>DATE(2010,10,1) + TIME(14,8,1)</f>
        <v>40452.588900462964</v>
      </c>
      <c r="C368">
        <v>80</v>
      </c>
      <c r="D368">
        <v>79.884109496999997</v>
      </c>
      <c r="E368">
        <v>40</v>
      </c>
      <c r="F368">
        <v>16.122755050999999</v>
      </c>
      <c r="G368">
        <v>1367.0795897999999</v>
      </c>
      <c r="H368">
        <v>1357.4553223</v>
      </c>
      <c r="I368">
        <v>1281.2944336</v>
      </c>
      <c r="J368">
        <v>1254.0711670000001</v>
      </c>
      <c r="K368">
        <v>1650</v>
      </c>
      <c r="L368">
        <v>0</v>
      </c>
      <c r="M368">
        <v>0</v>
      </c>
      <c r="N368">
        <v>1650</v>
      </c>
    </row>
    <row r="369" spans="1:14" x14ac:dyDescent="0.25">
      <c r="A369">
        <v>154.17308700000001</v>
      </c>
      <c r="B369" s="1">
        <f>DATE(2010,10,2) + TIME(4,9,14)</f>
        <v>40453.173078703701</v>
      </c>
      <c r="C369">
        <v>80</v>
      </c>
      <c r="D369">
        <v>79.884193420000003</v>
      </c>
      <c r="E369">
        <v>40</v>
      </c>
      <c r="F369">
        <v>16.182001113999998</v>
      </c>
      <c r="G369">
        <v>1367.0563964999999</v>
      </c>
      <c r="H369">
        <v>1357.4335937999999</v>
      </c>
      <c r="I369">
        <v>1281.3424072</v>
      </c>
      <c r="J369">
        <v>1254.1369629000001</v>
      </c>
      <c r="K369">
        <v>1650</v>
      </c>
      <c r="L369">
        <v>0</v>
      </c>
      <c r="M369">
        <v>0</v>
      </c>
      <c r="N369">
        <v>1650</v>
      </c>
    </row>
    <row r="370" spans="1:14" x14ac:dyDescent="0.25">
      <c r="A370">
        <v>154.75726499999999</v>
      </c>
      <c r="B370" s="1">
        <f>DATE(2010,10,2) + TIME(18,10,27)</f>
        <v>40453.757256944446</v>
      </c>
      <c r="C370">
        <v>80</v>
      </c>
      <c r="D370">
        <v>79.884277343999997</v>
      </c>
      <c r="E370">
        <v>40</v>
      </c>
      <c r="F370">
        <v>16.242492676000001</v>
      </c>
      <c r="G370">
        <v>1367.0335693</v>
      </c>
      <c r="H370">
        <v>1357.4122314000001</v>
      </c>
      <c r="I370">
        <v>1281.3905029</v>
      </c>
      <c r="J370">
        <v>1254.2036132999999</v>
      </c>
      <c r="K370">
        <v>1650</v>
      </c>
      <c r="L370">
        <v>0</v>
      </c>
      <c r="M370">
        <v>0</v>
      </c>
      <c r="N370">
        <v>1650</v>
      </c>
    </row>
    <row r="371" spans="1:14" x14ac:dyDescent="0.25">
      <c r="A371">
        <v>155.341443</v>
      </c>
      <c r="B371" s="1">
        <f>DATE(2010,10,3) + TIME(8,11,40)</f>
        <v>40454.341435185182</v>
      </c>
      <c r="C371">
        <v>80</v>
      </c>
      <c r="D371">
        <v>79.884361267000003</v>
      </c>
      <c r="E371">
        <v>40</v>
      </c>
      <c r="F371">
        <v>16.304582595999999</v>
      </c>
      <c r="G371">
        <v>1367.0107422000001</v>
      </c>
      <c r="H371">
        <v>1357.3909911999999</v>
      </c>
      <c r="I371">
        <v>1281.4393310999999</v>
      </c>
      <c r="J371">
        <v>1254.2716064000001</v>
      </c>
      <c r="K371">
        <v>1650</v>
      </c>
      <c r="L371">
        <v>0</v>
      </c>
      <c r="M371">
        <v>0</v>
      </c>
      <c r="N371">
        <v>1650</v>
      </c>
    </row>
    <row r="372" spans="1:14" x14ac:dyDescent="0.25">
      <c r="A372">
        <v>155.92562100000001</v>
      </c>
      <c r="B372" s="1">
        <f>DATE(2010,10,3) + TIME(22,12,53)</f>
        <v>40454.925613425927</v>
      </c>
      <c r="C372">
        <v>80</v>
      </c>
      <c r="D372">
        <v>79.884445189999994</v>
      </c>
      <c r="E372">
        <v>40</v>
      </c>
      <c r="F372">
        <v>16.368524551</v>
      </c>
      <c r="G372">
        <v>1366.9880370999999</v>
      </c>
      <c r="H372">
        <v>1357.3696289</v>
      </c>
      <c r="I372">
        <v>1281.4888916</v>
      </c>
      <c r="J372">
        <v>1254.3410644999999</v>
      </c>
      <c r="K372">
        <v>1650</v>
      </c>
      <c r="L372">
        <v>0</v>
      </c>
      <c r="M372">
        <v>0</v>
      </c>
      <c r="N372">
        <v>1650</v>
      </c>
    </row>
    <row r="373" spans="1:14" x14ac:dyDescent="0.25">
      <c r="A373">
        <v>156.50979899999999</v>
      </c>
      <c r="B373" s="1">
        <f>DATE(2010,10,4) + TIME(12,14,6)</f>
        <v>40455.509791666664</v>
      </c>
      <c r="C373">
        <v>80</v>
      </c>
      <c r="D373">
        <v>79.884529114000003</v>
      </c>
      <c r="E373">
        <v>40</v>
      </c>
      <c r="F373">
        <v>16.434501648000001</v>
      </c>
      <c r="G373">
        <v>1366.965332</v>
      </c>
      <c r="H373">
        <v>1357.3482666</v>
      </c>
      <c r="I373">
        <v>1281.5390625</v>
      </c>
      <c r="J373">
        <v>1254.4121094</v>
      </c>
      <c r="K373">
        <v>1650</v>
      </c>
      <c r="L373">
        <v>0</v>
      </c>
      <c r="M373">
        <v>0</v>
      </c>
      <c r="N373">
        <v>1650</v>
      </c>
    </row>
    <row r="374" spans="1:14" x14ac:dyDescent="0.25">
      <c r="A374">
        <v>157.093977</v>
      </c>
      <c r="B374" s="1">
        <f>DATE(2010,10,5) + TIME(2,15,19)</f>
        <v>40456.093969907408</v>
      </c>
      <c r="C374">
        <v>80</v>
      </c>
      <c r="D374">
        <v>79.884605407999999</v>
      </c>
      <c r="E374">
        <v>40</v>
      </c>
      <c r="F374">
        <v>16.502649306999999</v>
      </c>
      <c r="G374">
        <v>1366.9425048999999</v>
      </c>
      <c r="H374">
        <v>1357.3270264</v>
      </c>
      <c r="I374">
        <v>1281.5897216999999</v>
      </c>
      <c r="J374">
        <v>1254.4848632999999</v>
      </c>
      <c r="K374">
        <v>1650</v>
      </c>
      <c r="L374">
        <v>0</v>
      </c>
      <c r="M374">
        <v>0</v>
      </c>
      <c r="N374">
        <v>1650</v>
      </c>
    </row>
    <row r="375" spans="1:14" x14ac:dyDescent="0.25">
      <c r="A375">
        <v>157.678155</v>
      </c>
      <c r="B375" s="1">
        <f>DATE(2010,10,5) + TIME(16,16,32)</f>
        <v>40456.678148148145</v>
      </c>
      <c r="C375">
        <v>80</v>
      </c>
      <c r="D375">
        <v>79.884689331000004</v>
      </c>
      <c r="E375">
        <v>40</v>
      </c>
      <c r="F375">
        <v>16.573070525999999</v>
      </c>
      <c r="G375">
        <v>1366.9197998</v>
      </c>
      <c r="H375">
        <v>1357.3056641000001</v>
      </c>
      <c r="I375">
        <v>1281.6411132999999</v>
      </c>
      <c r="J375">
        <v>1254.559082</v>
      </c>
      <c r="K375">
        <v>1650</v>
      </c>
      <c r="L375">
        <v>0</v>
      </c>
      <c r="M375">
        <v>0</v>
      </c>
      <c r="N375">
        <v>1650</v>
      </c>
    </row>
    <row r="376" spans="1:14" x14ac:dyDescent="0.25">
      <c r="A376">
        <v>158.26233300000001</v>
      </c>
      <c r="B376" s="1">
        <f>DATE(2010,10,6) + TIME(6,17,45)</f>
        <v>40457.262326388889</v>
      </c>
      <c r="C376">
        <v>80</v>
      </c>
      <c r="D376">
        <v>79.884773253999995</v>
      </c>
      <c r="E376">
        <v>40</v>
      </c>
      <c r="F376">
        <v>16.645843505999999</v>
      </c>
      <c r="G376">
        <v>1366.8972168</v>
      </c>
      <c r="H376">
        <v>1357.2844238</v>
      </c>
      <c r="I376">
        <v>1281.6928711</v>
      </c>
      <c r="J376">
        <v>1254.6351318</v>
      </c>
      <c r="K376">
        <v>1650</v>
      </c>
      <c r="L376">
        <v>0</v>
      </c>
      <c r="M376">
        <v>0</v>
      </c>
      <c r="N376">
        <v>1650</v>
      </c>
    </row>
    <row r="377" spans="1:14" x14ac:dyDescent="0.25">
      <c r="A377">
        <v>158.84650999999999</v>
      </c>
      <c r="B377" s="1">
        <f>DATE(2010,10,6) + TIME(20,18,58)</f>
        <v>40457.846504629626</v>
      </c>
      <c r="C377">
        <v>80</v>
      </c>
      <c r="D377">
        <v>79.884857178000004</v>
      </c>
      <c r="E377">
        <v>40</v>
      </c>
      <c r="F377">
        <v>16.721029282</v>
      </c>
      <c r="G377">
        <v>1366.8745117000001</v>
      </c>
      <c r="H377">
        <v>1357.2631836</v>
      </c>
      <c r="I377">
        <v>1281.7453613</v>
      </c>
      <c r="J377">
        <v>1254.7127685999999</v>
      </c>
      <c r="K377">
        <v>1650</v>
      </c>
      <c r="L377">
        <v>0</v>
      </c>
      <c r="M377">
        <v>0</v>
      </c>
      <c r="N377">
        <v>1650</v>
      </c>
    </row>
    <row r="378" spans="1:14" x14ac:dyDescent="0.25">
      <c r="A378">
        <v>159.430688</v>
      </c>
      <c r="B378" s="1">
        <f>DATE(2010,10,7) + TIME(10,20,11)</f>
        <v>40458.43068287037</v>
      </c>
      <c r="C378">
        <v>80</v>
      </c>
      <c r="D378">
        <v>79.884941100999995</v>
      </c>
      <c r="E378">
        <v>40</v>
      </c>
      <c r="F378">
        <v>16.798675537000001</v>
      </c>
      <c r="G378">
        <v>1366.8518065999999</v>
      </c>
      <c r="H378">
        <v>1357.2419434000001</v>
      </c>
      <c r="I378">
        <v>1281.7982178</v>
      </c>
      <c r="J378">
        <v>1254.7922363</v>
      </c>
      <c r="K378">
        <v>1650</v>
      </c>
      <c r="L378">
        <v>0</v>
      </c>
      <c r="M378">
        <v>0</v>
      </c>
      <c r="N378">
        <v>1650</v>
      </c>
    </row>
    <row r="379" spans="1:14" x14ac:dyDescent="0.25">
      <c r="A379">
        <v>160.01486600000001</v>
      </c>
      <c r="B379" s="1">
        <f>DATE(2010,10,8) + TIME(0,21,24)</f>
        <v>40459.014861111114</v>
      </c>
      <c r="C379">
        <v>80</v>
      </c>
      <c r="D379">
        <v>79.885025024000001</v>
      </c>
      <c r="E379">
        <v>40</v>
      </c>
      <c r="F379">
        <v>16.878801345999999</v>
      </c>
      <c r="G379">
        <v>1366.8292236</v>
      </c>
      <c r="H379">
        <v>1357.2207031</v>
      </c>
      <c r="I379">
        <v>1281.8516846</v>
      </c>
      <c r="J379">
        <v>1254.8734131000001</v>
      </c>
      <c r="K379">
        <v>1650</v>
      </c>
      <c r="L379">
        <v>0</v>
      </c>
      <c r="M379">
        <v>0</v>
      </c>
      <c r="N379">
        <v>1650</v>
      </c>
    </row>
    <row r="380" spans="1:14" x14ac:dyDescent="0.25">
      <c r="A380">
        <v>160.59904399999999</v>
      </c>
      <c r="B380" s="1">
        <f>DATE(2010,10,8) + TIME(14,22,37)</f>
        <v>40459.599039351851</v>
      </c>
      <c r="C380">
        <v>80</v>
      </c>
      <c r="D380">
        <v>79.885108947999996</v>
      </c>
      <c r="E380">
        <v>40</v>
      </c>
      <c r="F380">
        <v>16.96144104</v>
      </c>
      <c r="G380">
        <v>1366.8066406</v>
      </c>
      <c r="H380">
        <v>1357.1994629000001</v>
      </c>
      <c r="I380">
        <v>1281.9056396000001</v>
      </c>
      <c r="J380">
        <v>1254.9564209</v>
      </c>
      <c r="K380">
        <v>1650</v>
      </c>
      <c r="L380">
        <v>0</v>
      </c>
      <c r="M380">
        <v>0</v>
      </c>
      <c r="N380">
        <v>1650</v>
      </c>
    </row>
    <row r="381" spans="1:14" x14ac:dyDescent="0.25">
      <c r="A381">
        <v>161.183222</v>
      </c>
      <c r="B381" s="1">
        <f>DATE(2010,10,9) + TIME(4,23,50)</f>
        <v>40460.183217592596</v>
      </c>
      <c r="C381">
        <v>80</v>
      </c>
      <c r="D381">
        <v>79.885192871000001</v>
      </c>
      <c r="E381">
        <v>40</v>
      </c>
      <c r="F381">
        <v>17.046625136999999</v>
      </c>
      <c r="G381">
        <v>1366.7840576000001</v>
      </c>
      <c r="H381">
        <v>1357.1782227000001</v>
      </c>
      <c r="I381">
        <v>1281.9602050999999</v>
      </c>
      <c r="J381">
        <v>1255.0411377</v>
      </c>
      <c r="K381">
        <v>1650</v>
      </c>
      <c r="L381">
        <v>0</v>
      </c>
      <c r="M381">
        <v>0</v>
      </c>
      <c r="N381">
        <v>1650</v>
      </c>
    </row>
    <row r="382" spans="1:14" x14ac:dyDescent="0.25">
      <c r="A382">
        <v>162.35157799999999</v>
      </c>
      <c r="B382" s="1">
        <f>DATE(2010,10,10) + TIME(8,26,16)</f>
        <v>40461.351574074077</v>
      </c>
      <c r="C382">
        <v>80</v>
      </c>
      <c r="D382">
        <v>79.885368346999996</v>
      </c>
      <c r="E382">
        <v>40</v>
      </c>
      <c r="F382">
        <v>17.179195404000001</v>
      </c>
      <c r="G382">
        <v>1366.7617187999999</v>
      </c>
      <c r="H382">
        <v>1357.1572266000001</v>
      </c>
      <c r="I382">
        <v>1282.0048827999999</v>
      </c>
      <c r="J382">
        <v>1255.1419678</v>
      </c>
      <c r="K382">
        <v>1650</v>
      </c>
      <c r="L382">
        <v>0</v>
      </c>
      <c r="M382">
        <v>0</v>
      </c>
      <c r="N382">
        <v>1650</v>
      </c>
    </row>
    <row r="383" spans="1:14" x14ac:dyDescent="0.25">
      <c r="A383">
        <v>163.523111</v>
      </c>
      <c r="B383" s="1">
        <f>DATE(2010,10,11) + TIME(12,33,16)</f>
        <v>40462.523101851853</v>
      </c>
      <c r="C383">
        <v>80</v>
      </c>
      <c r="D383">
        <v>79.885536193999997</v>
      </c>
      <c r="E383">
        <v>40</v>
      </c>
      <c r="F383">
        <v>17.340946198000001</v>
      </c>
      <c r="G383">
        <v>1366.7170410000001</v>
      </c>
      <c r="H383">
        <v>1357.1152344</v>
      </c>
      <c r="I383">
        <v>1282.1195068</v>
      </c>
      <c r="J383">
        <v>1255.3115233999999</v>
      </c>
      <c r="K383">
        <v>1650</v>
      </c>
      <c r="L383">
        <v>0</v>
      </c>
      <c r="M383">
        <v>0</v>
      </c>
      <c r="N383">
        <v>1650</v>
      </c>
    </row>
    <row r="384" spans="1:14" x14ac:dyDescent="0.25">
      <c r="A384">
        <v>164.724492</v>
      </c>
      <c r="B384" s="1">
        <f>DATE(2010,10,12) + TIME(17,23,16)</f>
        <v>40463.724490740744</v>
      </c>
      <c r="C384">
        <v>80</v>
      </c>
      <c r="D384">
        <v>79.885704040999997</v>
      </c>
      <c r="E384">
        <v>40</v>
      </c>
      <c r="F384">
        <v>17.525150299</v>
      </c>
      <c r="G384">
        <v>1366.6719971</v>
      </c>
      <c r="H384">
        <v>1357.0729980000001</v>
      </c>
      <c r="I384">
        <v>1282.2340088000001</v>
      </c>
      <c r="J384">
        <v>1255.4929199000001</v>
      </c>
      <c r="K384">
        <v>1650</v>
      </c>
      <c r="L384">
        <v>0</v>
      </c>
      <c r="M384">
        <v>0</v>
      </c>
      <c r="N384">
        <v>1650</v>
      </c>
    </row>
    <row r="385" spans="1:14" x14ac:dyDescent="0.25">
      <c r="A385">
        <v>165.95710099999999</v>
      </c>
      <c r="B385" s="1">
        <f>DATE(2010,10,13) + TIME(22,58,13)</f>
        <v>40464.957094907404</v>
      </c>
      <c r="C385">
        <v>80</v>
      </c>
      <c r="D385">
        <v>79.885879517000006</v>
      </c>
      <c r="E385">
        <v>40</v>
      </c>
      <c r="F385">
        <v>17.729091644</v>
      </c>
      <c r="G385">
        <v>1366.6260986</v>
      </c>
      <c r="H385">
        <v>1357.0297852000001</v>
      </c>
      <c r="I385">
        <v>1282.3524170000001</v>
      </c>
      <c r="J385">
        <v>1255.6878661999999</v>
      </c>
      <c r="K385">
        <v>1650</v>
      </c>
      <c r="L385">
        <v>0</v>
      </c>
      <c r="M385">
        <v>0</v>
      </c>
      <c r="N385">
        <v>1650</v>
      </c>
    </row>
    <row r="386" spans="1:14" x14ac:dyDescent="0.25">
      <c r="A386">
        <v>167.203577</v>
      </c>
      <c r="B386" s="1">
        <f>DATE(2010,10,15) + TIME(4,53,9)</f>
        <v>40466.203576388885</v>
      </c>
      <c r="C386">
        <v>80</v>
      </c>
      <c r="D386">
        <v>79.886054993000002</v>
      </c>
      <c r="E386">
        <v>40</v>
      </c>
      <c r="F386">
        <v>17.950149536000001</v>
      </c>
      <c r="G386">
        <v>1366.5791016000001</v>
      </c>
      <c r="H386">
        <v>1356.9854736</v>
      </c>
      <c r="I386">
        <v>1282.4757079999999</v>
      </c>
      <c r="J386">
        <v>1255.8957519999999</v>
      </c>
      <c r="K386">
        <v>1650</v>
      </c>
      <c r="L386">
        <v>0</v>
      </c>
      <c r="M386">
        <v>0</v>
      </c>
      <c r="N386">
        <v>1650</v>
      </c>
    </row>
    <row r="387" spans="1:14" x14ac:dyDescent="0.25">
      <c r="A387">
        <v>168.450613</v>
      </c>
      <c r="B387" s="1">
        <f>DATE(2010,10,16) + TIME(10,48,52)</f>
        <v>40467.450601851851</v>
      </c>
      <c r="C387">
        <v>80</v>
      </c>
      <c r="D387">
        <v>79.886230468999997</v>
      </c>
      <c r="E387">
        <v>40</v>
      </c>
      <c r="F387">
        <v>18.185621262000002</v>
      </c>
      <c r="G387">
        <v>1366.5317382999999</v>
      </c>
      <c r="H387">
        <v>1356.9407959</v>
      </c>
      <c r="I387">
        <v>1282.6022949000001</v>
      </c>
      <c r="J387">
        <v>1256.1141356999999</v>
      </c>
      <c r="K387">
        <v>1650</v>
      </c>
      <c r="L387">
        <v>0</v>
      </c>
      <c r="M387">
        <v>0</v>
      </c>
      <c r="N387">
        <v>1650</v>
      </c>
    </row>
    <row r="388" spans="1:14" x14ac:dyDescent="0.25">
      <c r="A388">
        <v>169.704958</v>
      </c>
      <c r="B388" s="1">
        <f>DATE(2010,10,17) + TIME(16,55,8)</f>
        <v>40468.704953703702</v>
      </c>
      <c r="C388">
        <v>80</v>
      </c>
      <c r="D388">
        <v>79.886405945000007</v>
      </c>
      <c r="E388">
        <v>40</v>
      </c>
      <c r="F388">
        <v>18.434473038</v>
      </c>
      <c r="G388">
        <v>1366.4844971</v>
      </c>
      <c r="H388">
        <v>1356.8963623</v>
      </c>
      <c r="I388">
        <v>1282.7304687999999</v>
      </c>
      <c r="J388">
        <v>1256.3410644999999</v>
      </c>
      <c r="K388">
        <v>1650</v>
      </c>
      <c r="L388">
        <v>0</v>
      </c>
      <c r="M388">
        <v>0</v>
      </c>
      <c r="N388">
        <v>1650</v>
      </c>
    </row>
    <row r="389" spans="1:14" x14ac:dyDescent="0.25">
      <c r="A389">
        <v>170.97115500000001</v>
      </c>
      <c r="B389" s="1">
        <f>DATE(2010,10,18) + TIME(23,18,27)</f>
        <v>40469.971145833333</v>
      </c>
      <c r="C389">
        <v>80</v>
      </c>
      <c r="D389">
        <v>79.886581421000002</v>
      </c>
      <c r="E389">
        <v>40</v>
      </c>
      <c r="F389">
        <v>18.696548461999999</v>
      </c>
      <c r="G389">
        <v>1366.4371338000001</v>
      </c>
      <c r="H389">
        <v>1356.8516846</v>
      </c>
      <c r="I389">
        <v>1282.8610839999999</v>
      </c>
      <c r="J389">
        <v>1256.5772704999999</v>
      </c>
      <c r="K389">
        <v>1650</v>
      </c>
      <c r="L389">
        <v>0</v>
      </c>
      <c r="M389">
        <v>0</v>
      </c>
      <c r="N389">
        <v>1650</v>
      </c>
    </row>
    <row r="390" spans="1:14" x14ac:dyDescent="0.25">
      <c r="A390">
        <v>172.24266700000001</v>
      </c>
      <c r="B390" s="1">
        <f>DATE(2010,10,20) + TIME(5,49,26)</f>
        <v>40471.242662037039</v>
      </c>
      <c r="C390">
        <v>80</v>
      </c>
      <c r="D390">
        <v>79.886756896999998</v>
      </c>
      <c r="E390">
        <v>40</v>
      </c>
      <c r="F390">
        <v>18.970962524000001</v>
      </c>
      <c r="G390">
        <v>1366.3896483999999</v>
      </c>
      <c r="H390">
        <v>1356.8068848</v>
      </c>
      <c r="I390">
        <v>1282.9948730000001</v>
      </c>
      <c r="J390">
        <v>1256.8229980000001</v>
      </c>
      <c r="K390">
        <v>1650</v>
      </c>
      <c r="L390">
        <v>0</v>
      </c>
      <c r="M390">
        <v>0</v>
      </c>
      <c r="N390">
        <v>1650</v>
      </c>
    </row>
    <row r="391" spans="1:14" x14ac:dyDescent="0.25">
      <c r="A391">
        <v>173.52243799999999</v>
      </c>
      <c r="B391" s="1">
        <f>DATE(2010,10,21) + TIME(12,32,18)</f>
        <v>40472.522430555553</v>
      </c>
      <c r="C391">
        <v>80</v>
      </c>
      <c r="D391">
        <v>79.886940002000003</v>
      </c>
      <c r="E391">
        <v>40</v>
      </c>
      <c r="F391">
        <v>19.257131576999999</v>
      </c>
      <c r="G391">
        <v>1366.3420410000001</v>
      </c>
      <c r="H391">
        <v>1356.7620850000001</v>
      </c>
      <c r="I391">
        <v>1283.1309814000001</v>
      </c>
      <c r="J391">
        <v>1257.0771483999999</v>
      </c>
      <c r="K391">
        <v>1650</v>
      </c>
      <c r="L391">
        <v>0</v>
      </c>
      <c r="M391">
        <v>0</v>
      </c>
      <c r="N391">
        <v>1650</v>
      </c>
    </row>
    <row r="392" spans="1:14" x14ac:dyDescent="0.25">
      <c r="A392">
        <v>174.814178</v>
      </c>
      <c r="B392" s="1">
        <f>DATE(2010,10,22) + TIME(19,32,24)</f>
        <v>40473.814166666663</v>
      </c>
      <c r="C392">
        <v>80</v>
      </c>
      <c r="D392">
        <v>79.887115479000002</v>
      </c>
      <c r="E392">
        <v>40</v>
      </c>
      <c r="F392">
        <v>19.555028915000001</v>
      </c>
      <c r="G392">
        <v>1366.2945557</v>
      </c>
      <c r="H392">
        <v>1356.7171631000001</v>
      </c>
      <c r="I392">
        <v>1283.2697754000001</v>
      </c>
      <c r="J392">
        <v>1257.340332</v>
      </c>
      <c r="K392">
        <v>1650</v>
      </c>
      <c r="L392">
        <v>0</v>
      </c>
      <c r="M392">
        <v>0</v>
      </c>
      <c r="N392">
        <v>1650</v>
      </c>
    </row>
    <row r="393" spans="1:14" x14ac:dyDescent="0.25">
      <c r="A393">
        <v>176.12169800000001</v>
      </c>
      <c r="B393" s="1">
        <f>DATE(2010,10,24) + TIME(2,55,14)</f>
        <v>40475.121689814812</v>
      </c>
      <c r="C393">
        <v>80</v>
      </c>
      <c r="D393">
        <v>79.887298584000007</v>
      </c>
      <c r="E393">
        <v>40</v>
      </c>
      <c r="F393">
        <v>19.864807128999999</v>
      </c>
      <c r="G393">
        <v>1366.2468262</v>
      </c>
      <c r="H393">
        <v>1356.6721190999999</v>
      </c>
      <c r="I393">
        <v>1283.4116211</v>
      </c>
      <c r="J393">
        <v>1257.6126709</v>
      </c>
      <c r="K393">
        <v>1650</v>
      </c>
      <c r="L393">
        <v>0</v>
      </c>
      <c r="M393">
        <v>0</v>
      </c>
      <c r="N393">
        <v>1650</v>
      </c>
    </row>
    <row r="394" spans="1:14" x14ac:dyDescent="0.25">
      <c r="A394">
        <v>177.44887700000001</v>
      </c>
      <c r="B394" s="1">
        <f>DATE(2010,10,25) + TIME(10,46,22)</f>
        <v>40476.448865740742</v>
      </c>
      <c r="C394">
        <v>80</v>
      </c>
      <c r="D394">
        <v>79.887481688999998</v>
      </c>
      <c r="E394">
        <v>40</v>
      </c>
      <c r="F394">
        <v>20.186973571999999</v>
      </c>
      <c r="G394">
        <v>1366.1987305</v>
      </c>
      <c r="H394">
        <v>1356.6268310999999</v>
      </c>
      <c r="I394">
        <v>1283.5567627</v>
      </c>
      <c r="J394">
        <v>1257.8948975000001</v>
      </c>
      <c r="K394">
        <v>1650</v>
      </c>
      <c r="L394">
        <v>0</v>
      </c>
      <c r="M394">
        <v>0</v>
      </c>
      <c r="N394">
        <v>1650</v>
      </c>
    </row>
    <row r="395" spans="1:14" x14ac:dyDescent="0.25">
      <c r="A395">
        <v>178.79644500000001</v>
      </c>
      <c r="B395" s="1">
        <f>DATE(2010,10,26) + TIME(19,6,52)</f>
        <v>40477.796435185184</v>
      </c>
      <c r="C395">
        <v>80</v>
      </c>
      <c r="D395">
        <v>79.887664795000006</v>
      </c>
      <c r="E395">
        <v>40</v>
      </c>
      <c r="F395">
        <v>20.521442412999999</v>
      </c>
      <c r="G395">
        <v>1366.1503906</v>
      </c>
      <c r="H395">
        <v>1356.5810547000001</v>
      </c>
      <c r="I395">
        <v>1283.7058105000001</v>
      </c>
      <c r="J395">
        <v>1258.1873779</v>
      </c>
      <c r="K395">
        <v>1650</v>
      </c>
      <c r="L395">
        <v>0</v>
      </c>
      <c r="M395">
        <v>0</v>
      </c>
      <c r="N395">
        <v>1650</v>
      </c>
    </row>
    <row r="396" spans="1:14" x14ac:dyDescent="0.25">
      <c r="A396">
        <v>180.15945099999999</v>
      </c>
      <c r="B396" s="1">
        <f>DATE(2010,10,28) + TIME(3,49,36)</f>
        <v>40479.159444444442</v>
      </c>
      <c r="C396">
        <v>80</v>
      </c>
      <c r="D396">
        <v>79.887855529999996</v>
      </c>
      <c r="E396">
        <v>40</v>
      </c>
      <c r="F396">
        <v>20.867044449000002</v>
      </c>
      <c r="G396">
        <v>1366.1016846</v>
      </c>
      <c r="H396">
        <v>1356.5351562000001</v>
      </c>
      <c r="I396">
        <v>1283.8591309000001</v>
      </c>
      <c r="J396">
        <v>1258.4898682</v>
      </c>
      <c r="K396">
        <v>1650</v>
      </c>
      <c r="L396">
        <v>0</v>
      </c>
      <c r="M396">
        <v>0</v>
      </c>
      <c r="N396">
        <v>1650</v>
      </c>
    </row>
    <row r="397" spans="1:14" x14ac:dyDescent="0.25">
      <c r="A397">
        <v>181.54156800000001</v>
      </c>
      <c r="B397" s="1">
        <f>DATE(2010,10,29) + TIME(12,59,51)</f>
        <v>40480.541562500002</v>
      </c>
      <c r="C397">
        <v>80</v>
      </c>
      <c r="D397">
        <v>79.888038635000001</v>
      </c>
      <c r="E397">
        <v>40</v>
      </c>
      <c r="F397">
        <v>21.223140717</v>
      </c>
      <c r="G397">
        <v>1366.0528564000001</v>
      </c>
      <c r="H397">
        <v>1356.4890137</v>
      </c>
      <c r="I397">
        <v>1284.0157471</v>
      </c>
      <c r="J397">
        <v>1258.8012695</v>
      </c>
      <c r="K397">
        <v>1650</v>
      </c>
      <c r="L397">
        <v>0</v>
      </c>
      <c r="M397">
        <v>0</v>
      </c>
      <c r="N397">
        <v>1650</v>
      </c>
    </row>
    <row r="398" spans="1:14" x14ac:dyDescent="0.25">
      <c r="A398">
        <v>182.946369</v>
      </c>
      <c r="B398" s="1">
        <f>DATE(2010,10,30) + TIME(22,42,46)</f>
        <v>40481.94636574074</v>
      </c>
      <c r="C398">
        <v>80</v>
      </c>
      <c r="D398">
        <v>79.888229370000005</v>
      </c>
      <c r="E398">
        <v>40</v>
      </c>
      <c r="F398">
        <v>21.589450836000001</v>
      </c>
      <c r="G398">
        <v>1366.0037841999999</v>
      </c>
      <c r="H398">
        <v>1356.4426269999999</v>
      </c>
      <c r="I398">
        <v>1284.1761475000001</v>
      </c>
      <c r="J398">
        <v>1259.1219481999999</v>
      </c>
      <c r="K398">
        <v>1650</v>
      </c>
      <c r="L398">
        <v>0</v>
      </c>
      <c r="M398">
        <v>0</v>
      </c>
      <c r="N398">
        <v>1650</v>
      </c>
    </row>
    <row r="399" spans="1:14" x14ac:dyDescent="0.25">
      <c r="A399">
        <v>184</v>
      </c>
      <c r="B399" s="1">
        <f>DATE(2010,11,1) + TIME(0,0,0)</f>
        <v>40483</v>
      </c>
      <c r="C399">
        <v>80</v>
      </c>
      <c r="D399">
        <v>79.888374329000001</v>
      </c>
      <c r="E399">
        <v>40</v>
      </c>
      <c r="F399">
        <v>21.913852691999999</v>
      </c>
      <c r="G399">
        <v>1365.9544678</v>
      </c>
      <c r="H399">
        <v>1356.3961182</v>
      </c>
      <c r="I399">
        <v>1284.3479004000001</v>
      </c>
      <c r="J399">
        <v>1259.4326172000001</v>
      </c>
      <c r="K399">
        <v>1650</v>
      </c>
      <c r="L399">
        <v>0</v>
      </c>
      <c r="M399">
        <v>0</v>
      </c>
      <c r="N399">
        <v>1650</v>
      </c>
    </row>
    <row r="400" spans="1:14" x14ac:dyDescent="0.25">
      <c r="A400">
        <v>184.000001</v>
      </c>
      <c r="B400" s="1">
        <f>DATE(2010,11,1) + TIME(0,0,0)</f>
        <v>40483</v>
      </c>
      <c r="C400">
        <v>80</v>
      </c>
      <c r="D400">
        <v>79.888282775999997</v>
      </c>
      <c r="E400">
        <v>40</v>
      </c>
      <c r="F400">
        <v>21.91394043</v>
      </c>
      <c r="G400">
        <v>1355.7971190999999</v>
      </c>
      <c r="H400">
        <v>1347.9487305</v>
      </c>
      <c r="I400">
        <v>1309.7191161999999</v>
      </c>
      <c r="J400">
        <v>1285.005249</v>
      </c>
      <c r="K400">
        <v>0</v>
      </c>
      <c r="L400">
        <v>1650</v>
      </c>
      <c r="M400">
        <v>1650</v>
      </c>
      <c r="N400">
        <v>0</v>
      </c>
    </row>
    <row r="401" spans="1:14" x14ac:dyDescent="0.25">
      <c r="A401">
        <v>184.00000399999999</v>
      </c>
      <c r="B401" s="1">
        <f>DATE(2010,11,1) + TIME(0,0,0)</f>
        <v>40483</v>
      </c>
      <c r="C401">
        <v>80</v>
      </c>
      <c r="D401">
        <v>79.888069153000004</v>
      </c>
      <c r="E401">
        <v>40</v>
      </c>
      <c r="F401">
        <v>21.914186478000001</v>
      </c>
      <c r="G401">
        <v>1354.2834473</v>
      </c>
      <c r="H401">
        <v>1346.434082</v>
      </c>
      <c r="I401">
        <v>1311.4227295000001</v>
      </c>
      <c r="J401">
        <v>1286.8409423999999</v>
      </c>
      <c r="K401">
        <v>0</v>
      </c>
      <c r="L401">
        <v>1650</v>
      </c>
      <c r="M401">
        <v>1650</v>
      </c>
      <c r="N401">
        <v>0</v>
      </c>
    </row>
    <row r="402" spans="1:14" x14ac:dyDescent="0.25">
      <c r="A402">
        <v>184.000013</v>
      </c>
      <c r="B402" s="1">
        <f>DATE(2010,11,1) + TIME(0,0,1)</f>
        <v>40483.000011574077</v>
      </c>
      <c r="C402">
        <v>80</v>
      </c>
      <c r="D402">
        <v>79.887634277000004</v>
      </c>
      <c r="E402">
        <v>40</v>
      </c>
      <c r="F402">
        <v>21.914819717</v>
      </c>
      <c r="G402">
        <v>1351.2270507999999</v>
      </c>
      <c r="H402">
        <v>1343.3767089999999</v>
      </c>
      <c r="I402">
        <v>1315.722168</v>
      </c>
      <c r="J402">
        <v>1291.4033202999999</v>
      </c>
      <c r="K402">
        <v>0</v>
      </c>
      <c r="L402">
        <v>1650</v>
      </c>
      <c r="M402">
        <v>1650</v>
      </c>
      <c r="N402">
        <v>0</v>
      </c>
    </row>
    <row r="403" spans="1:14" x14ac:dyDescent="0.25">
      <c r="A403">
        <v>184.00004000000001</v>
      </c>
      <c r="B403" s="1">
        <f>DATE(2010,11,1) + TIME(0,0,3)</f>
        <v>40483.000034722223</v>
      </c>
      <c r="C403">
        <v>80</v>
      </c>
      <c r="D403">
        <v>79.887001037999994</v>
      </c>
      <c r="E403">
        <v>40</v>
      </c>
      <c r="F403">
        <v>21.916202545000001</v>
      </c>
      <c r="G403">
        <v>1346.7606201000001</v>
      </c>
      <c r="H403">
        <v>1338.9112548999999</v>
      </c>
      <c r="I403">
        <v>1324.4008789</v>
      </c>
      <c r="J403">
        <v>1300.3858643000001</v>
      </c>
      <c r="K403">
        <v>0</v>
      </c>
      <c r="L403">
        <v>1650</v>
      </c>
      <c r="M403">
        <v>1650</v>
      </c>
      <c r="N403">
        <v>0</v>
      </c>
    </row>
    <row r="404" spans="1:14" x14ac:dyDescent="0.25">
      <c r="A404">
        <v>184.00012100000001</v>
      </c>
      <c r="B404" s="1">
        <f>DATE(2010,11,1) + TIME(0,0,10)</f>
        <v>40483.000115740739</v>
      </c>
      <c r="C404">
        <v>80</v>
      </c>
      <c r="D404">
        <v>79.886268615999995</v>
      </c>
      <c r="E404">
        <v>40</v>
      </c>
      <c r="F404">
        <v>21.918785095</v>
      </c>
      <c r="G404">
        <v>1341.7775879000001</v>
      </c>
      <c r="H404">
        <v>1333.9390868999999</v>
      </c>
      <c r="I404">
        <v>1337.0454102000001</v>
      </c>
      <c r="J404">
        <v>1313.0964355000001</v>
      </c>
      <c r="K404">
        <v>0</v>
      </c>
      <c r="L404">
        <v>1650</v>
      </c>
      <c r="M404">
        <v>1650</v>
      </c>
      <c r="N404">
        <v>0</v>
      </c>
    </row>
    <row r="405" spans="1:14" x14ac:dyDescent="0.25">
      <c r="A405">
        <v>184.00036399999999</v>
      </c>
      <c r="B405" s="1">
        <f>DATE(2010,11,1) + TIME(0,0,31)</f>
        <v>40483.000358796293</v>
      </c>
      <c r="C405">
        <v>80</v>
      </c>
      <c r="D405">
        <v>79.885467528999996</v>
      </c>
      <c r="E405">
        <v>40</v>
      </c>
      <c r="F405">
        <v>21.923940658999999</v>
      </c>
      <c r="G405">
        <v>1336.7518310999999</v>
      </c>
      <c r="H405">
        <v>1328.9210204999999</v>
      </c>
      <c r="I405">
        <v>1351.1639404</v>
      </c>
      <c r="J405">
        <v>1327.1817627</v>
      </c>
      <c r="K405">
        <v>0</v>
      </c>
      <c r="L405">
        <v>1650</v>
      </c>
      <c r="M405">
        <v>1650</v>
      </c>
      <c r="N405">
        <v>0</v>
      </c>
    </row>
    <row r="406" spans="1:14" x14ac:dyDescent="0.25">
      <c r="A406">
        <v>184.001093</v>
      </c>
      <c r="B406" s="1">
        <f>DATE(2010,11,1) + TIME(0,1,34)</f>
        <v>40483.001087962963</v>
      </c>
      <c r="C406">
        <v>80</v>
      </c>
      <c r="D406">
        <v>79.884483337000006</v>
      </c>
      <c r="E406">
        <v>40</v>
      </c>
      <c r="F406">
        <v>21.936374663999999</v>
      </c>
      <c r="G406">
        <v>1331.5795897999999</v>
      </c>
      <c r="H406">
        <v>1323.7132568</v>
      </c>
      <c r="I406">
        <v>1365.3314209</v>
      </c>
      <c r="J406">
        <v>1341.3399658000001</v>
      </c>
      <c r="K406">
        <v>0</v>
      </c>
      <c r="L406">
        <v>1650</v>
      </c>
      <c r="M406">
        <v>1650</v>
      </c>
      <c r="N406">
        <v>0</v>
      </c>
    </row>
    <row r="407" spans="1:14" x14ac:dyDescent="0.25">
      <c r="A407">
        <v>184.00327999999999</v>
      </c>
      <c r="B407" s="1">
        <f>DATE(2010,11,1) + TIME(0,4,43)</f>
        <v>40483.003275462965</v>
      </c>
      <c r="C407">
        <v>80</v>
      </c>
      <c r="D407">
        <v>79.882896423000005</v>
      </c>
      <c r="E407">
        <v>40</v>
      </c>
      <c r="F407">
        <v>21.970577240000001</v>
      </c>
      <c r="G407">
        <v>1325.8845214999999</v>
      </c>
      <c r="H407">
        <v>1317.9064940999999</v>
      </c>
      <c r="I407">
        <v>1378.8813477000001</v>
      </c>
      <c r="J407">
        <v>1354.8472899999999</v>
      </c>
      <c r="K407">
        <v>0</v>
      </c>
      <c r="L407">
        <v>1650</v>
      </c>
      <c r="M407">
        <v>1650</v>
      </c>
      <c r="N407">
        <v>0</v>
      </c>
    </row>
    <row r="408" spans="1:14" x14ac:dyDescent="0.25">
      <c r="A408">
        <v>184.00984099999999</v>
      </c>
      <c r="B408" s="1">
        <f>DATE(2010,11,1) + TIME(0,14,10)</f>
        <v>40483.009837962964</v>
      </c>
      <c r="C408">
        <v>80</v>
      </c>
      <c r="D408">
        <v>79.879699707</v>
      </c>
      <c r="E408">
        <v>40</v>
      </c>
      <c r="F408">
        <v>22.070035934</v>
      </c>
      <c r="G408">
        <v>1319.9042969</v>
      </c>
      <c r="H408">
        <v>1311.8210449000001</v>
      </c>
      <c r="I408">
        <v>1390.1274414</v>
      </c>
      <c r="J408">
        <v>1366.0119629000001</v>
      </c>
      <c r="K408">
        <v>0</v>
      </c>
      <c r="L408">
        <v>1650</v>
      </c>
      <c r="M408">
        <v>1650</v>
      </c>
      <c r="N408">
        <v>0</v>
      </c>
    </row>
    <row r="409" spans="1:14" x14ac:dyDescent="0.25">
      <c r="A409">
        <v>184.02952400000001</v>
      </c>
      <c r="B409" s="1">
        <f>DATE(2010,11,1) + TIME(0,42,30)</f>
        <v>40483.029513888891</v>
      </c>
      <c r="C409">
        <v>80</v>
      </c>
      <c r="D409">
        <v>79.872016907000003</v>
      </c>
      <c r="E409">
        <v>40</v>
      </c>
      <c r="F409">
        <v>22.362236023000001</v>
      </c>
      <c r="G409">
        <v>1315.0523682</v>
      </c>
      <c r="H409">
        <v>1306.9257812000001</v>
      </c>
      <c r="I409">
        <v>1396.9213867000001</v>
      </c>
      <c r="J409">
        <v>1372.8527832</v>
      </c>
      <c r="K409">
        <v>0</v>
      </c>
      <c r="L409">
        <v>1650</v>
      </c>
      <c r="M409">
        <v>1650</v>
      </c>
      <c r="N409">
        <v>0</v>
      </c>
    </row>
    <row r="410" spans="1:14" x14ac:dyDescent="0.25">
      <c r="A410">
        <v>184.08619200000001</v>
      </c>
      <c r="B410" s="1">
        <f>DATE(2010,11,1) + TIME(2,4,6)</f>
        <v>40483.086180555554</v>
      </c>
      <c r="C410">
        <v>80</v>
      </c>
      <c r="D410">
        <v>79.852172851999995</v>
      </c>
      <c r="E410">
        <v>40</v>
      </c>
      <c r="F410">
        <v>23.164585114000001</v>
      </c>
      <c r="G410">
        <v>1312.4918213000001</v>
      </c>
      <c r="H410">
        <v>1304.3537598</v>
      </c>
      <c r="I410">
        <v>1398.7756348</v>
      </c>
      <c r="J410">
        <v>1375.1356201000001</v>
      </c>
      <c r="K410">
        <v>0</v>
      </c>
      <c r="L410">
        <v>1650</v>
      </c>
      <c r="M410">
        <v>1650</v>
      </c>
      <c r="N410">
        <v>0</v>
      </c>
    </row>
    <row r="411" spans="1:14" x14ac:dyDescent="0.25">
      <c r="A411">
        <v>184.14531700000001</v>
      </c>
      <c r="B411" s="1">
        <f>DATE(2010,11,1) + TIME(3,29,15)</f>
        <v>40483.145312499997</v>
      </c>
      <c r="C411">
        <v>80</v>
      </c>
      <c r="D411">
        <v>79.832054138000004</v>
      </c>
      <c r="E411">
        <v>40</v>
      </c>
      <c r="F411">
        <v>23.962097168</v>
      </c>
      <c r="G411">
        <v>1311.8609618999999</v>
      </c>
      <c r="H411">
        <v>1303.7207031</v>
      </c>
      <c r="I411">
        <v>1398.4124756000001</v>
      </c>
      <c r="J411">
        <v>1375.222168</v>
      </c>
      <c r="K411">
        <v>0</v>
      </c>
      <c r="L411">
        <v>1650</v>
      </c>
      <c r="M411">
        <v>1650</v>
      </c>
      <c r="N411">
        <v>0</v>
      </c>
    </row>
    <row r="412" spans="1:14" x14ac:dyDescent="0.25">
      <c r="A412">
        <v>184.206853</v>
      </c>
      <c r="B412" s="1">
        <f>DATE(2010,11,1) + TIME(4,57,52)</f>
        <v>40483.20685185185</v>
      </c>
      <c r="C412">
        <v>80</v>
      </c>
      <c r="D412">
        <v>79.811500549000002</v>
      </c>
      <c r="E412">
        <v>40</v>
      </c>
      <c r="F412">
        <v>24.751220703000001</v>
      </c>
      <c r="G412">
        <v>1311.6805420000001</v>
      </c>
      <c r="H412">
        <v>1303.5391846</v>
      </c>
      <c r="I412">
        <v>1397.7257079999999</v>
      </c>
      <c r="J412">
        <v>1374.9744873</v>
      </c>
      <c r="K412">
        <v>0</v>
      </c>
      <c r="L412">
        <v>1650</v>
      </c>
      <c r="M412">
        <v>1650</v>
      </c>
      <c r="N412">
        <v>0</v>
      </c>
    </row>
    <row r="413" spans="1:14" x14ac:dyDescent="0.25">
      <c r="A413">
        <v>184.27098000000001</v>
      </c>
      <c r="B413" s="1">
        <f>DATE(2010,11,1) + TIME(6,30,12)</f>
        <v>40483.270972222221</v>
      </c>
      <c r="C413">
        <v>80</v>
      </c>
      <c r="D413">
        <v>79.790420531999999</v>
      </c>
      <c r="E413">
        <v>40</v>
      </c>
      <c r="F413">
        <v>25.531757355</v>
      </c>
      <c r="G413">
        <v>1311.6228027</v>
      </c>
      <c r="H413">
        <v>1303.4807129000001</v>
      </c>
      <c r="I413">
        <v>1397.0231934000001</v>
      </c>
      <c r="J413">
        <v>1374.6939697</v>
      </c>
      <c r="K413">
        <v>0</v>
      </c>
      <c r="L413">
        <v>1650</v>
      </c>
      <c r="M413">
        <v>1650</v>
      </c>
      <c r="N413">
        <v>0</v>
      </c>
    </row>
    <row r="414" spans="1:14" x14ac:dyDescent="0.25">
      <c r="A414">
        <v>184.33793900000001</v>
      </c>
      <c r="B414" s="1">
        <f>DATE(2010,11,1) + TIME(8,6,37)</f>
        <v>40483.33792824074</v>
      </c>
      <c r="C414">
        <v>80</v>
      </c>
      <c r="D414">
        <v>79.768768311000002</v>
      </c>
      <c r="E414">
        <v>40</v>
      </c>
      <c r="F414">
        <v>26.303384780999998</v>
      </c>
      <c r="G414">
        <v>1311.6022949000001</v>
      </c>
      <c r="H414">
        <v>1303.4594727000001</v>
      </c>
      <c r="I414">
        <v>1396.3494873</v>
      </c>
      <c r="J414">
        <v>1374.4246826000001</v>
      </c>
      <c r="K414">
        <v>0</v>
      </c>
      <c r="L414">
        <v>1650</v>
      </c>
      <c r="M414">
        <v>1650</v>
      </c>
      <c r="N414">
        <v>0</v>
      </c>
    </row>
    <row r="415" spans="1:14" x14ac:dyDescent="0.25">
      <c r="A415">
        <v>184.407973</v>
      </c>
      <c r="B415" s="1">
        <f>DATE(2010,11,1) + TIME(9,47,28)</f>
        <v>40483.407962962963</v>
      </c>
      <c r="C415">
        <v>80</v>
      </c>
      <c r="D415">
        <v>79.746475219999994</v>
      </c>
      <c r="E415">
        <v>40</v>
      </c>
      <c r="F415">
        <v>27.065467834</v>
      </c>
      <c r="G415">
        <v>1311.59375</v>
      </c>
      <c r="H415">
        <v>1303.4501952999999</v>
      </c>
      <c r="I415">
        <v>1395.7066649999999</v>
      </c>
      <c r="J415">
        <v>1374.1687012</v>
      </c>
      <c r="K415">
        <v>0</v>
      </c>
      <c r="L415">
        <v>1650</v>
      </c>
      <c r="M415">
        <v>1650</v>
      </c>
      <c r="N415">
        <v>0</v>
      </c>
    </row>
    <row r="416" spans="1:14" x14ac:dyDescent="0.25">
      <c r="A416">
        <v>184.48140799999999</v>
      </c>
      <c r="B416" s="1">
        <f>DATE(2010,11,1) + TIME(11,33,13)</f>
        <v>40483.481400462966</v>
      </c>
      <c r="C416">
        <v>80</v>
      </c>
      <c r="D416">
        <v>79.723487853999998</v>
      </c>
      <c r="E416">
        <v>40</v>
      </c>
      <c r="F416">
        <v>27.817960739</v>
      </c>
      <c r="G416">
        <v>1311.5893555</v>
      </c>
      <c r="H416">
        <v>1303.4450684000001</v>
      </c>
      <c r="I416">
        <v>1395.0908202999999</v>
      </c>
      <c r="J416">
        <v>1373.9232178</v>
      </c>
      <c r="K416">
        <v>0</v>
      </c>
      <c r="L416">
        <v>1650</v>
      </c>
      <c r="M416">
        <v>1650</v>
      </c>
      <c r="N416">
        <v>0</v>
      </c>
    </row>
    <row r="417" spans="1:14" x14ac:dyDescent="0.25">
      <c r="A417">
        <v>184.55864299999999</v>
      </c>
      <c r="B417" s="1">
        <f>DATE(2010,11,1) + TIME(13,24,26)</f>
        <v>40483.558634259258</v>
      </c>
      <c r="C417">
        <v>80</v>
      </c>
      <c r="D417">
        <v>79.699714661000002</v>
      </c>
      <c r="E417">
        <v>40</v>
      </c>
      <c r="F417">
        <v>28.560991287</v>
      </c>
      <c r="G417">
        <v>1311.5860596</v>
      </c>
      <c r="H417">
        <v>1303.4411620999999</v>
      </c>
      <c r="I417">
        <v>1394.4989014</v>
      </c>
      <c r="J417">
        <v>1373.6861572</v>
      </c>
      <c r="K417">
        <v>0</v>
      </c>
      <c r="L417">
        <v>1650</v>
      </c>
      <c r="M417">
        <v>1650</v>
      </c>
      <c r="N417">
        <v>0</v>
      </c>
    </row>
    <row r="418" spans="1:14" x14ac:dyDescent="0.25">
      <c r="A418">
        <v>184.64011300000001</v>
      </c>
      <c r="B418" s="1">
        <f>DATE(2010,11,1) + TIME(15,21,45)</f>
        <v>40483.640104166669</v>
      </c>
      <c r="C418">
        <v>80</v>
      </c>
      <c r="D418">
        <v>79.675064086999996</v>
      </c>
      <c r="E418">
        <v>40</v>
      </c>
      <c r="F418">
        <v>29.294351578000001</v>
      </c>
      <c r="G418">
        <v>1311.5831298999999</v>
      </c>
      <c r="H418">
        <v>1303.4373779</v>
      </c>
      <c r="I418">
        <v>1393.9288329999999</v>
      </c>
      <c r="J418">
        <v>1373.4561768000001</v>
      </c>
      <c r="K418">
        <v>0</v>
      </c>
      <c r="L418">
        <v>1650</v>
      </c>
      <c r="M418">
        <v>1650</v>
      </c>
      <c r="N418">
        <v>0</v>
      </c>
    </row>
    <row r="419" spans="1:14" x14ac:dyDescent="0.25">
      <c r="A419">
        <v>184.72632899999999</v>
      </c>
      <c r="B419" s="1">
        <f>DATE(2010,11,1) + TIME(17,25,54)</f>
        <v>40483.726319444446</v>
      </c>
      <c r="C419">
        <v>80</v>
      </c>
      <c r="D419">
        <v>79.649421692000004</v>
      </c>
      <c r="E419">
        <v>40</v>
      </c>
      <c r="F419">
        <v>30.017789840999999</v>
      </c>
      <c r="G419">
        <v>1311.5802002</v>
      </c>
      <c r="H419">
        <v>1303.4335937999999</v>
      </c>
      <c r="I419">
        <v>1393.3790283000001</v>
      </c>
      <c r="J419">
        <v>1373.2322998</v>
      </c>
      <c r="K419">
        <v>0</v>
      </c>
      <c r="L419">
        <v>1650</v>
      </c>
      <c r="M419">
        <v>1650</v>
      </c>
      <c r="N419">
        <v>0</v>
      </c>
    </row>
    <row r="420" spans="1:14" x14ac:dyDescent="0.25">
      <c r="A420">
        <v>184.81787600000001</v>
      </c>
      <c r="B420" s="1">
        <f>DATE(2010,11,1) + TIME(19,37,44)</f>
        <v>40483.817870370367</v>
      </c>
      <c r="C420">
        <v>80</v>
      </c>
      <c r="D420">
        <v>79.622688292999996</v>
      </c>
      <c r="E420">
        <v>40</v>
      </c>
      <c r="F420">
        <v>30.731004715000001</v>
      </c>
      <c r="G420">
        <v>1311.5769043</v>
      </c>
      <c r="H420">
        <v>1303.4295654</v>
      </c>
      <c r="I420">
        <v>1392.8481445</v>
      </c>
      <c r="J420">
        <v>1373.0137939000001</v>
      </c>
      <c r="K420">
        <v>0</v>
      </c>
      <c r="L420">
        <v>1650</v>
      </c>
      <c r="M420">
        <v>1650</v>
      </c>
      <c r="N420">
        <v>0</v>
      </c>
    </row>
    <row r="421" spans="1:14" x14ac:dyDescent="0.25">
      <c r="A421">
        <v>184.91544300000001</v>
      </c>
      <c r="B421" s="1">
        <f>DATE(2010,11,1) + TIME(21,58,14)</f>
        <v>40483.915439814817</v>
      </c>
      <c r="C421">
        <v>80</v>
      </c>
      <c r="D421">
        <v>79.594718932999996</v>
      </c>
      <c r="E421">
        <v>40</v>
      </c>
      <c r="F421">
        <v>31.433233261000002</v>
      </c>
      <c r="G421">
        <v>1311.5734863</v>
      </c>
      <c r="H421">
        <v>1303.4251709</v>
      </c>
      <c r="I421">
        <v>1392.3354492000001</v>
      </c>
      <c r="J421">
        <v>1372.800293</v>
      </c>
      <c r="K421">
        <v>0</v>
      </c>
      <c r="L421">
        <v>1650</v>
      </c>
      <c r="M421">
        <v>1650</v>
      </c>
      <c r="N421">
        <v>0</v>
      </c>
    </row>
    <row r="422" spans="1:14" x14ac:dyDescent="0.25">
      <c r="A422">
        <v>185.01993999999999</v>
      </c>
      <c r="B422" s="1">
        <f>DATE(2010,11,2) + TIME(0,28,42)</f>
        <v>40484.019930555558</v>
      </c>
      <c r="C422">
        <v>80</v>
      </c>
      <c r="D422">
        <v>79.565330505000006</v>
      </c>
      <c r="E422">
        <v>40</v>
      </c>
      <c r="F422">
        <v>32.124286652000002</v>
      </c>
      <c r="G422">
        <v>1311.5697021000001</v>
      </c>
      <c r="H422">
        <v>1303.4205322</v>
      </c>
      <c r="I422">
        <v>1391.8392334</v>
      </c>
      <c r="J422">
        <v>1372.5909423999999</v>
      </c>
      <c r="K422">
        <v>0</v>
      </c>
      <c r="L422">
        <v>1650</v>
      </c>
      <c r="M422">
        <v>1650</v>
      </c>
      <c r="N422">
        <v>0</v>
      </c>
    </row>
    <row r="423" spans="1:14" x14ac:dyDescent="0.25">
      <c r="A423">
        <v>185.13243</v>
      </c>
      <c r="B423" s="1">
        <f>DATE(2010,11,2) + TIME(3,10,41)</f>
        <v>40484.132418981484</v>
      </c>
      <c r="C423">
        <v>80</v>
      </c>
      <c r="D423">
        <v>79.534324646000002</v>
      </c>
      <c r="E423">
        <v>40</v>
      </c>
      <c r="F423">
        <v>32.803554535000004</v>
      </c>
      <c r="G423">
        <v>1311.5656738</v>
      </c>
      <c r="H423">
        <v>1303.4154053</v>
      </c>
      <c r="I423">
        <v>1391.3585204999999</v>
      </c>
      <c r="J423">
        <v>1372.3850098</v>
      </c>
      <c r="K423">
        <v>0</v>
      </c>
      <c r="L423">
        <v>1650</v>
      </c>
      <c r="M423">
        <v>1650</v>
      </c>
      <c r="N423">
        <v>0</v>
      </c>
    </row>
    <row r="424" spans="1:14" x14ac:dyDescent="0.25">
      <c r="A424">
        <v>185.25422800000001</v>
      </c>
      <c r="B424" s="1">
        <f>DATE(2010,11,2) + TIME(6,6,5)</f>
        <v>40484.254224537035</v>
      </c>
      <c r="C424">
        <v>80</v>
      </c>
      <c r="D424">
        <v>79.501426696999999</v>
      </c>
      <c r="E424">
        <v>40</v>
      </c>
      <c r="F424">
        <v>33.470283508000001</v>
      </c>
      <c r="G424">
        <v>1311.5611572</v>
      </c>
      <c r="H424">
        <v>1303.4099120999999</v>
      </c>
      <c r="I424">
        <v>1390.8922118999999</v>
      </c>
      <c r="J424">
        <v>1372.1817627</v>
      </c>
      <c r="K424">
        <v>0</v>
      </c>
      <c r="L424">
        <v>1650</v>
      </c>
      <c r="M424">
        <v>1650</v>
      </c>
      <c r="N424">
        <v>0</v>
      </c>
    </row>
    <row r="425" spans="1:14" x14ac:dyDescent="0.25">
      <c r="A425">
        <v>185.38699199999999</v>
      </c>
      <c r="B425" s="1">
        <f>DATE(2010,11,2) + TIME(9,17,16)</f>
        <v>40484.386990740742</v>
      </c>
      <c r="C425">
        <v>80</v>
      </c>
      <c r="D425">
        <v>79.466346740999995</v>
      </c>
      <c r="E425">
        <v>40</v>
      </c>
      <c r="F425">
        <v>34.123554230000003</v>
      </c>
      <c r="G425">
        <v>1311.5562743999999</v>
      </c>
      <c r="H425">
        <v>1303.4039307</v>
      </c>
      <c r="I425">
        <v>1390.4390868999999</v>
      </c>
      <c r="J425">
        <v>1371.9805908000001</v>
      </c>
      <c r="K425">
        <v>0</v>
      </c>
      <c r="L425">
        <v>1650</v>
      </c>
      <c r="M425">
        <v>1650</v>
      </c>
      <c r="N425">
        <v>0</v>
      </c>
    </row>
    <row r="426" spans="1:14" x14ac:dyDescent="0.25">
      <c r="A426">
        <v>185.53280899999999</v>
      </c>
      <c r="B426" s="1">
        <f>DATE(2010,11,2) + TIME(12,47,14)</f>
        <v>40484.532800925925</v>
      </c>
      <c r="C426">
        <v>80</v>
      </c>
      <c r="D426">
        <v>79.428680420000006</v>
      </c>
      <c r="E426">
        <v>40</v>
      </c>
      <c r="F426">
        <v>34.762100220000001</v>
      </c>
      <c r="G426">
        <v>1311.5509033000001</v>
      </c>
      <c r="H426">
        <v>1303.3974608999999</v>
      </c>
      <c r="I426">
        <v>1389.9982910000001</v>
      </c>
      <c r="J426">
        <v>1371.7806396000001</v>
      </c>
      <c r="K426">
        <v>0</v>
      </c>
      <c r="L426">
        <v>1650</v>
      </c>
      <c r="M426">
        <v>1650</v>
      </c>
      <c r="N426">
        <v>0</v>
      </c>
    </row>
    <row r="427" spans="1:14" x14ac:dyDescent="0.25">
      <c r="A427">
        <v>185.694467</v>
      </c>
      <c r="B427" s="1">
        <f>DATE(2010,11,2) + TIME(16,40,1)</f>
        <v>40484.694456018522</v>
      </c>
      <c r="C427">
        <v>80</v>
      </c>
      <c r="D427">
        <v>79.387916564999998</v>
      </c>
      <c r="E427">
        <v>40</v>
      </c>
      <c r="F427">
        <v>35.384624481000003</v>
      </c>
      <c r="G427">
        <v>1311.5450439000001</v>
      </c>
      <c r="H427">
        <v>1303.3902588000001</v>
      </c>
      <c r="I427">
        <v>1389.5686035000001</v>
      </c>
      <c r="J427">
        <v>1371.5808105000001</v>
      </c>
      <c r="K427">
        <v>0</v>
      </c>
      <c r="L427">
        <v>1650</v>
      </c>
      <c r="M427">
        <v>1650</v>
      </c>
      <c r="N427">
        <v>0</v>
      </c>
    </row>
    <row r="428" spans="1:14" x14ac:dyDescent="0.25">
      <c r="A428">
        <v>185.87567100000001</v>
      </c>
      <c r="B428" s="1">
        <f>DATE(2010,11,2) + TIME(21,0,57)</f>
        <v>40484.875659722224</v>
      </c>
      <c r="C428">
        <v>80</v>
      </c>
      <c r="D428">
        <v>79.343399047999995</v>
      </c>
      <c r="E428">
        <v>40</v>
      </c>
      <c r="F428">
        <v>35.989368439000003</v>
      </c>
      <c r="G428">
        <v>1311.5384521000001</v>
      </c>
      <c r="H428">
        <v>1303.3823242000001</v>
      </c>
      <c r="I428">
        <v>1389.1488036999999</v>
      </c>
      <c r="J428">
        <v>1371.3800048999999</v>
      </c>
      <c r="K428">
        <v>0</v>
      </c>
      <c r="L428">
        <v>1650</v>
      </c>
      <c r="M428">
        <v>1650</v>
      </c>
      <c r="N428">
        <v>0</v>
      </c>
    </row>
    <row r="429" spans="1:14" x14ac:dyDescent="0.25">
      <c r="A429">
        <v>186.081513</v>
      </c>
      <c r="B429" s="1">
        <f>DATE(2010,11,3) + TIME(1,57,22)</f>
        <v>40485.081504629627</v>
      </c>
      <c r="C429">
        <v>80</v>
      </c>
      <c r="D429">
        <v>79.294242858999993</v>
      </c>
      <c r="E429">
        <v>40</v>
      </c>
      <c r="F429">
        <v>36.574089049999998</v>
      </c>
      <c r="G429">
        <v>1311.5311279</v>
      </c>
      <c r="H429">
        <v>1303.3735352000001</v>
      </c>
      <c r="I429">
        <v>1388.7375488</v>
      </c>
      <c r="J429">
        <v>1371.1770019999999</v>
      </c>
      <c r="K429">
        <v>0</v>
      </c>
      <c r="L429">
        <v>1650</v>
      </c>
      <c r="M429">
        <v>1650</v>
      </c>
      <c r="N429">
        <v>0</v>
      </c>
    </row>
    <row r="430" spans="1:14" x14ac:dyDescent="0.25">
      <c r="A430">
        <v>186.31924799999999</v>
      </c>
      <c r="B430" s="1">
        <f>DATE(2010,11,3) + TIME(7,39,42)</f>
        <v>40485.319236111114</v>
      </c>
      <c r="C430">
        <v>80</v>
      </c>
      <c r="D430">
        <v>79.239212035999998</v>
      </c>
      <c r="E430">
        <v>40</v>
      </c>
      <c r="F430">
        <v>37.135890961000001</v>
      </c>
      <c r="G430">
        <v>1311.5227050999999</v>
      </c>
      <c r="H430">
        <v>1303.3635254000001</v>
      </c>
      <c r="I430">
        <v>1388.3334961</v>
      </c>
      <c r="J430">
        <v>1370.9699707</v>
      </c>
      <c r="K430">
        <v>0</v>
      </c>
      <c r="L430">
        <v>1650</v>
      </c>
      <c r="M430">
        <v>1650</v>
      </c>
      <c r="N430">
        <v>0</v>
      </c>
    </row>
    <row r="431" spans="1:14" x14ac:dyDescent="0.25">
      <c r="A431">
        <v>186.568477</v>
      </c>
      <c r="B431" s="1">
        <f>DATE(2010,11,3) + TIME(13,38,36)</f>
        <v>40485.568472222221</v>
      </c>
      <c r="C431">
        <v>80</v>
      </c>
      <c r="D431">
        <v>79.182388306000007</v>
      </c>
      <c r="E431">
        <v>40</v>
      </c>
      <c r="F431">
        <v>37.621940613</v>
      </c>
      <c r="G431">
        <v>1311.5129394999999</v>
      </c>
      <c r="H431">
        <v>1303.3520507999999</v>
      </c>
      <c r="I431">
        <v>1387.9658202999999</v>
      </c>
      <c r="J431">
        <v>1370.7697754000001</v>
      </c>
      <c r="K431">
        <v>0</v>
      </c>
      <c r="L431">
        <v>1650</v>
      </c>
      <c r="M431">
        <v>1650</v>
      </c>
      <c r="N431">
        <v>0</v>
      </c>
    </row>
    <row r="432" spans="1:14" x14ac:dyDescent="0.25">
      <c r="A432">
        <v>186.822517</v>
      </c>
      <c r="B432" s="1">
        <f>DATE(2010,11,3) + TIME(19,44,25)</f>
        <v>40485.822511574072</v>
      </c>
      <c r="C432">
        <v>80</v>
      </c>
      <c r="D432">
        <v>79.125038146999998</v>
      </c>
      <c r="E432">
        <v>40</v>
      </c>
      <c r="F432">
        <v>38.029430388999998</v>
      </c>
      <c r="G432">
        <v>1311.5024414</v>
      </c>
      <c r="H432">
        <v>1303.3400879000001</v>
      </c>
      <c r="I432">
        <v>1387.6402588000001</v>
      </c>
      <c r="J432">
        <v>1370.5836182</v>
      </c>
      <c r="K432">
        <v>0</v>
      </c>
      <c r="L432">
        <v>1650</v>
      </c>
      <c r="M432">
        <v>1650</v>
      </c>
      <c r="N432">
        <v>0</v>
      </c>
    </row>
    <row r="433" spans="1:14" x14ac:dyDescent="0.25">
      <c r="A433">
        <v>187.08357799999999</v>
      </c>
      <c r="B433" s="1">
        <f>DATE(2010,11,4) + TIME(2,0,21)</f>
        <v>40486.08357638889</v>
      </c>
      <c r="C433">
        <v>80</v>
      </c>
      <c r="D433">
        <v>79.066757202000005</v>
      </c>
      <c r="E433">
        <v>40</v>
      </c>
      <c r="F433">
        <v>38.372177123999997</v>
      </c>
      <c r="G433">
        <v>1311.4918213000001</v>
      </c>
      <c r="H433">
        <v>1303.3278809000001</v>
      </c>
      <c r="I433">
        <v>1387.3502197</v>
      </c>
      <c r="J433">
        <v>1370.4107666</v>
      </c>
      <c r="K433">
        <v>0</v>
      </c>
      <c r="L433">
        <v>1650</v>
      </c>
      <c r="M433">
        <v>1650</v>
      </c>
      <c r="N433">
        <v>0</v>
      </c>
    </row>
    <row r="434" spans="1:14" x14ac:dyDescent="0.25">
      <c r="A434">
        <v>187.353352</v>
      </c>
      <c r="B434" s="1">
        <f>DATE(2010,11,4) + TIME(8,28,49)</f>
        <v>40486.353344907409</v>
      </c>
      <c r="C434">
        <v>80</v>
      </c>
      <c r="D434">
        <v>79.007247925000001</v>
      </c>
      <c r="E434">
        <v>40</v>
      </c>
      <c r="F434">
        <v>38.660362243999998</v>
      </c>
      <c r="G434">
        <v>1311.480957</v>
      </c>
      <c r="H434">
        <v>1303.3153076000001</v>
      </c>
      <c r="I434">
        <v>1387.0891113</v>
      </c>
      <c r="J434">
        <v>1370.2486572</v>
      </c>
      <c r="K434">
        <v>0</v>
      </c>
      <c r="L434">
        <v>1650</v>
      </c>
      <c r="M434">
        <v>1650</v>
      </c>
      <c r="N434">
        <v>0</v>
      </c>
    </row>
    <row r="435" spans="1:14" x14ac:dyDescent="0.25">
      <c r="A435">
        <v>187.633623</v>
      </c>
      <c r="B435" s="1">
        <f>DATE(2010,11,4) + TIME(15,12,25)</f>
        <v>40486.633622685185</v>
      </c>
      <c r="C435">
        <v>80</v>
      </c>
      <c r="D435">
        <v>78.946189880000006</v>
      </c>
      <c r="E435">
        <v>40</v>
      </c>
      <c r="F435">
        <v>38.902256012000002</v>
      </c>
      <c r="G435">
        <v>1311.4696045000001</v>
      </c>
      <c r="H435">
        <v>1303.3022461</v>
      </c>
      <c r="I435">
        <v>1386.8516846</v>
      </c>
      <c r="J435">
        <v>1370.0950928</v>
      </c>
      <c r="K435">
        <v>0</v>
      </c>
      <c r="L435">
        <v>1650</v>
      </c>
      <c r="M435">
        <v>1650</v>
      </c>
      <c r="N435">
        <v>0</v>
      </c>
    </row>
    <row r="436" spans="1:14" x14ac:dyDescent="0.25">
      <c r="A436">
        <v>187.92651599999999</v>
      </c>
      <c r="B436" s="1">
        <f>DATE(2010,11,4) + TIME(22,14,11)</f>
        <v>40486.926516203705</v>
      </c>
      <c r="C436">
        <v>80</v>
      </c>
      <c r="D436">
        <v>78.883232117000006</v>
      </c>
      <c r="E436">
        <v>40</v>
      </c>
      <c r="F436">
        <v>39.104797363000003</v>
      </c>
      <c r="G436">
        <v>1311.4578856999999</v>
      </c>
      <c r="H436">
        <v>1303.2888184000001</v>
      </c>
      <c r="I436">
        <v>1386.6339111</v>
      </c>
      <c r="J436">
        <v>1369.9486084</v>
      </c>
      <c r="K436">
        <v>0</v>
      </c>
      <c r="L436">
        <v>1650</v>
      </c>
      <c r="M436">
        <v>1650</v>
      </c>
      <c r="N436">
        <v>0</v>
      </c>
    </row>
    <row r="437" spans="1:14" x14ac:dyDescent="0.25">
      <c r="A437">
        <v>188.23470800000001</v>
      </c>
      <c r="B437" s="1">
        <f>DATE(2010,11,5) + TIME(5,37,58)</f>
        <v>40487.234699074077</v>
      </c>
      <c r="C437">
        <v>80</v>
      </c>
      <c r="D437">
        <v>78.817924500000004</v>
      </c>
      <c r="E437">
        <v>40</v>
      </c>
      <c r="F437">
        <v>39.273860931000002</v>
      </c>
      <c r="G437">
        <v>1311.4456786999999</v>
      </c>
      <c r="H437">
        <v>1303.2746582</v>
      </c>
      <c r="I437">
        <v>1386.4321289</v>
      </c>
      <c r="J437">
        <v>1369.8076172000001</v>
      </c>
      <c r="K437">
        <v>0</v>
      </c>
      <c r="L437">
        <v>1650</v>
      </c>
      <c r="M437">
        <v>1650</v>
      </c>
      <c r="N437">
        <v>0</v>
      </c>
    </row>
    <row r="438" spans="1:14" x14ac:dyDescent="0.25">
      <c r="A438">
        <v>188.561274</v>
      </c>
      <c r="B438" s="1">
        <f>DATE(2010,11,5) + TIME(13,28,14)</f>
        <v>40487.561273148145</v>
      </c>
      <c r="C438">
        <v>80</v>
      </c>
      <c r="D438">
        <v>78.749763489000003</v>
      </c>
      <c r="E438">
        <v>40</v>
      </c>
      <c r="F438">
        <v>39.414318084999998</v>
      </c>
      <c r="G438">
        <v>1311.4327393000001</v>
      </c>
      <c r="H438">
        <v>1303.2598877</v>
      </c>
      <c r="I438">
        <v>1386.2434082</v>
      </c>
      <c r="J438">
        <v>1369.6707764</v>
      </c>
      <c r="K438">
        <v>0</v>
      </c>
      <c r="L438">
        <v>1650</v>
      </c>
      <c r="M438">
        <v>1650</v>
      </c>
      <c r="N438">
        <v>0</v>
      </c>
    </row>
    <row r="439" spans="1:14" x14ac:dyDescent="0.25">
      <c r="A439">
        <v>188.90990199999999</v>
      </c>
      <c r="B439" s="1">
        <f>DATE(2010,11,5) + TIME(21,50,15)</f>
        <v>40487.909895833334</v>
      </c>
      <c r="C439">
        <v>80</v>
      </c>
      <c r="D439">
        <v>78.678176879999995</v>
      </c>
      <c r="E439">
        <v>40</v>
      </c>
      <c r="F439">
        <v>39.530265808000003</v>
      </c>
      <c r="G439">
        <v>1311.4190673999999</v>
      </c>
      <c r="H439">
        <v>1303.2441406</v>
      </c>
      <c r="I439">
        <v>1386.0650635</v>
      </c>
      <c r="J439">
        <v>1369.5368652</v>
      </c>
      <c r="K439">
        <v>0</v>
      </c>
      <c r="L439">
        <v>1650</v>
      </c>
      <c r="M439">
        <v>1650</v>
      </c>
      <c r="N439">
        <v>0</v>
      </c>
    </row>
    <row r="440" spans="1:14" x14ac:dyDescent="0.25">
      <c r="A440">
        <v>189.28506999999999</v>
      </c>
      <c r="B440" s="1">
        <f>DATE(2010,11,6) + TIME(6,50,30)</f>
        <v>40488.285069444442</v>
      </c>
      <c r="C440">
        <v>80</v>
      </c>
      <c r="D440">
        <v>78.602470397999994</v>
      </c>
      <c r="E440">
        <v>40</v>
      </c>
      <c r="F440">
        <v>39.625202178999999</v>
      </c>
      <c r="G440">
        <v>1311.4044189000001</v>
      </c>
      <c r="H440">
        <v>1303.2272949000001</v>
      </c>
      <c r="I440">
        <v>1385.8946533000001</v>
      </c>
      <c r="J440">
        <v>1369.4046631000001</v>
      </c>
      <c r="K440">
        <v>0</v>
      </c>
      <c r="L440">
        <v>1650</v>
      </c>
      <c r="M440">
        <v>1650</v>
      </c>
      <c r="N440">
        <v>0</v>
      </c>
    </row>
    <row r="441" spans="1:14" x14ac:dyDescent="0.25">
      <c r="A441">
        <v>189.69249500000001</v>
      </c>
      <c r="B441" s="1">
        <f>DATE(2010,11,6) + TIME(16,37,11)</f>
        <v>40488.692488425928</v>
      </c>
      <c r="C441">
        <v>80</v>
      </c>
      <c r="D441">
        <v>78.521797179999993</v>
      </c>
      <c r="E441">
        <v>40</v>
      </c>
      <c r="F441">
        <v>39.702163696</v>
      </c>
      <c r="G441">
        <v>1311.3886719</v>
      </c>
      <c r="H441">
        <v>1303.2092285000001</v>
      </c>
      <c r="I441">
        <v>1385.7301024999999</v>
      </c>
      <c r="J441">
        <v>1369.2730713000001</v>
      </c>
      <c r="K441">
        <v>0</v>
      </c>
      <c r="L441">
        <v>1650</v>
      </c>
      <c r="M441">
        <v>1650</v>
      </c>
      <c r="N441">
        <v>0</v>
      </c>
    </row>
    <row r="442" spans="1:14" x14ac:dyDescent="0.25">
      <c r="A442">
        <v>190.13957199999999</v>
      </c>
      <c r="B442" s="1">
        <f>DATE(2010,11,7) + TIME(3,20,59)</f>
        <v>40489.13957175926</v>
      </c>
      <c r="C442">
        <v>80</v>
      </c>
      <c r="D442">
        <v>78.435073853000006</v>
      </c>
      <c r="E442">
        <v>40</v>
      </c>
      <c r="F442">
        <v>39.763793945000003</v>
      </c>
      <c r="G442">
        <v>1311.371582</v>
      </c>
      <c r="H442">
        <v>1303.1895752</v>
      </c>
      <c r="I442">
        <v>1385.5694579999999</v>
      </c>
      <c r="J442">
        <v>1369.1408690999999</v>
      </c>
      <c r="K442">
        <v>0</v>
      </c>
      <c r="L442">
        <v>1650</v>
      </c>
      <c r="M442">
        <v>1650</v>
      </c>
      <c r="N442">
        <v>0</v>
      </c>
    </row>
    <row r="443" spans="1:14" x14ac:dyDescent="0.25">
      <c r="A443">
        <v>190.62417400000001</v>
      </c>
      <c r="B443" s="1">
        <f>DATE(2010,11,7) + TIME(14,58,48)</f>
        <v>40489.624166666668</v>
      </c>
      <c r="C443">
        <v>80</v>
      </c>
      <c r="D443">
        <v>78.342575073000006</v>
      </c>
      <c r="E443">
        <v>40</v>
      </c>
      <c r="F443">
        <v>39.811569214000002</v>
      </c>
      <c r="G443">
        <v>1311.3526611</v>
      </c>
      <c r="H443">
        <v>1303.1679687999999</v>
      </c>
      <c r="I443">
        <v>1385.4108887</v>
      </c>
      <c r="J443">
        <v>1369.0069579999999</v>
      </c>
      <c r="K443">
        <v>0</v>
      </c>
      <c r="L443">
        <v>1650</v>
      </c>
      <c r="M443">
        <v>1650</v>
      </c>
      <c r="N443">
        <v>0</v>
      </c>
    </row>
    <row r="444" spans="1:14" x14ac:dyDescent="0.25">
      <c r="A444">
        <v>191.14040700000001</v>
      </c>
      <c r="B444" s="1">
        <f>DATE(2010,11,8) + TIME(3,22,11)</f>
        <v>40490.140405092592</v>
      </c>
      <c r="C444">
        <v>80</v>
      </c>
      <c r="D444">
        <v>78.245094299000002</v>
      </c>
      <c r="E444">
        <v>40</v>
      </c>
      <c r="F444">
        <v>39.847415924000003</v>
      </c>
      <c r="G444">
        <v>1311.3321533000001</v>
      </c>
      <c r="H444">
        <v>1303.1446533000001</v>
      </c>
      <c r="I444">
        <v>1385.2554932</v>
      </c>
      <c r="J444">
        <v>1368.8728027</v>
      </c>
      <c r="K444">
        <v>0</v>
      </c>
      <c r="L444">
        <v>1650</v>
      </c>
      <c r="M444">
        <v>1650</v>
      </c>
      <c r="N444">
        <v>0</v>
      </c>
    </row>
    <row r="445" spans="1:14" x14ac:dyDescent="0.25">
      <c r="A445">
        <v>191.659425</v>
      </c>
      <c r="B445" s="1">
        <f>DATE(2010,11,8) + TIME(15,49,34)</f>
        <v>40490.659421296295</v>
      </c>
      <c r="C445">
        <v>80</v>
      </c>
      <c r="D445">
        <v>78.146560668999996</v>
      </c>
      <c r="E445">
        <v>40</v>
      </c>
      <c r="F445">
        <v>39.872848511000001</v>
      </c>
      <c r="G445">
        <v>1311.3100586</v>
      </c>
      <c r="H445">
        <v>1303.1196289</v>
      </c>
      <c r="I445">
        <v>1385.1055908000001</v>
      </c>
      <c r="J445">
        <v>1368.7409668</v>
      </c>
      <c r="K445">
        <v>0</v>
      </c>
      <c r="L445">
        <v>1650</v>
      </c>
      <c r="M445">
        <v>1650</v>
      </c>
      <c r="N445">
        <v>0</v>
      </c>
    </row>
    <row r="446" spans="1:14" x14ac:dyDescent="0.25">
      <c r="A446">
        <v>192.18652599999999</v>
      </c>
      <c r="B446" s="1">
        <f>DATE(2010,11,9) + TIME(4,28,35)</f>
        <v>40491.186516203707</v>
      </c>
      <c r="C446">
        <v>80</v>
      </c>
      <c r="D446">
        <v>78.046760559000006</v>
      </c>
      <c r="E446">
        <v>40</v>
      </c>
      <c r="F446">
        <v>39.891071320000002</v>
      </c>
      <c r="G446">
        <v>1311.2878418</v>
      </c>
      <c r="H446">
        <v>1303.0944824000001</v>
      </c>
      <c r="I446">
        <v>1384.9670410000001</v>
      </c>
      <c r="J446">
        <v>1368.6177978999999</v>
      </c>
      <c r="K446">
        <v>0</v>
      </c>
      <c r="L446">
        <v>1650</v>
      </c>
      <c r="M446">
        <v>1650</v>
      </c>
      <c r="N446">
        <v>0</v>
      </c>
    </row>
    <row r="447" spans="1:14" x14ac:dyDescent="0.25">
      <c r="A447">
        <v>192.72693599999999</v>
      </c>
      <c r="B447" s="1">
        <f>DATE(2010,11,9) + TIME(17,26,47)</f>
        <v>40491.72693287037</v>
      </c>
      <c r="C447">
        <v>80</v>
      </c>
      <c r="D447">
        <v>77.945281981999997</v>
      </c>
      <c r="E447">
        <v>40</v>
      </c>
      <c r="F447">
        <v>39.904228209999999</v>
      </c>
      <c r="G447">
        <v>1311.2651367000001</v>
      </c>
      <c r="H447">
        <v>1303.0687256000001</v>
      </c>
      <c r="I447">
        <v>1384.8369141000001</v>
      </c>
      <c r="J447">
        <v>1368.5012207</v>
      </c>
      <c r="K447">
        <v>0</v>
      </c>
      <c r="L447">
        <v>1650</v>
      </c>
      <c r="M447">
        <v>1650</v>
      </c>
      <c r="N447">
        <v>0</v>
      </c>
    </row>
    <row r="448" spans="1:14" x14ac:dyDescent="0.25">
      <c r="A448">
        <v>193.28586200000001</v>
      </c>
      <c r="B448" s="1">
        <f>DATE(2010,11,10) + TIME(6,51,38)</f>
        <v>40492.285856481481</v>
      </c>
      <c r="C448">
        <v>80</v>
      </c>
      <c r="D448">
        <v>77.841598511000001</v>
      </c>
      <c r="E448">
        <v>40</v>
      </c>
      <c r="F448">
        <v>39.913776398000003</v>
      </c>
      <c r="G448">
        <v>1311.2419434000001</v>
      </c>
      <c r="H448">
        <v>1303.0422363</v>
      </c>
      <c r="I448">
        <v>1384.7131348</v>
      </c>
      <c r="J448">
        <v>1368.3894043</v>
      </c>
      <c r="K448">
        <v>0</v>
      </c>
      <c r="L448">
        <v>1650</v>
      </c>
      <c r="M448">
        <v>1650</v>
      </c>
      <c r="N448">
        <v>0</v>
      </c>
    </row>
    <row r="449" spans="1:14" x14ac:dyDescent="0.25">
      <c r="A449">
        <v>193.868694</v>
      </c>
      <c r="B449" s="1">
        <f>DATE(2010,11,10) + TIME(20,50,55)</f>
        <v>40492.868692129632</v>
      </c>
      <c r="C449">
        <v>80</v>
      </c>
      <c r="D449">
        <v>77.735084533999995</v>
      </c>
      <c r="E449">
        <v>40</v>
      </c>
      <c r="F449">
        <v>39.920738219999997</v>
      </c>
      <c r="G449">
        <v>1311.2178954999999</v>
      </c>
      <c r="H449">
        <v>1303.0147704999999</v>
      </c>
      <c r="I449">
        <v>1384.59375</v>
      </c>
      <c r="J449">
        <v>1368.28125</v>
      </c>
      <c r="K449">
        <v>0</v>
      </c>
      <c r="L449">
        <v>1650</v>
      </c>
      <c r="M449">
        <v>1650</v>
      </c>
      <c r="N449">
        <v>0</v>
      </c>
    </row>
    <row r="450" spans="1:14" x14ac:dyDescent="0.25">
      <c r="A450">
        <v>194.48149100000001</v>
      </c>
      <c r="B450" s="1">
        <f>DATE(2010,11,11) + TIME(11,33,20)</f>
        <v>40493.481481481482</v>
      </c>
      <c r="C450">
        <v>80</v>
      </c>
      <c r="D450">
        <v>77.624992371000005</v>
      </c>
      <c r="E450">
        <v>40</v>
      </c>
      <c r="F450">
        <v>39.925834655999999</v>
      </c>
      <c r="G450">
        <v>1311.192749</v>
      </c>
      <c r="H450">
        <v>1302.9859618999999</v>
      </c>
      <c r="I450">
        <v>1384.4775391000001</v>
      </c>
      <c r="J450">
        <v>1368.1754149999999</v>
      </c>
      <c r="K450">
        <v>0</v>
      </c>
      <c r="L450">
        <v>1650</v>
      </c>
      <c r="M450">
        <v>1650</v>
      </c>
      <c r="N450">
        <v>0</v>
      </c>
    </row>
    <row r="451" spans="1:14" x14ac:dyDescent="0.25">
      <c r="A451">
        <v>195.131316</v>
      </c>
      <c r="B451" s="1">
        <f>DATE(2010,11,12) + TIME(3,9,5)</f>
        <v>40494.131307870368</v>
      </c>
      <c r="C451">
        <v>80</v>
      </c>
      <c r="D451">
        <v>77.510444641000007</v>
      </c>
      <c r="E451">
        <v>40</v>
      </c>
      <c r="F451">
        <v>39.929576873999999</v>
      </c>
      <c r="G451">
        <v>1311.1662598</v>
      </c>
      <c r="H451">
        <v>1302.9555664</v>
      </c>
      <c r="I451">
        <v>1384.3631591999999</v>
      </c>
      <c r="J451">
        <v>1368.0711670000001</v>
      </c>
      <c r="K451">
        <v>0</v>
      </c>
      <c r="L451">
        <v>1650</v>
      </c>
      <c r="M451">
        <v>1650</v>
      </c>
      <c r="N451">
        <v>0</v>
      </c>
    </row>
    <row r="452" spans="1:14" x14ac:dyDescent="0.25">
      <c r="A452">
        <v>195.82683599999999</v>
      </c>
      <c r="B452" s="1">
        <f>DATE(2010,11,12) + TIME(19,50,38)</f>
        <v>40494.826828703706</v>
      </c>
      <c r="C452">
        <v>80</v>
      </c>
      <c r="D452">
        <v>77.390373229999994</v>
      </c>
      <c r="E452">
        <v>40</v>
      </c>
      <c r="F452">
        <v>39.932346344000003</v>
      </c>
      <c r="G452">
        <v>1311.1379394999999</v>
      </c>
      <c r="H452">
        <v>1302.9230957</v>
      </c>
      <c r="I452">
        <v>1384.2496338000001</v>
      </c>
      <c r="J452">
        <v>1367.9672852000001</v>
      </c>
      <c r="K452">
        <v>0</v>
      </c>
      <c r="L452">
        <v>1650</v>
      </c>
      <c r="M452">
        <v>1650</v>
      </c>
      <c r="N452">
        <v>0</v>
      </c>
    </row>
    <row r="453" spans="1:14" x14ac:dyDescent="0.25">
      <c r="A453">
        <v>196.569379</v>
      </c>
      <c r="B453" s="1">
        <f>DATE(2010,11,13) + TIME(13,39,54)</f>
        <v>40495.569374999999</v>
      </c>
      <c r="C453">
        <v>80</v>
      </c>
      <c r="D453">
        <v>77.264488220000004</v>
      </c>
      <c r="E453">
        <v>40</v>
      </c>
      <c r="F453">
        <v>39.934383392000001</v>
      </c>
      <c r="G453">
        <v>1311.1075439000001</v>
      </c>
      <c r="H453">
        <v>1302.8881836</v>
      </c>
      <c r="I453">
        <v>1384.1358643000001</v>
      </c>
      <c r="J453">
        <v>1367.8631591999999</v>
      </c>
      <c r="K453">
        <v>0</v>
      </c>
      <c r="L453">
        <v>1650</v>
      </c>
      <c r="M453">
        <v>1650</v>
      </c>
      <c r="N453">
        <v>0</v>
      </c>
    </row>
    <row r="454" spans="1:14" x14ac:dyDescent="0.25">
      <c r="A454">
        <v>197.35936699999999</v>
      </c>
      <c r="B454" s="1">
        <f>DATE(2010,11,14) + TIME(8,37,29)</f>
        <v>40496.359363425923</v>
      </c>
      <c r="C454">
        <v>80</v>
      </c>
      <c r="D454">
        <v>77.132682799999998</v>
      </c>
      <c r="E454">
        <v>40</v>
      </c>
      <c r="F454">
        <v>39.935890198000003</v>
      </c>
      <c r="G454">
        <v>1311.0748291</v>
      </c>
      <c r="H454">
        <v>1302.8508300999999</v>
      </c>
      <c r="I454">
        <v>1384.0220947</v>
      </c>
      <c r="J454">
        <v>1367.7590332</v>
      </c>
      <c r="K454">
        <v>0</v>
      </c>
      <c r="L454">
        <v>1650</v>
      </c>
      <c r="M454">
        <v>1650</v>
      </c>
      <c r="N454">
        <v>0</v>
      </c>
    </row>
    <row r="455" spans="1:14" x14ac:dyDescent="0.25">
      <c r="A455">
        <v>198.17629199999999</v>
      </c>
      <c r="B455" s="1">
        <f>DATE(2010,11,15) + TIME(4,13,51)</f>
        <v>40497.17628472222</v>
      </c>
      <c r="C455">
        <v>80</v>
      </c>
      <c r="D455">
        <v>76.997039795000006</v>
      </c>
      <c r="E455">
        <v>40</v>
      </c>
      <c r="F455">
        <v>39.936992644999997</v>
      </c>
      <c r="G455">
        <v>1311.0396728999999</v>
      </c>
      <c r="H455">
        <v>1302.8106689000001</v>
      </c>
      <c r="I455">
        <v>1383.9088135</v>
      </c>
      <c r="J455">
        <v>1367.6552733999999</v>
      </c>
      <c r="K455">
        <v>0</v>
      </c>
      <c r="L455">
        <v>1650</v>
      </c>
      <c r="M455">
        <v>1650</v>
      </c>
      <c r="N455">
        <v>0</v>
      </c>
    </row>
    <row r="456" spans="1:14" x14ac:dyDescent="0.25">
      <c r="A456">
        <v>199.001848</v>
      </c>
      <c r="B456" s="1">
        <f>DATE(2010,11,16) + TIME(0,2,39)</f>
        <v>40498.001840277779</v>
      </c>
      <c r="C456">
        <v>80</v>
      </c>
      <c r="D456">
        <v>76.859939574999999</v>
      </c>
      <c r="E456">
        <v>40</v>
      </c>
      <c r="F456">
        <v>39.937793732000003</v>
      </c>
      <c r="G456">
        <v>1311.0030518000001</v>
      </c>
      <c r="H456">
        <v>1302.7687988</v>
      </c>
      <c r="I456">
        <v>1383.7991943</v>
      </c>
      <c r="J456">
        <v>1367.5548096</v>
      </c>
      <c r="K456">
        <v>0</v>
      </c>
      <c r="L456">
        <v>1650</v>
      </c>
      <c r="M456">
        <v>1650</v>
      </c>
      <c r="N456">
        <v>0</v>
      </c>
    </row>
    <row r="457" spans="1:14" x14ac:dyDescent="0.25">
      <c r="A457">
        <v>199.84520900000001</v>
      </c>
      <c r="B457" s="1">
        <f>DATE(2010,11,16) + TIME(20,17,6)</f>
        <v>40498.845208333332</v>
      </c>
      <c r="C457">
        <v>80</v>
      </c>
      <c r="D457">
        <v>76.721275329999997</v>
      </c>
      <c r="E457">
        <v>40</v>
      </c>
      <c r="F457">
        <v>39.938400268999999</v>
      </c>
      <c r="G457">
        <v>1310.9658202999999</v>
      </c>
      <c r="H457">
        <v>1302.7260742000001</v>
      </c>
      <c r="I457">
        <v>1383.6954346</v>
      </c>
      <c r="J457">
        <v>1367.4597168</v>
      </c>
      <c r="K457">
        <v>0</v>
      </c>
      <c r="L457">
        <v>1650</v>
      </c>
      <c r="M457">
        <v>1650</v>
      </c>
      <c r="N457">
        <v>0</v>
      </c>
    </row>
    <row r="458" spans="1:14" x14ac:dyDescent="0.25">
      <c r="A458">
        <v>200.715045</v>
      </c>
      <c r="B458" s="1">
        <f>DATE(2010,11,17) + TIME(17,9,39)</f>
        <v>40499.71503472222</v>
      </c>
      <c r="C458">
        <v>80</v>
      </c>
      <c r="D458">
        <v>76.580490112000007</v>
      </c>
      <c r="E458">
        <v>40</v>
      </c>
      <c r="F458">
        <v>39.938873291</v>
      </c>
      <c r="G458">
        <v>1310.9274902</v>
      </c>
      <c r="H458">
        <v>1302.6817627</v>
      </c>
      <c r="I458">
        <v>1383.5958252</v>
      </c>
      <c r="J458">
        <v>1367.3685303</v>
      </c>
      <c r="K458">
        <v>0</v>
      </c>
      <c r="L458">
        <v>1650</v>
      </c>
      <c r="M458">
        <v>1650</v>
      </c>
      <c r="N458">
        <v>0</v>
      </c>
    </row>
    <row r="459" spans="1:14" x14ac:dyDescent="0.25">
      <c r="A459">
        <v>201.61820399999999</v>
      </c>
      <c r="B459" s="1">
        <f>DATE(2010,11,18) + TIME(14,50,12)</f>
        <v>40500.618194444447</v>
      </c>
      <c r="C459">
        <v>80</v>
      </c>
      <c r="D459">
        <v>76.436981200999995</v>
      </c>
      <c r="E459">
        <v>40</v>
      </c>
      <c r="F459">
        <v>39.939250946000001</v>
      </c>
      <c r="G459">
        <v>1310.8875731999999</v>
      </c>
      <c r="H459">
        <v>1302.6357422000001</v>
      </c>
      <c r="I459">
        <v>1383.4991454999999</v>
      </c>
      <c r="J459">
        <v>1367.2799072</v>
      </c>
      <c r="K459">
        <v>0</v>
      </c>
      <c r="L459">
        <v>1650</v>
      </c>
      <c r="M459">
        <v>1650</v>
      </c>
      <c r="N459">
        <v>0</v>
      </c>
    </row>
    <row r="460" spans="1:14" x14ac:dyDescent="0.25">
      <c r="A460">
        <v>202.55965499999999</v>
      </c>
      <c r="B460" s="1">
        <f>DATE(2010,11,19) + TIME(13,25,54)</f>
        <v>40501.559652777774</v>
      </c>
      <c r="C460">
        <v>80</v>
      </c>
      <c r="D460">
        <v>76.290199279999996</v>
      </c>
      <c r="E460">
        <v>40</v>
      </c>
      <c r="F460">
        <v>39.939559936999999</v>
      </c>
      <c r="G460">
        <v>1310.8458252</v>
      </c>
      <c r="H460">
        <v>1302.5872803</v>
      </c>
      <c r="I460">
        <v>1383.4045410000001</v>
      </c>
      <c r="J460">
        <v>1367.1933594</v>
      </c>
      <c r="K460">
        <v>0</v>
      </c>
      <c r="L460">
        <v>1650</v>
      </c>
      <c r="M460">
        <v>1650</v>
      </c>
      <c r="N460">
        <v>0</v>
      </c>
    </row>
    <row r="461" spans="1:14" x14ac:dyDescent="0.25">
      <c r="A461">
        <v>203.549823</v>
      </c>
      <c r="B461" s="1">
        <f>DATE(2010,11,20) + TIME(13,11,44)</f>
        <v>40502.549814814818</v>
      </c>
      <c r="C461">
        <v>80</v>
      </c>
      <c r="D461">
        <v>76.139129639000004</v>
      </c>
      <c r="E461">
        <v>40</v>
      </c>
      <c r="F461">
        <v>39.939819335999999</v>
      </c>
      <c r="G461">
        <v>1310.8018798999999</v>
      </c>
      <c r="H461">
        <v>1302.5362548999999</v>
      </c>
      <c r="I461">
        <v>1383.3116454999999</v>
      </c>
      <c r="J461">
        <v>1367.1082764</v>
      </c>
      <c r="K461">
        <v>0</v>
      </c>
      <c r="L461">
        <v>1650</v>
      </c>
      <c r="M461">
        <v>1650</v>
      </c>
      <c r="N461">
        <v>0</v>
      </c>
    </row>
    <row r="462" spans="1:14" x14ac:dyDescent="0.25">
      <c r="A462">
        <v>204.600706</v>
      </c>
      <c r="B462" s="1">
        <f>DATE(2010,11,21) + TIME(14,25,0)</f>
        <v>40503.600694444445</v>
      </c>
      <c r="C462">
        <v>80</v>
      </c>
      <c r="D462">
        <v>75.982551575000002</v>
      </c>
      <c r="E462">
        <v>40</v>
      </c>
      <c r="F462">
        <v>39.940048218000001</v>
      </c>
      <c r="G462">
        <v>1310.755249</v>
      </c>
      <c r="H462">
        <v>1302.4818115</v>
      </c>
      <c r="I462">
        <v>1383.2193603999999</v>
      </c>
      <c r="J462">
        <v>1367.0239257999999</v>
      </c>
      <c r="K462">
        <v>0</v>
      </c>
      <c r="L462">
        <v>1650</v>
      </c>
      <c r="M462">
        <v>1650</v>
      </c>
      <c r="N462">
        <v>0</v>
      </c>
    </row>
    <row r="463" spans="1:14" x14ac:dyDescent="0.25">
      <c r="A463">
        <v>205.71514400000001</v>
      </c>
      <c r="B463" s="1">
        <f>DATE(2010,11,22) + TIME(17,9,48)</f>
        <v>40504.715138888889</v>
      </c>
      <c r="C463">
        <v>80</v>
      </c>
      <c r="D463">
        <v>75.819900512999993</v>
      </c>
      <c r="E463">
        <v>40</v>
      </c>
      <c r="F463">
        <v>39.940246582</v>
      </c>
      <c r="G463">
        <v>1310.7050781</v>
      </c>
      <c r="H463">
        <v>1302.4233397999999</v>
      </c>
      <c r="I463">
        <v>1383.1271973</v>
      </c>
      <c r="J463">
        <v>1366.9394531</v>
      </c>
      <c r="K463">
        <v>0</v>
      </c>
      <c r="L463">
        <v>1650</v>
      </c>
      <c r="M463">
        <v>1650</v>
      </c>
      <c r="N463">
        <v>0</v>
      </c>
    </row>
    <row r="464" spans="1:14" x14ac:dyDescent="0.25">
      <c r="A464">
        <v>206.83652799999999</v>
      </c>
      <c r="B464" s="1">
        <f>DATE(2010,11,23) + TIME(20,4,36)</f>
        <v>40505.836527777778</v>
      </c>
      <c r="C464">
        <v>80</v>
      </c>
      <c r="D464">
        <v>75.655410767000006</v>
      </c>
      <c r="E464">
        <v>40</v>
      </c>
      <c r="F464">
        <v>39.940422058000003</v>
      </c>
      <c r="G464">
        <v>1310.651001</v>
      </c>
      <c r="H464">
        <v>1302.3604736</v>
      </c>
      <c r="I464">
        <v>1383.0349120999999</v>
      </c>
      <c r="J464">
        <v>1366.8551024999999</v>
      </c>
      <c r="K464">
        <v>0</v>
      </c>
      <c r="L464">
        <v>1650</v>
      </c>
      <c r="M464">
        <v>1650</v>
      </c>
      <c r="N464">
        <v>0</v>
      </c>
    </row>
    <row r="465" spans="1:14" x14ac:dyDescent="0.25">
      <c r="A465">
        <v>207.96933799999999</v>
      </c>
      <c r="B465" s="1">
        <f>DATE(2010,11,24) + TIME(23,15,50)</f>
        <v>40506.969328703701</v>
      </c>
      <c r="C465">
        <v>80</v>
      </c>
      <c r="D465">
        <v>75.490402222</v>
      </c>
      <c r="E465">
        <v>40</v>
      </c>
      <c r="F465">
        <v>39.940574646000002</v>
      </c>
      <c r="G465">
        <v>1310.5958252</v>
      </c>
      <c r="H465">
        <v>1302.2960204999999</v>
      </c>
      <c r="I465">
        <v>1382.9475098</v>
      </c>
      <c r="J465">
        <v>1366.7752685999999</v>
      </c>
      <c r="K465">
        <v>0</v>
      </c>
      <c r="L465">
        <v>1650</v>
      </c>
      <c r="M465">
        <v>1650</v>
      </c>
      <c r="N465">
        <v>0</v>
      </c>
    </row>
    <row r="466" spans="1:14" x14ac:dyDescent="0.25">
      <c r="A466">
        <v>209.125528</v>
      </c>
      <c r="B466" s="1">
        <f>DATE(2010,11,26) + TIME(3,0,45)</f>
        <v>40508.125520833331</v>
      </c>
      <c r="C466">
        <v>80</v>
      </c>
      <c r="D466">
        <v>75.324722289999997</v>
      </c>
      <c r="E466">
        <v>40</v>
      </c>
      <c r="F466">
        <v>39.940719604000002</v>
      </c>
      <c r="G466">
        <v>1310.5394286999999</v>
      </c>
      <c r="H466">
        <v>1302.2296143000001</v>
      </c>
      <c r="I466">
        <v>1382.8641356999999</v>
      </c>
      <c r="J466">
        <v>1366.6990966999999</v>
      </c>
      <c r="K466">
        <v>0</v>
      </c>
      <c r="L466">
        <v>1650</v>
      </c>
      <c r="M466">
        <v>1650</v>
      </c>
      <c r="N466">
        <v>0</v>
      </c>
    </row>
    <row r="467" spans="1:14" x14ac:dyDescent="0.25">
      <c r="A467">
        <v>210.31661800000001</v>
      </c>
      <c r="B467" s="1">
        <f>DATE(2010,11,27) + TIME(7,35,55)</f>
        <v>40509.316608796296</v>
      </c>
      <c r="C467">
        <v>80</v>
      </c>
      <c r="D467">
        <v>75.157608031999999</v>
      </c>
      <c r="E467">
        <v>40</v>
      </c>
      <c r="F467">
        <v>39.940853119000003</v>
      </c>
      <c r="G467">
        <v>1310.480957</v>
      </c>
      <c r="H467">
        <v>1302.1605225000001</v>
      </c>
      <c r="I467">
        <v>1382.7836914</v>
      </c>
      <c r="J467">
        <v>1366.6254882999999</v>
      </c>
      <c r="K467">
        <v>0</v>
      </c>
      <c r="L467">
        <v>1650</v>
      </c>
      <c r="M467">
        <v>1650</v>
      </c>
      <c r="N467">
        <v>0</v>
      </c>
    </row>
    <row r="468" spans="1:14" x14ac:dyDescent="0.25">
      <c r="A468">
        <v>211.55491000000001</v>
      </c>
      <c r="B468" s="1">
        <f>DATE(2010,11,28) + TIME(13,19,4)</f>
        <v>40510.554907407408</v>
      </c>
      <c r="C468">
        <v>80</v>
      </c>
      <c r="D468">
        <v>74.987991332999997</v>
      </c>
      <c r="E468">
        <v>40</v>
      </c>
      <c r="F468">
        <v>39.940986633000001</v>
      </c>
      <c r="G468">
        <v>1310.4199219</v>
      </c>
      <c r="H468">
        <v>1302.0881348</v>
      </c>
      <c r="I468">
        <v>1382.7053223</v>
      </c>
      <c r="J468">
        <v>1366.5538329999999</v>
      </c>
      <c r="K468">
        <v>0</v>
      </c>
      <c r="L468">
        <v>1650</v>
      </c>
      <c r="M468">
        <v>1650</v>
      </c>
      <c r="N468">
        <v>0</v>
      </c>
    </row>
    <row r="469" spans="1:14" x14ac:dyDescent="0.25">
      <c r="A469">
        <v>212.854254</v>
      </c>
      <c r="B469" s="1">
        <f>DATE(2010,11,29) + TIME(20,30,7)</f>
        <v>40511.854247685187</v>
      </c>
      <c r="C469">
        <v>80</v>
      </c>
      <c r="D469">
        <v>74.814353943</v>
      </c>
      <c r="E469">
        <v>40</v>
      </c>
      <c r="F469">
        <v>39.941120148000003</v>
      </c>
      <c r="G469">
        <v>1310.3554687999999</v>
      </c>
      <c r="H469">
        <v>1302.0114745999999</v>
      </c>
      <c r="I469">
        <v>1382.6280518000001</v>
      </c>
      <c r="J469">
        <v>1366.4832764</v>
      </c>
      <c r="K469">
        <v>0</v>
      </c>
      <c r="L469">
        <v>1650</v>
      </c>
      <c r="M469">
        <v>1650</v>
      </c>
      <c r="N469">
        <v>0</v>
      </c>
    </row>
    <row r="470" spans="1:14" x14ac:dyDescent="0.25">
      <c r="A470">
        <v>214</v>
      </c>
      <c r="B470" s="1">
        <f>DATE(2010,12,1) + TIME(0,0,0)</f>
        <v>40513</v>
      </c>
      <c r="C470">
        <v>80</v>
      </c>
      <c r="D470">
        <v>74.651336670000006</v>
      </c>
      <c r="E470">
        <v>40</v>
      </c>
      <c r="F470">
        <v>39.941234588999997</v>
      </c>
      <c r="G470">
        <v>1310.2863769999999</v>
      </c>
      <c r="H470">
        <v>1301.9302978999999</v>
      </c>
      <c r="I470">
        <v>1382.5510254000001</v>
      </c>
      <c r="J470">
        <v>1366.4128418</v>
      </c>
      <c r="K470">
        <v>0</v>
      </c>
      <c r="L470">
        <v>1650</v>
      </c>
      <c r="M470">
        <v>1650</v>
      </c>
      <c r="N470">
        <v>0</v>
      </c>
    </row>
    <row r="471" spans="1:14" x14ac:dyDescent="0.25">
      <c r="A471">
        <v>215.37678500000001</v>
      </c>
      <c r="B471" s="1">
        <f>DATE(2010,12,2) + TIME(9,2,34)</f>
        <v>40514.376782407409</v>
      </c>
      <c r="C471">
        <v>80</v>
      </c>
      <c r="D471">
        <v>74.478202820000007</v>
      </c>
      <c r="E471">
        <v>40</v>
      </c>
      <c r="F471">
        <v>39.941368103000002</v>
      </c>
      <c r="G471">
        <v>1310.2247314000001</v>
      </c>
      <c r="H471">
        <v>1301.8547363</v>
      </c>
      <c r="I471">
        <v>1382.4869385</v>
      </c>
      <c r="J471">
        <v>1366.3543701000001</v>
      </c>
      <c r="K471">
        <v>0</v>
      </c>
      <c r="L471">
        <v>1650</v>
      </c>
      <c r="M471">
        <v>1650</v>
      </c>
      <c r="N471">
        <v>0</v>
      </c>
    </row>
    <row r="472" spans="1:14" x14ac:dyDescent="0.25">
      <c r="A472">
        <v>216.828564</v>
      </c>
      <c r="B472" s="1">
        <f>DATE(2010,12,3) + TIME(19,53,7)</f>
        <v>40515.828553240739</v>
      </c>
      <c r="C472">
        <v>80</v>
      </c>
      <c r="D472">
        <v>74.297485351999995</v>
      </c>
      <c r="E472">
        <v>40</v>
      </c>
      <c r="F472">
        <v>39.941509246999999</v>
      </c>
      <c r="G472">
        <v>1310.1496582</v>
      </c>
      <c r="H472">
        <v>1301.7647704999999</v>
      </c>
      <c r="I472">
        <v>1382.4133300999999</v>
      </c>
      <c r="J472">
        <v>1366.2871094</v>
      </c>
      <c r="K472">
        <v>0</v>
      </c>
      <c r="L472">
        <v>1650</v>
      </c>
      <c r="M472">
        <v>1650</v>
      </c>
      <c r="N472">
        <v>0</v>
      </c>
    </row>
    <row r="473" spans="1:14" x14ac:dyDescent="0.25">
      <c r="A473">
        <v>218.29603</v>
      </c>
      <c r="B473" s="1">
        <f>DATE(2010,12,5) + TIME(7,6,17)</f>
        <v>40517.296030092592</v>
      </c>
      <c r="C473">
        <v>80</v>
      </c>
      <c r="D473">
        <v>74.113327025999993</v>
      </c>
      <c r="E473">
        <v>40</v>
      </c>
      <c r="F473">
        <v>39.941646575999997</v>
      </c>
      <c r="G473">
        <v>1310.0688477000001</v>
      </c>
      <c r="H473">
        <v>1301.6677245999999</v>
      </c>
      <c r="I473">
        <v>1382.3397216999999</v>
      </c>
      <c r="J473">
        <v>1366.2199707</v>
      </c>
      <c r="K473">
        <v>0</v>
      </c>
      <c r="L473">
        <v>1650</v>
      </c>
      <c r="M473">
        <v>1650</v>
      </c>
      <c r="N473">
        <v>0</v>
      </c>
    </row>
    <row r="474" spans="1:14" x14ac:dyDescent="0.25">
      <c r="A474">
        <v>219.79474999999999</v>
      </c>
      <c r="B474" s="1">
        <f>DATE(2010,12,6) + TIME(19,4,26)</f>
        <v>40518.794745370367</v>
      </c>
      <c r="C474">
        <v>80</v>
      </c>
      <c r="D474">
        <v>73.927299500000004</v>
      </c>
      <c r="E474">
        <v>40</v>
      </c>
      <c r="F474">
        <v>39.941787720000001</v>
      </c>
      <c r="G474">
        <v>1309.9854736</v>
      </c>
      <c r="H474">
        <v>1301.5668945</v>
      </c>
      <c r="I474">
        <v>1382.2691649999999</v>
      </c>
      <c r="J474">
        <v>1366.1555175999999</v>
      </c>
      <c r="K474">
        <v>0</v>
      </c>
      <c r="L474">
        <v>1650</v>
      </c>
      <c r="M474">
        <v>1650</v>
      </c>
      <c r="N474">
        <v>0</v>
      </c>
    </row>
    <row r="475" spans="1:14" x14ac:dyDescent="0.25">
      <c r="A475">
        <v>221.34043800000001</v>
      </c>
      <c r="B475" s="1">
        <f>DATE(2010,12,8) + TIME(8,10,13)</f>
        <v>40520.340428240743</v>
      </c>
      <c r="C475">
        <v>80</v>
      </c>
      <c r="D475">
        <v>73.739173889</v>
      </c>
      <c r="E475">
        <v>40</v>
      </c>
      <c r="F475">
        <v>39.941932678000001</v>
      </c>
      <c r="G475">
        <v>1309.8985596</v>
      </c>
      <c r="H475">
        <v>1301.4610596</v>
      </c>
      <c r="I475">
        <v>1382.2008057</v>
      </c>
      <c r="J475">
        <v>1366.0931396000001</v>
      </c>
      <c r="K475">
        <v>0</v>
      </c>
      <c r="L475">
        <v>1650</v>
      </c>
      <c r="M475">
        <v>1650</v>
      </c>
      <c r="N475">
        <v>0</v>
      </c>
    </row>
    <row r="476" spans="1:14" x14ac:dyDescent="0.25">
      <c r="A476">
        <v>222.95010199999999</v>
      </c>
      <c r="B476" s="1">
        <f>DATE(2010,12,9) + TIME(22,48,8)</f>
        <v>40521.950092592589</v>
      </c>
      <c r="C476">
        <v>80</v>
      </c>
      <c r="D476">
        <v>73.547866821</v>
      </c>
      <c r="E476">
        <v>40</v>
      </c>
      <c r="F476">
        <v>39.942081451</v>
      </c>
      <c r="G476">
        <v>1309.8071289</v>
      </c>
      <c r="H476">
        <v>1301.3493652</v>
      </c>
      <c r="I476">
        <v>1382.1339111</v>
      </c>
      <c r="J476">
        <v>1366.0321045000001</v>
      </c>
      <c r="K476">
        <v>0</v>
      </c>
      <c r="L476">
        <v>1650</v>
      </c>
      <c r="M476">
        <v>1650</v>
      </c>
      <c r="N476">
        <v>0</v>
      </c>
    </row>
    <row r="477" spans="1:14" x14ac:dyDescent="0.25">
      <c r="A477">
        <v>224.632114</v>
      </c>
      <c r="B477" s="1">
        <f>DATE(2010,12,11) + TIME(15,10,14)</f>
        <v>40523.632106481484</v>
      </c>
      <c r="C477">
        <v>80</v>
      </c>
      <c r="D477">
        <v>73.352386475000003</v>
      </c>
      <c r="E477">
        <v>40</v>
      </c>
      <c r="F477">
        <v>39.942237853999998</v>
      </c>
      <c r="G477">
        <v>1309.7099608999999</v>
      </c>
      <c r="H477">
        <v>1301.2299805</v>
      </c>
      <c r="I477">
        <v>1382.067749</v>
      </c>
      <c r="J477">
        <v>1365.9716797000001</v>
      </c>
      <c r="K477">
        <v>0</v>
      </c>
      <c r="L477">
        <v>1650</v>
      </c>
      <c r="M477">
        <v>1650</v>
      </c>
      <c r="N477">
        <v>0</v>
      </c>
    </row>
    <row r="478" spans="1:14" x14ac:dyDescent="0.25">
      <c r="A478">
        <v>226.39057700000001</v>
      </c>
      <c r="B478" s="1">
        <f>DATE(2010,12,13) + TIME(9,22,25)</f>
        <v>40525.390567129631</v>
      </c>
      <c r="C478">
        <v>80</v>
      </c>
      <c r="D478">
        <v>73.152069092000005</v>
      </c>
      <c r="E478">
        <v>40</v>
      </c>
      <c r="F478">
        <v>39.942401885999999</v>
      </c>
      <c r="G478">
        <v>1309.6063231999999</v>
      </c>
      <c r="H478">
        <v>1301.1021728999999</v>
      </c>
      <c r="I478">
        <v>1382.0021973</v>
      </c>
      <c r="J478">
        <v>1365.9118652</v>
      </c>
      <c r="K478">
        <v>0</v>
      </c>
      <c r="L478">
        <v>1650</v>
      </c>
      <c r="M478">
        <v>1650</v>
      </c>
      <c r="N478">
        <v>0</v>
      </c>
    </row>
    <row r="479" spans="1:14" x14ac:dyDescent="0.25">
      <c r="A479">
        <v>228.16771</v>
      </c>
      <c r="B479" s="1">
        <f>DATE(2010,12,15) + TIME(4,1,30)</f>
        <v>40527.167708333334</v>
      </c>
      <c r="C479">
        <v>80</v>
      </c>
      <c r="D479">
        <v>72.949417113999999</v>
      </c>
      <c r="E479">
        <v>40</v>
      </c>
      <c r="F479">
        <v>39.942565918</v>
      </c>
      <c r="G479">
        <v>1309.4953613</v>
      </c>
      <c r="H479">
        <v>1300.9650879000001</v>
      </c>
      <c r="I479">
        <v>1381.9370117000001</v>
      </c>
      <c r="J479">
        <v>1365.8522949000001</v>
      </c>
      <c r="K479">
        <v>0</v>
      </c>
      <c r="L479">
        <v>1650</v>
      </c>
      <c r="M479">
        <v>1650</v>
      </c>
      <c r="N479">
        <v>0</v>
      </c>
    </row>
    <row r="480" spans="1:14" x14ac:dyDescent="0.25">
      <c r="A480">
        <v>229.967219</v>
      </c>
      <c r="B480" s="1">
        <f>DATE(2010,12,16) + TIME(23,12,47)</f>
        <v>40528.967210648145</v>
      </c>
      <c r="C480">
        <v>80</v>
      </c>
      <c r="D480">
        <v>72.746261597</v>
      </c>
      <c r="E480">
        <v>40</v>
      </c>
      <c r="F480">
        <v>39.942733765</v>
      </c>
      <c r="G480">
        <v>1309.3803711</v>
      </c>
      <c r="H480">
        <v>1300.8221435999999</v>
      </c>
      <c r="I480">
        <v>1381.8743896000001</v>
      </c>
      <c r="J480">
        <v>1365.7951660000001</v>
      </c>
      <c r="K480">
        <v>0</v>
      </c>
      <c r="L480">
        <v>1650</v>
      </c>
      <c r="M480">
        <v>1650</v>
      </c>
      <c r="N480">
        <v>0</v>
      </c>
    </row>
    <row r="481" spans="1:14" x14ac:dyDescent="0.25">
      <c r="A481">
        <v>231.792248</v>
      </c>
      <c r="B481" s="1">
        <f>DATE(2010,12,18) + TIME(19,0,50)</f>
        <v>40530.792245370372</v>
      </c>
      <c r="C481">
        <v>80</v>
      </c>
      <c r="D481">
        <v>72.543113708000007</v>
      </c>
      <c r="E481">
        <v>40</v>
      </c>
      <c r="F481">
        <v>39.942901611000003</v>
      </c>
      <c r="G481">
        <v>1309.2612305</v>
      </c>
      <c r="H481">
        <v>1300.6730957</v>
      </c>
      <c r="I481">
        <v>1381.8142089999999</v>
      </c>
      <c r="J481">
        <v>1365.7402344</v>
      </c>
      <c r="K481">
        <v>0</v>
      </c>
      <c r="L481">
        <v>1650</v>
      </c>
      <c r="M481">
        <v>1650</v>
      </c>
      <c r="N481">
        <v>0</v>
      </c>
    </row>
    <row r="482" spans="1:14" x14ac:dyDescent="0.25">
      <c r="A482">
        <v>233.6379</v>
      </c>
      <c r="B482" s="1">
        <f>DATE(2010,12,20) + TIME(15,18,34)</f>
        <v>40532.63789351852</v>
      </c>
      <c r="C482">
        <v>80</v>
      </c>
      <c r="D482">
        <v>72.340263367000006</v>
      </c>
      <c r="E482">
        <v>40</v>
      </c>
      <c r="F482">
        <v>39.943069457999997</v>
      </c>
      <c r="G482">
        <v>1309.1373291</v>
      </c>
      <c r="H482">
        <v>1300.5174560999999</v>
      </c>
      <c r="I482">
        <v>1381.7561035000001</v>
      </c>
      <c r="J482">
        <v>1365.6872559000001</v>
      </c>
      <c r="K482">
        <v>0</v>
      </c>
      <c r="L482">
        <v>1650</v>
      </c>
      <c r="M482">
        <v>1650</v>
      </c>
      <c r="N482">
        <v>0</v>
      </c>
    </row>
    <row r="483" spans="1:14" x14ac:dyDescent="0.25">
      <c r="A483">
        <v>235.500382</v>
      </c>
      <c r="B483" s="1">
        <f>DATE(2010,12,22) + TIME(12,0,33)</f>
        <v>40534.500381944446</v>
      </c>
      <c r="C483">
        <v>80</v>
      </c>
      <c r="D483">
        <v>72.137992858999993</v>
      </c>
      <c r="E483">
        <v>40</v>
      </c>
      <c r="F483">
        <v>39.943241119</v>
      </c>
      <c r="G483">
        <v>1309.0091553</v>
      </c>
      <c r="H483">
        <v>1300.3555908000001</v>
      </c>
      <c r="I483">
        <v>1381.7000731999999</v>
      </c>
      <c r="J483">
        <v>1365.6361084</v>
      </c>
      <c r="K483">
        <v>0</v>
      </c>
      <c r="L483">
        <v>1650</v>
      </c>
      <c r="M483">
        <v>1650</v>
      </c>
      <c r="N483">
        <v>0</v>
      </c>
    </row>
    <row r="484" spans="1:14" x14ac:dyDescent="0.25">
      <c r="A484">
        <v>237.383137</v>
      </c>
      <c r="B484" s="1">
        <f>DATE(2010,12,24) + TIME(9,11,43)</f>
        <v>40536.383136574077</v>
      </c>
      <c r="C484">
        <v>80</v>
      </c>
      <c r="D484">
        <v>71.936210631999998</v>
      </c>
      <c r="E484">
        <v>40</v>
      </c>
      <c r="F484">
        <v>39.943412780999999</v>
      </c>
      <c r="G484">
        <v>1308.8765868999999</v>
      </c>
      <c r="H484">
        <v>1300.1875</v>
      </c>
      <c r="I484">
        <v>1381.6461182</v>
      </c>
      <c r="J484">
        <v>1365.5869141000001</v>
      </c>
      <c r="K484">
        <v>0</v>
      </c>
      <c r="L484">
        <v>1650</v>
      </c>
      <c r="M484">
        <v>1650</v>
      </c>
      <c r="N484">
        <v>0</v>
      </c>
    </row>
    <row r="485" spans="1:14" x14ac:dyDescent="0.25">
      <c r="A485">
        <v>239.289514</v>
      </c>
      <c r="B485" s="1">
        <f>DATE(2010,12,26) + TIME(6,56,53)</f>
        <v>40538.289502314816</v>
      </c>
      <c r="C485">
        <v>80</v>
      </c>
      <c r="D485">
        <v>71.734535217000001</v>
      </c>
      <c r="E485">
        <v>40</v>
      </c>
      <c r="F485">
        <v>39.943588257000002</v>
      </c>
      <c r="G485">
        <v>1308.7393798999999</v>
      </c>
      <c r="H485">
        <v>1300.0126952999999</v>
      </c>
      <c r="I485">
        <v>1381.5941161999999</v>
      </c>
      <c r="J485">
        <v>1365.5393065999999</v>
      </c>
      <c r="K485">
        <v>0</v>
      </c>
      <c r="L485">
        <v>1650</v>
      </c>
      <c r="M485">
        <v>1650</v>
      </c>
      <c r="N485">
        <v>0</v>
      </c>
    </row>
    <row r="486" spans="1:14" x14ac:dyDescent="0.25">
      <c r="A486">
        <v>241.21777900000001</v>
      </c>
      <c r="B486" s="1">
        <f>DATE(2010,12,28) + TIME(5,13,36)</f>
        <v>40540.217777777776</v>
      </c>
      <c r="C486">
        <v>80</v>
      </c>
      <c r="D486">
        <v>71.532676696999999</v>
      </c>
      <c r="E486">
        <v>40</v>
      </c>
      <c r="F486">
        <v>39.943763732999997</v>
      </c>
      <c r="G486">
        <v>1308.5972899999999</v>
      </c>
      <c r="H486">
        <v>1299.8306885</v>
      </c>
      <c r="I486">
        <v>1381.5438231999999</v>
      </c>
      <c r="J486">
        <v>1365.4934082</v>
      </c>
      <c r="K486">
        <v>0</v>
      </c>
      <c r="L486">
        <v>1650</v>
      </c>
      <c r="M486">
        <v>1650</v>
      </c>
      <c r="N486">
        <v>0</v>
      </c>
    </row>
    <row r="487" spans="1:14" x14ac:dyDescent="0.25">
      <c r="A487">
        <v>243.165772</v>
      </c>
      <c r="B487" s="1">
        <f>DATE(2010,12,30) + TIME(3,58,42)</f>
        <v>40542.165763888886</v>
      </c>
      <c r="C487">
        <v>80</v>
      </c>
      <c r="D487">
        <v>71.330482482999997</v>
      </c>
      <c r="E487">
        <v>40</v>
      </c>
      <c r="F487">
        <v>39.943939209</v>
      </c>
      <c r="G487">
        <v>1308.4500731999999</v>
      </c>
      <c r="H487">
        <v>1299.6414795000001</v>
      </c>
      <c r="I487">
        <v>1381.4949951000001</v>
      </c>
      <c r="J487">
        <v>1365.4488524999999</v>
      </c>
      <c r="K487">
        <v>0</v>
      </c>
      <c r="L487">
        <v>1650</v>
      </c>
      <c r="M487">
        <v>1650</v>
      </c>
      <c r="N487">
        <v>0</v>
      </c>
    </row>
    <row r="488" spans="1:14" x14ac:dyDescent="0.25">
      <c r="A488">
        <v>245</v>
      </c>
      <c r="B488" s="1">
        <f>DATE(2011,1,1) + TIME(0,0,0)</f>
        <v>40544</v>
      </c>
      <c r="C488">
        <v>80</v>
      </c>
      <c r="D488">
        <v>71.133506775000001</v>
      </c>
      <c r="E488">
        <v>40</v>
      </c>
      <c r="F488">
        <v>39.944103241000001</v>
      </c>
      <c r="G488">
        <v>1308.2982178</v>
      </c>
      <c r="H488">
        <v>1299.4460449000001</v>
      </c>
      <c r="I488">
        <v>1381.4477539</v>
      </c>
      <c r="J488">
        <v>1365.4056396000001</v>
      </c>
      <c r="K488">
        <v>0</v>
      </c>
      <c r="L488">
        <v>1650</v>
      </c>
      <c r="M488">
        <v>1650</v>
      </c>
      <c r="N488">
        <v>0</v>
      </c>
    </row>
    <row r="489" spans="1:14" x14ac:dyDescent="0.25">
      <c r="A489">
        <v>246.97121100000001</v>
      </c>
      <c r="B489" s="1">
        <f>DATE(2011,1,2) + TIME(23,18,32)</f>
        <v>40545.971203703702</v>
      </c>
      <c r="C489">
        <v>80</v>
      </c>
      <c r="D489">
        <v>70.935440063000001</v>
      </c>
      <c r="E489">
        <v>40</v>
      </c>
      <c r="F489">
        <v>39.944282532000003</v>
      </c>
      <c r="G489">
        <v>1308.1505127</v>
      </c>
      <c r="H489">
        <v>1299.2531738</v>
      </c>
      <c r="I489">
        <v>1381.4052733999999</v>
      </c>
      <c r="J489">
        <v>1365.3668213000001</v>
      </c>
      <c r="K489">
        <v>0</v>
      </c>
      <c r="L489">
        <v>1650</v>
      </c>
      <c r="M489">
        <v>1650</v>
      </c>
      <c r="N489">
        <v>0</v>
      </c>
    </row>
    <row r="490" spans="1:14" x14ac:dyDescent="0.25">
      <c r="A490">
        <v>248.98338799999999</v>
      </c>
      <c r="B490" s="1">
        <f>DATE(2011,1,4) + TIME(23,36,4)</f>
        <v>40547.98337962963</v>
      </c>
      <c r="C490">
        <v>80</v>
      </c>
      <c r="D490">
        <v>70.733123778999996</v>
      </c>
      <c r="E490">
        <v>40</v>
      </c>
      <c r="F490">
        <v>39.944461822999997</v>
      </c>
      <c r="G490">
        <v>1307.9901123</v>
      </c>
      <c r="H490">
        <v>1299.0445557</v>
      </c>
      <c r="I490">
        <v>1381.3612060999999</v>
      </c>
      <c r="J490">
        <v>1365.3266602000001</v>
      </c>
      <c r="K490">
        <v>0</v>
      </c>
      <c r="L490">
        <v>1650</v>
      </c>
      <c r="M490">
        <v>1650</v>
      </c>
      <c r="N490">
        <v>0</v>
      </c>
    </row>
    <row r="491" spans="1:14" x14ac:dyDescent="0.25">
      <c r="A491">
        <v>251.01366300000001</v>
      </c>
      <c r="B491" s="1">
        <f>DATE(2011,1,7) + TIME(0,19,40)</f>
        <v>40550.013657407406</v>
      </c>
      <c r="C491">
        <v>80</v>
      </c>
      <c r="D491">
        <v>70.527717589999995</v>
      </c>
      <c r="E491">
        <v>40</v>
      </c>
      <c r="F491">
        <v>39.944644928000002</v>
      </c>
      <c r="G491">
        <v>1307.8226318</v>
      </c>
      <c r="H491">
        <v>1298.8258057</v>
      </c>
      <c r="I491">
        <v>1381.3181152</v>
      </c>
      <c r="J491">
        <v>1365.2873535000001</v>
      </c>
      <c r="K491">
        <v>0</v>
      </c>
      <c r="L491">
        <v>1650</v>
      </c>
      <c r="M491">
        <v>1650</v>
      </c>
      <c r="N491">
        <v>0</v>
      </c>
    </row>
    <row r="492" spans="1:14" x14ac:dyDescent="0.25">
      <c r="A492">
        <v>253.06572299999999</v>
      </c>
      <c r="B492" s="1">
        <f>DATE(2011,1,9) + TIME(1,34,38)</f>
        <v>40552.065717592595</v>
      </c>
      <c r="C492">
        <v>80</v>
      </c>
      <c r="D492">
        <v>70.319831848000007</v>
      </c>
      <c r="E492">
        <v>40</v>
      </c>
      <c r="F492">
        <v>39.944828033</v>
      </c>
      <c r="G492">
        <v>1307.6496582</v>
      </c>
      <c r="H492">
        <v>1298.5987548999999</v>
      </c>
      <c r="I492">
        <v>1381.2762451000001</v>
      </c>
      <c r="J492">
        <v>1365.2491454999999</v>
      </c>
      <c r="K492">
        <v>0</v>
      </c>
      <c r="L492">
        <v>1650</v>
      </c>
      <c r="M492">
        <v>1650</v>
      </c>
      <c r="N492">
        <v>0</v>
      </c>
    </row>
    <row r="493" spans="1:14" x14ac:dyDescent="0.25">
      <c r="A493">
        <v>255.14307199999999</v>
      </c>
      <c r="B493" s="1">
        <f>DATE(2011,1,11) + TIME(3,26,1)</f>
        <v>40554.143067129633</v>
      </c>
      <c r="C493">
        <v>80</v>
      </c>
      <c r="D493">
        <v>70.109268188000001</v>
      </c>
      <c r="E493">
        <v>40</v>
      </c>
      <c r="F493">
        <v>39.945011139000002</v>
      </c>
      <c r="G493">
        <v>1307.4710693</v>
      </c>
      <c r="H493">
        <v>1298.3631591999999</v>
      </c>
      <c r="I493">
        <v>1381.2355957</v>
      </c>
      <c r="J493">
        <v>1365.2120361</v>
      </c>
      <c r="K493">
        <v>0</v>
      </c>
      <c r="L493">
        <v>1650</v>
      </c>
      <c r="M493">
        <v>1650</v>
      </c>
      <c r="N493">
        <v>0</v>
      </c>
    </row>
    <row r="494" spans="1:14" x14ac:dyDescent="0.25">
      <c r="A494">
        <v>257.24928699999998</v>
      </c>
      <c r="B494" s="1">
        <f>DATE(2011,1,13) + TIME(5,58,58)</f>
        <v>40556.249282407407</v>
      </c>
      <c r="C494">
        <v>80</v>
      </c>
      <c r="D494">
        <v>69.895378113000007</v>
      </c>
      <c r="E494">
        <v>40</v>
      </c>
      <c r="F494">
        <v>39.945194244</v>
      </c>
      <c r="G494">
        <v>1307.2863769999999</v>
      </c>
      <c r="H494">
        <v>1298.1185303</v>
      </c>
      <c r="I494">
        <v>1381.1959228999999</v>
      </c>
      <c r="J494">
        <v>1365.1759033000001</v>
      </c>
      <c r="K494">
        <v>0</v>
      </c>
      <c r="L494">
        <v>1650</v>
      </c>
      <c r="M494">
        <v>1650</v>
      </c>
      <c r="N494">
        <v>0</v>
      </c>
    </row>
    <row r="495" spans="1:14" x14ac:dyDescent="0.25">
      <c r="A495">
        <v>259.383577</v>
      </c>
      <c r="B495" s="1">
        <f>DATE(2011,1,15) + TIME(9,12,21)</f>
        <v>40558.383576388886</v>
      </c>
      <c r="C495">
        <v>80</v>
      </c>
      <c r="D495">
        <v>69.677490234000004</v>
      </c>
      <c r="E495">
        <v>40</v>
      </c>
      <c r="F495">
        <v>39.945381165000001</v>
      </c>
      <c r="G495">
        <v>1307.0952147999999</v>
      </c>
      <c r="H495">
        <v>1297.8645019999999</v>
      </c>
      <c r="I495">
        <v>1381.1572266000001</v>
      </c>
      <c r="J495">
        <v>1365.1405029</v>
      </c>
      <c r="K495">
        <v>0</v>
      </c>
      <c r="L495">
        <v>1650</v>
      </c>
      <c r="M495">
        <v>1650</v>
      </c>
      <c r="N495">
        <v>0</v>
      </c>
    </row>
    <row r="496" spans="1:14" x14ac:dyDescent="0.25">
      <c r="A496">
        <v>261.532376</v>
      </c>
      <c r="B496" s="1">
        <f>DATE(2011,1,17) + TIME(12,46,37)</f>
        <v>40560.532372685186</v>
      </c>
      <c r="C496">
        <v>80</v>
      </c>
      <c r="D496">
        <v>69.455680846999996</v>
      </c>
      <c r="E496">
        <v>40</v>
      </c>
      <c r="F496">
        <v>39.945568084999998</v>
      </c>
      <c r="G496">
        <v>1306.8977050999999</v>
      </c>
      <c r="H496">
        <v>1297.6009521000001</v>
      </c>
      <c r="I496">
        <v>1381.1193848</v>
      </c>
      <c r="J496">
        <v>1365.1060791</v>
      </c>
      <c r="K496">
        <v>0</v>
      </c>
      <c r="L496">
        <v>1650</v>
      </c>
      <c r="M496">
        <v>1650</v>
      </c>
      <c r="N496">
        <v>0</v>
      </c>
    </row>
    <row r="497" spans="1:14" x14ac:dyDescent="0.25">
      <c r="A497">
        <v>263.69898899999998</v>
      </c>
      <c r="B497" s="1">
        <f>DATE(2011,1,19) + TIME(16,46,32)</f>
        <v>40562.698981481481</v>
      </c>
      <c r="C497">
        <v>80</v>
      </c>
      <c r="D497">
        <v>69.229827881000006</v>
      </c>
      <c r="E497">
        <v>40</v>
      </c>
      <c r="F497">
        <v>39.945755005000002</v>
      </c>
      <c r="G497">
        <v>1306.6947021000001</v>
      </c>
      <c r="H497">
        <v>1297.3288574000001</v>
      </c>
      <c r="I497">
        <v>1381.0826416</v>
      </c>
      <c r="J497">
        <v>1365.0726318</v>
      </c>
      <c r="K497">
        <v>0</v>
      </c>
      <c r="L497">
        <v>1650</v>
      </c>
      <c r="M497">
        <v>1650</v>
      </c>
      <c r="N497">
        <v>0</v>
      </c>
    </row>
    <row r="498" spans="1:14" x14ac:dyDescent="0.25">
      <c r="A498">
        <v>265.88735100000002</v>
      </c>
      <c r="B498" s="1">
        <f>DATE(2011,1,21) + TIME(21,17,47)</f>
        <v>40564.887349537035</v>
      </c>
      <c r="C498">
        <v>80</v>
      </c>
      <c r="D498">
        <v>68.999290466000005</v>
      </c>
      <c r="E498">
        <v>40</v>
      </c>
      <c r="F498">
        <v>39.945945739999999</v>
      </c>
      <c r="G498">
        <v>1306.4860839999999</v>
      </c>
      <c r="H498">
        <v>1297.0479736</v>
      </c>
      <c r="I498">
        <v>1381.046875</v>
      </c>
      <c r="J498">
        <v>1365.0400391000001</v>
      </c>
      <c r="K498">
        <v>0</v>
      </c>
      <c r="L498">
        <v>1650</v>
      </c>
      <c r="M498">
        <v>1650</v>
      </c>
      <c r="N498">
        <v>0</v>
      </c>
    </row>
    <row r="499" spans="1:14" x14ac:dyDescent="0.25">
      <c r="A499">
        <v>268.10129799999999</v>
      </c>
      <c r="B499" s="1">
        <f>DATE(2011,1,24) + TIME(2,25,52)</f>
        <v>40567.1012962963</v>
      </c>
      <c r="C499">
        <v>80</v>
      </c>
      <c r="D499">
        <v>68.763198853000006</v>
      </c>
      <c r="E499">
        <v>40</v>
      </c>
      <c r="F499">
        <v>39.946132660000004</v>
      </c>
      <c r="G499">
        <v>1306.2713623</v>
      </c>
      <c r="H499">
        <v>1296.7579346</v>
      </c>
      <c r="I499">
        <v>1381.0119629000001</v>
      </c>
      <c r="J499">
        <v>1365.0081786999999</v>
      </c>
      <c r="K499">
        <v>0</v>
      </c>
      <c r="L499">
        <v>1650</v>
      </c>
      <c r="M499">
        <v>1650</v>
      </c>
      <c r="N499">
        <v>0</v>
      </c>
    </row>
    <row r="500" spans="1:14" x14ac:dyDescent="0.25">
      <c r="A500">
        <v>270.335711</v>
      </c>
      <c r="B500" s="1">
        <f>DATE(2011,1,26) + TIME(8,3,25)</f>
        <v>40569.335706018515</v>
      </c>
      <c r="C500">
        <v>80</v>
      </c>
      <c r="D500">
        <v>68.520912170000003</v>
      </c>
      <c r="E500">
        <v>40</v>
      </c>
      <c r="F500">
        <v>39.946323395</v>
      </c>
      <c r="G500">
        <v>1306.050293</v>
      </c>
      <c r="H500">
        <v>1296.4581298999999</v>
      </c>
      <c r="I500">
        <v>1380.9777832</v>
      </c>
      <c r="J500">
        <v>1364.9770507999999</v>
      </c>
      <c r="K500">
        <v>0</v>
      </c>
      <c r="L500">
        <v>1650</v>
      </c>
      <c r="M500">
        <v>1650</v>
      </c>
      <c r="N500">
        <v>0</v>
      </c>
    </row>
    <row r="501" spans="1:14" x14ac:dyDescent="0.25">
      <c r="A501">
        <v>272.59225300000003</v>
      </c>
      <c r="B501" s="1">
        <f>DATE(2011,1,28) + TIME(14,12,50)</f>
        <v>40571.592245370368</v>
      </c>
      <c r="C501">
        <v>80</v>
      </c>
      <c r="D501">
        <v>68.271888732999997</v>
      </c>
      <c r="E501">
        <v>40</v>
      </c>
      <c r="F501">
        <v>39.946514129999997</v>
      </c>
      <c r="G501">
        <v>1305.8232422000001</v>
      </c>
      <c r="H501">
        <v>1296.1490478999999</v>
      </c>
      <c r="I501">
        <v>1380.9444579999999</v>
      </c>
      <c r="J501">
        <v>1364.9466553</v>
      </c>
      <c r="K501">
        <v>0</v>
      </c>
      <c r="L501">
        <v>1650</v>
      </c>
      <c r="M501">
        <v>1650</v>
      </c>
      <c r="N501">
        <v>0</v>
      </c>
    </row>
    <row r="502" spans="1:14" x14ac:dyDescent="0.25">
      <c r="A502">
        <v>274.86733500000003</v>
      </c>
      <c r="B502" s="1">
        <f>DATE(2011,1,30) + TIME(20,48,57)</f>
        <v>40573.867326388892</v>
      </c>
      <c r="C502">
        <v>80</v>
      </c>
      <c r="D502">
        <v>68.015563964999998</v>
      </c>
      <c r="E502">
        <v>40</v>
      </c>
      <c r="F502">
        <v>39.946704865000001</v>
      </c>
      <c r="G502">
        <v>1305.5900879000001</v>
      </c>
      <c r="H502">
        <v>1295.8303223</v>
      </c>
      <c r="I502">
        <v>1380.9117432</v>
      </c>
      <c r="J502">
        <v>1364.9168701000001</v>
      </c>
      <c r="K502">
        <v>0</v>
      </c>
      <c r="L502">
        <v>1650</v>
      </c>
      <c r="M502">
        <v>1650</v>
      </c>
      <c r="N502">
        <v>0</v>
      </c>
    </row>
    <row r="503" spans="1:14" x14ac:dyDescent="0.25">
      <c r="A503">
        <v>276</v>
      </c>
      <c r="B503" s="1">
        <f>DATE(2011,2,1) + TIME(0,0,0)</f>
        <v>40575</v>
      </c>
      <c r="C503">
        <v>80</v>
      </c>
      <c r="D503">
        <v>67.821235657000003</v>
      </c>
      <c r="E503">
        <v>40</v>
      </c>
      <c r="F503">
        <v>39.946796417000002</v>
      </c>
      <c r="G503">
        <v>1305.3582764</v>
      </c>
      <c r="H503">
        <v>1295.5239257999999</v>
      </c>
      <c r="I503">
        <v>1380.8787841999999</v>
      </c>
      <c r="J503">
        <v>1364.8869629000001</v>
      </c>
      <c r="K503">
        <v>0</v>
      </c>
      <c r="L503">
        <v>1650</v>
      </c>
      <c r="M503">
        <v>1650</v>
      </c>
      <c r="N503">
        <v>0</v>
      </c>
    </row>
    <row r="504" spans="1:14" x14ac:dyDescent="0.25">
      <c r="A504">
        <v>278.29648400000002</v>
      </c>
      <c r="B504" s="1">
        <f>DATE(2011,2,3) + TIME(7,6,56)</f>
        <v>40577.296481481484</v>
      </c>
      <c r="C504">
        <v>80</v>
      </c>
      <c r="D504">
        <v>67.594680785999998</v>
      </c>
      <c r="E504">
        <v>40</v>
      </c>
      <c r="F504">
        <v>39.946990966999998</v>
      </c>
      <c r="G504">
        <v>1305.2188721</v>
      </c>
      <c r="H504">
        <v>1295.3140868999999</v>
      </c>
      <c r="I504">
        <v>1380.8642577999999</v>
      </c>
      <c r="J504">
        <v>1364.8736572</v>
      </c>
      <c r="K504">
        <v>0</v>
      </c>
      <c r="L504">
        <v>1650</v>
      </c>
      <c r="M504">
        <v>1650</v>
      </c>
      <c r="N504">
        <v>0</v>
      </c>
    </row>
    <row r="505" spans="1:14" x14ac:dyDescent="0.25">
      <c r="A505">
        <v>280.627995</v>
      </c>
      <c r="B505" s="1">
        <f>DATE(2011,2,5) + TIME(15,4,18)</f>
        <v>40579.627986111111</v>
      </c>
      <c r="C505">
        <v>80</v>
      </c>
      <c r="D505">
        <v>67.332153320000003</v>
      </c>
      <c r="E505">
        <v>40</v>
      </c>
      <c r="F505">
        <v>39.947181702000002</v>
      </c>
      <c r="G505">
        <v>1304.9798584</v>
      </c>
      <c r="H505">
        <v>1294.9881591999999</v>
      </c>
      <c r="I505">
        <v>1380.8332519999999</v>
      </c>
      <c r="J505">
        <v>1364.8455810999999</v>
      </c>
      <c r="K505">
        <v>0</v>
      </c>
      <c r="L505">
        <v>1650</v>
      </c>
      <c r="M505">
        <v>1650</v>
      </c>
      <c r="N505">
        <v>0</v>
      </c>
    </row>
    <row r="506" spans="1:14" x14ac:dyDescent="0.25">
      <c r="A506">
        <v>282.97905200000002</v>
      </c>
      <c r="B506" s="1">
        <f>DATE(2011,2,7) + TIME(23,29,50)</f>
        <v>40581.979050925926</v>
      </c>
      <c r="C506">
        <v>80</v>
      </c>
      <c r="D506">
        <v>67.049896239999995</v>
      </c>
      <c r="E506">
        <v>40</v>
      </c>
      <c r="F506">
        <v>39.947376251000001</v>
      </c>
      <c r="G506">
        <v>1304.7285156</v>
      </c>
      <c r="H506">
        <v>1294.6413574000001</v>
      </c>
      <c r="I506">
        <v>1380.8026123</v>
      </c>
      <c r="J506">
        <v>1364.8178711</v>
      </c>
      <c r="K506">
        <v>0</v>
      </c>
      <c r="L506">
        <v>1650</v>
      </c>
      <c r="M506">
        <v>1650</v>
      </c>
      <c r="N506">
        <v>0</v>
      </c>
    </row>
    <row r="507" spans="1:14" x14ac:dyDescent="0.25">
      <c r="A507">
        <v>285.35391499999997</v>
      </c>
      <c r="B507" s="1">
        <f>DATE(2011,2,10) + TIME(8,29,38)</f>
        <v>40584.353912037041</v>
      </c>
      <c r="C507">
        <v>80</v>
      </c>
      <c r="D507">
        <v>66.753669739000003</v>
      </c>
      <c r="E507">
        <v>40</v>
      </c>
      <c r="F507">
        <v>39.947566985999998</v>
      </c>
      <c r="G507">
        <v>1304.4697266000001</v>
      </c>
      <c r="H507">
        <v>1294.2817382999999</v>
      </c>
      <c r="I507">
        <v>1380.7725829999999</v>
      </c>
      <c r="J507">
        <v>1364.7906493999999</v>
      </c>
      <c r="K507">
        <v>0</v>
      </c>
      <c r="L507">
        <v>1650</v>
      </c>
      <c r="M507">
        <v>1650</v>
      </c>
      <c r="N507">
        <v>0</v>
      </c>
    </row>
    <row r="508" spans="1:14" x14ac:dyDescent="0.25">
      <c r="A508">
        <v>287.75672200000002</v>
      </c>
      <c r="B508" s="1">
        <f>DATE(2011,2,12) + TIME(18,9,40)</f>
        <v>40586.756712962961</v>
      </c>
      <c r="C508">
        <v>80</v>
      </c>
      <c r="D508">
        <v>66.444671631000006</v>
      </c>
      <c r="E508">
        <v>40</v>
      </c>
      <c r="F508">
        <v>39.947761536000002</v>
      </c>
      <c r="G508">
        <v>1304.2042236</v>
      </c>
      <c r="H508">
        <v>1293.9111327999999</v>
      </c>
      <c r="I508">
        <v>1380.7430420000001</v>
      </c>
      <c r="J508">
        <v>1364.7637939000001</v>
      </c>
      <c r="K508">
        <v>0</v>
      </c>
      <c r="L508">
        <v>1650</v>
      </c>
      <c r="M508">
        <v>1650</v>
      </c>
      <c r="N508">
        <v>0</v>
      </c>
    </row>
    <row r="509" spans="1:14" x14ac:dyDescent="0.25">
      <c r="A509">
        <v>290.18216000000001</v>
      </c>
      <c r="B509" s="1">
        <f>DATE(2011,2,15) + TIME(4,22,18)</f>
        <v>40589.182152777779</v>
      </c>
      <c r="C509">
        <v>80</v>
      </c>
      <c r="D509">
        <v>66.122856139999996</v>
      </c>
      <c r="E509">
        <v>40</v>
      </c>
      <c r="F509">
        <v>39.947956085000001</v>
      </c>
      <c r="G509">
        <v>1303.9321289</v>
      </c>
      <c r="H509">
        <v>1293.5297852000001</v>
      </c>
      <c r="I509">
        <v>1380.7138672000001</v>
      </c>
      <c r="J509">
        <v>1364.7374268000001</v>
      </c>
      <c r="K509">
        <v>0</v>
      </c>
      <c r="L509">
        <v>1650</v>
      </c>
      <c r="M509">
        <v>1650</v>
      </c>
      <c r="N509">
        <v>0</v>
      </c>
    </row>
    <row r="510" spans="1:14" x14ac:dyDescent="0.25">
      <c r="A510">
        <v>292.62685399999998</v>
      </c>
      <c r="B510" s="1">
        <f>DATE(2011,2,17) + TIME(15,2,40)</f>
        <v>40591.626851851855</v>
      </c>
      <c r="C510">
        <v>80</v>
      </c>
      <c r="D510">
        <v>65.788139342999997</v>
      </c>
      <c r="E510">
        <v>40</v>
      </c>
      <c r="F510">
        <v>39.948150634999998</v>
      </c>
      <c r="G510">
        <v>1303.6541748</v>
      </c>
      <c r="H510">
        <v>1293.1386719</v>
      </c>
      <c r="I510">
        <v>1380.6850586</v>
      </c>
      <c r="J510">
        <v>1364.7113036999999</v>
      </c>
      <c r="K510">
        <v>0</v>
      </c>
      <c r="L510">
        <v>1650</v>
      </c>
      <c r="M510">
        <v>1650</v>
      </c>
      <c r="N510">
        <v>0</v>
      </c>
    </row>
    <row r="511" spans="1:14" x14ac:dyDescent="0.25">
      <c r="A511">
        <v>295.09394600000002</v>
      </c>
      <c r="B511" s="1">
        <f>DATE(2011,2,20) + TIME(2,15,16)</f>
        <v>40594.093935185185</v>
      </c>
      <c r="C511">
        <v>80</v>
      </c>
      <c r="D511">
        <v>65.440071106000005</v>
      </c>
      <c r="E511">
        <v>40</v>
      </c>
      <c r="F511">
        <v>39.948345183999997</v>
      </c>
      <c r="G511">
        <v>1303.3708495999999</v>
      </c>
      <c r="H511">
        <v>1292.7382812000001</v>
      </c>
      <c r="I511">
        <v>1380.6567382999999</v>
      </c>
      <c r="J511">
        <v>1364.6856689000001</v>
      </c>
      <c r="K511">
        <v>0</v>
      </c>
      <c r="L511">
        <v>1650</v>
      </c>
      <c r="M511">
        <v>1650</v>
      </c>
      <c r="N511">
        <v>0</v>
      </c>
    </row>
    <row r="512" spans="1:14" x14ac:dyDescent="0.25">
      <c r="A512">
        <v>297.58147100000002</v>
      </c>
      <c r="B512" s="1">
        <f>DATE(2011,2,22) + TIME(13,57,19)</f>
        <v>40596.581469907411</v>
      </c>
      <c r="C512">
        <v>80</v>
      </c>
      <c r="D512">
        <v>65.077995299999998</v>
      </c>
      <c r="E512">
        <v>40</v>
      </c>
      <c r="F512">
        <v>39.948539734000001</v>
      </c>
      <c r="G512">
        <v>1303.0821533000001</v>
      </c>
      <c r="H512">
        <v>1292.3286132999999</v>
      </c>
      <c r="I512">
        <v>1380.6286620999999</v>
      </c>
      <c r="J512">
        <v>1364.6604004000001</v>
      </c>
      <c r="K512">
        <v>0</v>
      </c>
      <c r="L512">
        <v>1650</v>
      </c>
      <c r="M512">
        <v>1650</v>
      </c>
      <c r="N512">
        <v>0</v>
      </c>
    </row>
    <row r="513" spans="1:14" x14ac:dyDescent="0.25">
      <c r="A513">
        <v>300.09048300000001</v>
      </c>
      <c r="B513" s="1">
        <f>DATE(2011,2,25) + TIME(2,10,17)</f>
        <v>40599.090474537035</v>
      </c>
      <c r="C513">
        <v>80</v>
      </c>
      <c r="D513">
        <v>64.701538085999999</v>
      </c>
      <c r="E513">
        <v>40</v>
      </c>
      <c r="F513">
        <v>39.948734283</v>
      </c>
      <c r="G513">
        <v>1302.7883300999999</v>
      </c>
      <c r="H513">
        <v>1291.9100341999999</v>
      </c>
      <c r="I513">
        <v>1380.6009521000001</v>
      </c>
      <c r="J513">
        <v>1364.635376</v>
      </c>
      <c r="K513">
        <v>0</v>
      </c>
      <c r="L513">
        <v>1650</v>
      </c>
      <c r="M513">
        <v>1650</v>
      </c>
      <c r="N513">
        <v>0</v>
      </c>
    </row>
    <row r="514" spans="1:14" x14ac:dyDescent="0.25">
      <c r="A514">
        <v>302.62041399999998</v>
      </c>
      <c r="B514" s="1">
        <f>DATE(2011,2,27) + TIME(14,53,23)</f>
        <v>40601.620405092595</v>
      </c>
      <c r="C514">
        <v>80</v>
      </c>
      <c r="D514">
        <v>64.310119628999999</v>
      </c>
      <c r="E514">
        <v>40</v>
      </c>
      <c r="F514">
        <v>39.948925017999997</v>
      </c>
      <c r="G514">
        <v>1302.4895019999999</v>
      </c>
      <c r="H514">
        <v>1291.4825439000001</v>
      </c>
      <c r="I514">
        <v>1380.5734863</v>
      </c>
      <c r="J514">
        <v>1364.6105957</v>
      </c>
      <c r="K514">
        <v>0</v>
      </c>
      <c r="L514">
        <v>1650</v>
      </c>
      <c r="M514">
        <v>1650</v>
      </c>
      <c r="N514">
        <v>0</v>
      </c>
    </row>
    <row r="515" spans="1:14" x14ac:dyDescent="0.25">
      <c r="A515">
        <v>304</v>
      </c>
      <c r="B515" s="1">
        <f>DATE(2011,3,1) + TIME(0,0,0)</f>
        <v>40603</v>
      </c>
      <c r="C515">
        <v>80</v>
      </c>
      <c r="D515">
        <v>63.988395691000001</v>
      </c>
      <c r="E515">
        <v>40</v>
      </c>
      <c r="F515">
        <v>39.949028015000003</v>
      </c>
      <c r="G515">
        <v>1302.1933594</v>
      </c>
      <c r="H515">
        <v>1291.0731201000001</v>
      </c>
      <c r="I515">
        <v>1380.5455322</v>
      </c>
      <c r="J515">
        <v>1364.5853271000001</v>
      </c>
      <c r="K515">
        <v>0</v>
      </c>
      <c r="L515">
        <v>1650</v>
      </c>
      <c r="M515">
        <v>1650</v>
      </c>
      <c r="N515">
        <v>0</v>
      </c>
    </row>
    <row r="516" spans="1:14" x14ac:dyDescent="0.25">
      <c r="A516">
        <v>306.54895199999999</v>
      </c>
      <c r="B516" s="1">
        <f>DATE(2011,3,3) + TIME(13,10,29)</f>
        <v>40605.548946759256</v>
      </c>
      <c r="C516">
        <v>80</v>
      </c>
      <c r="D516">
        <v>63.643474578999999</v>
      </c>
      <c r="E516">
        <v>40</v>
      </c>
      <c r="F516">
        <v>39.949226379000002</v>
      </c>
      <c r="G516">
        <v>1302.0051269999999</v>
      </c>
      <c r="H516">
        <v>1290.7772216999999</v>
      </c>
      <c r="I516">
        <v>1380.5317382999999</v>
      </c>
      <c r="J516">
        <v>1364.572876</v>
      </c>
      <c r="K516">
        <v>0</v>
      </c>
      <c r="L516">
        <v>1650</v>
      </c>
      <c r="M516">
        <v>1650</v>
      </c>
      <c r="N516">
        <v>0</v>
      </c>
    </row>
    <row r="517" spans="1:14" x14ac:dyDescent="0.25">
      <c r="A517">
        <v>309.13339000000002</v>
      </c>
      <c r="B517" s="1">
        <f>DATE(2011,3,6) + TIME(3,12,4)</f>
        <v>40608.133379629631</v>
      </c>
      <c r="C517">
        <v>80</v>
      </c>
      <c r="D517">
        <v>63.234836577999999</v>
      </c>
      <c r="E517">
        <v>40</v>
      </c>
      <c r="F517">
        <v>39.949420928999999</v>
      </c>
      <c r="G517">
        <v>1301.7059326000001</v>
      </c>
      <c r="H517">
        <v>1290.3503418</v>
      </c>
      <c r="I517">
        <v>1380.5050048999999</v>
      </c>
      <c r="J517">
        <v>1364.5488281</v>
      </c>
      <c r="K517">
        <v>0</v>
      </c>
      <c r="L517">
        <v>1650</v>
      </c>
      <c r="M517">
        <v>1650</v>
      </c>
      <c r="N517">
        <v>0</v>
      </c>
    </row>
    <row r="518" spans="1:14" x14ac:dyDescent="0.25">
      <c r="A518">
        <v>311.74636299999997</v>
      </c>
      <c r="B518" s="1">
        <f>DATE(2011,3,8) + TIME(17,54,45)</f>
        <v>40610.746354166666</v>
      </c>
      <c r="C518">
        <v>80</v>
      </c>
      <c r="D518">
        <v>62.793556213000002</v>
      </c>
      <c r="E518">
        <v>40</v>
      </c>
      <c r="F518">
        <v>39.949615479000002</v>
      </c>
      <c r="G518">
        <v>1301.3942870999999</v>
      </c>
      <c r="H518">
        <v>1289.8996582</v>
      </c>
      <c r="I518">
        <v>1380.4782714999999</v>
      </c>
      <c r="J518">
        <v>1364.5246582</v>
      </c>
      <c r="K518">
        <v>0</v>
      </c>
      <c r="L518">
        <v>1650</v>
      </c>
      <c r="M518">
        <v>1650</v>
      </c>
      <c r="N518">
        <v>0</v>
      </c>
    </row>
    <row r="519" spans="1:14" x14ac:dyDescent="0.25">
      <c r="A519">
        <v>314.38253400000002</v>
      </c>
      <c r="B519" s="1">
        <f>DATE(2011,3,11) + TIME(9,10,50)</f>
        <v>40613.382523148146</v>
      </c>
      <c r="C519">
        <v>80</v>
      </c>
      <c r="D519">
        <v>62.330017089999998</v>
      </c>
      <c r="E519">
        <v>40</v>
      </c>
      <c r="F519">
        <v>39.949810028000002</v>
      </c>
      <c r="G519">
        <v>1301.0756836</v>
      </c>
      <c r="H519">
        <v>1289.4355469</v>
      </c>
      <c r="I519">
        <v>1380.4515381000001</v>
      </c>
      <c r="J519">
        <v>1364.5006103999999</v>
      </c>
      <c r="K519">
        <v>0</v>
      </c>
      <c r="L519">
        <v>1650</v>
      </c>
      <c r="M519">
        <v>1650</v>
      </c>
      <c r="N519">
        <v>0</v>
      </c>
    </row>
    <row r="520" spans="1:14" x14ac:dyDescent="0.25">
      <c r="A520">
        <v>317.04084799999998</v>
      </c>
      <c r="B520" s="1">
        <f>DATE(2011,3,14) + TIME(0,58,49)</f>
        <v>40616.040844907409</v>
      </c>
      <c r="C520">
        <v>80</v>
      </c>
      <c r="D520">
        <v>61.847801208</v>
      </c>
      <c r="E520">
        <v>40</v>
      </c>
      <c r="F520">
        <v>39.950004577999998</v>
      </c>
      <c r="G520">
        <v>1300.7521973</v>
      </c>
      <c r="H520">
        <v>1288.9620361</v>
      </c>
      <c r="I520">
        <v>1380.4249268000001</v>
      </c>
      <c r="J520">
        <v>1364.4766846</v>
      </c>
      <c r="K520">
        <v>0</v>
      </c>
      <c r="L520">
        <v>1650</v>
      </c>
      <c r="M520">
        <v>1650</v>
      </c>
      <c r="N520">
        <v>0</v>
      </c>
    </row>
    <row r="521" spans="1:14" x14ac:dyDescent="0.25">
      <c r="A521">
        <v>319.726608</v>
      </c>
      <c r="B521" s="1">
        <f>DATE(2011,3,16) + TIME(17,26,18)</f>
        <v>40618.726597222223</v>
      </c>
      <c r="C521">
        <v>80</v>
      </c>
      <c r="D521">
        <v>61.347816467000001</v>
      </c>
      <c r="E521">
        <v>40</v>
      </c>
      <c r="F521">
        <v>39.950199126999998</v>
      </c>
      <c r="G521">
        <v>1300.4249268000001</v>
      </c>
      <c r="H521">
        <v>1288.4805908000001</v>
      </c>
      <c r="I521">
        <v>1380.3984375</v>
      </c>
      <c r="J521">
        <v>1364.4528809000001</v>
      </c>
      <c r="K521">
        <v>0</v>
      </c>
      <c r="L521">
        <v>1650</v>
      </c>
      <c r="M521">
        <v>1650</v>
      </c>
      <c r="N521">
        <v>0</v>
      </c>
    </row>
    <row r="522" spans="1:14" x14ac:dyDescent="0.25">
      <c r="A522">
        <v>322.43412699999999</v>
      </c>
      <c r="B522" s="1">
        <f>DATE(2011,3,19) + TIME(10,25,8)</f>
        <v>40621.434120370373</v>
      </c>
      <c r="C522">
        <v>80</v>
      </c>
      <c r="D522">
        <v>60.830459595000001</v>
      </c>
      <c r="E522">
        <v>40</v>
      </c>
      <c r="F522">
        <v>39.950397490999997</v>
      </c>
      <c r="G522">
        <v>1300.0936279</v>
      </c>
      <c r="H522">
        <v>1287.9910889</v>
      </c>
      <c r="I522">
        <v>1380.3718262</v>
      </c>
      <c r="J522">
        <v>1364.4289550999999</v>
      </c>
      <c r="K522">
        <v>0</v>
      </c>
      <c r="L522">
        <v>1650</v>
      </c>
      <c r="M522">
        <v>1650</v>
      </c>
      <c r="N522">
        <v>0</v>
      </c>
    </row>
    <row r="523" spans="1:14" x14ac:dyDescent="0.25">
      <c r="A523">
        <v>325.16629799999998</v>
      </c>
      <c r="B523" s="1">
        <f>DATE(2011,3,22) + TIME(3,59,28)</f>
        <v>40624.166296296295</v>
      </c>
      <c r="C523">
        <v>80</v>
      </c>
      <c r="D523">
        <v>60.296016692999999</v>
      </c>
      <c r="E523">
        <v>40</v>
      </c>
      <c r="F523">
        <v>39.950592041</v>
      </c>
      <c r="G523">
        <v>1299.7592772999999</v>
      </c>
      <c r="H523">
        <v>1287.494751</v>
      </c>
      <c r="I523">
        <v>1380.3453368999999</v>
      </c>
      <c r="J523">
        <v>1364.4050293</v>
      </c>
      <c r="K523">
        <v>0</v>
      </c>
      <c r="L523">
        <v>1650</v>
      </c>
      <c r="M523">
        <v>1650</v>
      </c>
      <c r="N523">
        <v>0</v>
      </c>
    </row>
    <row r="524" spans="1:14" x14ac:dyDescent="0.25">
      <c r="A524">
        <v>327.92928000000001</v>
      </c>
      <c r="B524" s="1">
        <f>DATE(2011,3,24) + TIME(22,18,9)</f>
        <v>40626.929270833331</v>
      </c>
      <c r="C524">
        <v>80</v>
      </c>
      <c r="D524">
        <v>59.743911742999998</v>
      </c>
      <c r="E524">
        <v>40</v>
      </c>
      <c r="F524">
        <v>39.950786591000004</v>
      </c>
      <c r="G524">
        <v>1299.421875</v>
      </c>
      <c r="H524">
        <v>1286.9916992000001</v>
      </c>
      <c r="I524">
        <v>1380.3187256000001</v>
      </c>
      <c r="J524">
        <v>1364.3811035000001</v>
      </c>
      <c r="K524">
        <v>0</v>
      </c>
      <c r="L524">
        <v>1650</v>
      </c>
      <c r="M524">
        <v>1650</v>
      </c>
      <c r="N524">
        <v>0</v>
      </c>
    </row>
    <row r="525" spans="1:14" x14ac:dyDescent="0.25">
      <c r="A525">
        <v>330.72236099999998</v>
      </c>
      <c r="B525" s="1">
        <f>DATE(2011,3,27) + TIME(17,20,12)</f>
        <v>40629.722361111111</v>
      </c>
      <c r="C525">
        <v>80</v>
      </c>
      <c r="D525">
        <v>59.173583983999997</v>
      </c>
      <c r="E525">
        <v>40</v>
      </c>
      <c r="F525">
        <v>39.950981140000003</v>
      </c>
      <c r="G525">
        <v>1299.0811768000001</v>
      </c>
      <c r="H525">
        <v>1286.4813231999999</v>
      </c>
      <c r="I525">
        <v>1380.2919922000001</v>
      </c>
      <c r="J525">
        <v>1364.3570557</v>
      </c>
      <c r="K525">
        <v>0</v>
      </c>
      <c r="L525">
        <v>1650</v>
      </c>
      <c r="M525">
        <v>1650</v>
      </c>
      <c r="N525">
        <v>0</v>
      </c>
    </row>
    <row r="526" spans="1:14" x14ac:dyDescent="0.25">
      <c r="A526">
        <v>333.54169400000001</v>
      </c>
      <c r="B526" s="1">
        <f>DATE(2011,3,30) + TIME(13,0,2)</f>
        <v>40632.541689814818</v>
      </c>
      <c r="C526">
        <v>80</v>
      </c>
      <c r="D526">
        <v>58.585819244</v>
      </c>
      <c r="E526">
        <v>40</v>
      </c>
      <c r="F526">
        <v>39.951179504000002</v>
      </c>
      <c r="G526">
        <v>1298.7375488</v>
      </c>
      <c r="H526">
        <v>1285.9642334</v>
      </c>
      <c r="I526">
        <v>1380.2651367000001</v>
      </c>
      <c r="J526">
        <v>1364.3328856999999</v>
      </c>
      <c r="K526">
        <v>0</v>
      </c>
      <c r="L526">
        <v>1650</v>
      </c>
      <c r="M526">
        <v>1650</v>
      </c>
      <c r="N526">
        <v>0</v>
      </c>
    </row>
    <row r="527" spans="1:14" x14ac:dyDescent="0.25">
      <c r="A527">
        <v>335</v>
      </c>
      <c r="B527" s="1">
        <f>DATE(2011,4,1) + TIME(0,0,0)</f>
        <v>40634</v>
      </c>
      <c r="C527">
        <v>80</v>
      </c>
      <c r="D527">
        <v>58.107559203999998</v>
      </c>
      <c r="E527">
        <v>40</v>
      </c>
      <c r="F527">
        <v>39.951274871999999</v>
      </c>
      <c r="G527">
        <v>1298.3984375</v>
      </c>
      <c r="H527">
        <v>1285.4783935999999</v>
      </c>
      <c r="I527">
        <v>1380.2374268000001</v>
      </c>
      <c r="J527">
        <v>1364.3079834</v>
      </c>
      <c r="K527">
        <v>0</v>
      </c>
      <c r="L527">
        <v>1650</v>
      </c>
      <c r="M527">
        <v>1650</v>
      </c>
      <c r="N527">
        <v>0</v>
      </c>
    </row>
    <row r="528" spans="1:14" x14ac:dyDescent="0.25">
      <c r="A528">
        <v>337.85254700000002</v>
      </c>
      <c r="B528" s="1">
        <f>DATE(2011,4,3) + TIME(20,27,40)</f>
        <v>40636.852546296293</v>
      </c>
      <c r="C528">
        <v>80</v>
      </c>
      <c r="D528">
        <v>57.617565155000001</v>
      </c>
      <c r="E528">
        <v>40</v>
      </c>
      <c r="F528">
        <v>39.951473235999998</v>
      </c>
      <c r="G528">
        <v>1298.1987305</v>
      </c>
      <c r="H528">
        <v>1285.1357422000001</v>
      </c>
      <c r="I528">
        <v>1380.2242432</v>
      </c>
      <c r="J528">
        <v>1364.2960204999999</v>
      </c>
      <c r="K528">
        <v>0</v>
      </c>
      <c r="L528">
        <v>1650</v>
      </c>
      <c r="M528">
        <v>1650</v>
      </c>
      <c r="N528">
        <v>0</v>
      </c>
    </row>
    <row r="529" spans="1:14" x14ac:dyDescent="0.25">
      <c r="A529">
        <v>340.75717800000001</v>
      </c>
      <c r="B529" s="1">
        <f>DATE(2011,4,6) + TIME(18,10,20)</f>
        <v>40639.757175925923</v>
      </c>
      <c r="C529">
        <v>80</v>
      </c>
      <c r="D529">
        <v>57.023166656000001</v>
      </c>
      <c r="E529">
        <v>40</v>
      </c>
      <c r="F529">
        <v>39.951671599999997</v>
      </c>
      <c r="G529">
        <v>1297.8620605000001</v>
      </c>
      <c r="H529">
        <v>1284.6312256000001</v>
      </c>
      <c r="I529">
        <v>1380.1970214999999</v>
      </c>
      <c r="J529">
        <v>1364.2714844</v>
      </c>
      <c r="K529">
        <v>0</v>
      </c>
      <c r="L529">
        <v>1650</v>
      </c>
      <c r="M529">
        <v>1650</v>
      </c>
      <c r="N529">
        <v>0</v>
      </c>
    </row>
    <row r="530" spans="1:14" x14ac:dyDescent="0.25">
      <c r="A530">
        <v>343.69387899999998</v>
      </c>
      <c r="B530" s="1">
        <f>DATE(2011,4,9) + TIME(16,39,11)</f>
        <v>40642.693877314814</v>
      </c>
      <c r="C530">
        <v>80</v>
      </c>
      <c r="D530">
        <v>56.386459350999999</v>
      </c>
      <c r="E530">
        <v>40</v>
      </c>
      <c r="F530">
        <v>39.951869965</v>
      </c>
      <c r="G530">
        <v>1297.5137939000001</v>
      </c>
      <c r="H530">
        <v>1284.1008300999999</v>
      </c>
      <c r="I530">
        <v>1380.1693115</v>
      </c>
      <c r="J530">
        <v>1364.2464600000001</v>
      </c>
      <c r="K530">
        <v>0</v>
      </c>
      <c r="L530">
        <v>1650</v>
      </c>
      <c r="M530">
        <v>1650</v>
      </c>
      <c r="N530">
        <v>0</v>
      </c>
    </row>
    <row r="531" spans="1:14" x14ac:dyDescent="0.25">
      <c r="A531">
        <v>346.66947199999998</v>
      </c>
      <c r="B531" s="1">
        <f>DATE(2011,4,12) + TIME(16,4,2)</f>
        <v>40645.66946759259</v>
      </c>
      <c r="C531">
        <v>80</v>
      </c>
      <c r="D531">
        <v>55.727069855000003</v>
      </c>
      <c r="E531">
        <v>40</v>
      </c>
      <c r="F531">
        <v>39.952068328999999</v>
      </c>
      <c r="G531">
        <v>1297.1618652</v>
      </c>
      <c r="H531">
        <v>1283.5598144999999</v>
      </c>
      <c r="I531">
        <v>1380.1413574000001</v>
      </c>
      <c r="J531">
        <v>1364.2213135</v>
      </c>
      <c r="K531">
        <v>0</v>
      </c>
      <c r="L531">
        <v>1650</v>
      </c>
      <c r="M531">
        <v>1650</v>
      </c>
      <c r="N531">
        <v>0</v>
      </c>
    </row>
    <row r="532" spans="1:14" x14ac:dyDescent="0.25">
      <c r="A532">
        <v>349.68979200000001</v>
      </c>
      <c r="B532" s="1">
        <f>DATE(2011,4,15) + TIME(16,33,18)</f>
        <v>40648.689791666664</v>
      </c>
      <c r="C532">
        <v>80</v>
      </c>
      <c r="D532">
        <v>55.050025939999998</v>
      </c>
      <c r="E532">
        <v>40</v>
      </c>
      <c r="F532">
        <v>39.952266692999999</v>
      </c>
      <c r="G532">
        <v>1296.8076172000001</v>
      </c>
      <c r="H532">
        <v>1283.0119629000001</v>
      </c>
      <c r="I532">
        <v>1380.1131591999999</v>
      </c>
      <c r="J532">
        <v>1364.1958007999999</v>
      </c>
      <c r="K532">
        <v>0</v>
      </c>
      <c r="L532">
        <v>1650</v>
      </c>
      <c r="M532">
        <v>1650</v>
      </c>
      <c r="N532">
        <v>0</v>
      </c>
    </row>
    <row r="533" spans="1:14" x14ac:dyDescent="0.25">
      <c r="A533">
        <v>352.75603899999999</v>
      </c>
      <c r="B533" s="1">
        <f>DATE(2011,4,18) + TIME(18,8,41)</f>
        <v>40651.756030092591</v>
      </c>
      <c r="C533">
        <v>80</v>
      </c>
      <c r="D533">
        <v>54.356773376</v>
      </c>
      <c r="E533">
        <v>40</v>
      </c>
      <c r="F533">
        <v>39.952468871999997</v>
      </c>
      <c r="G533">
        <v>1296.4512939000001</v>
      </c>
      <c r="H533">
        <v>1282.4581298999999</v>
      </c>
      <c r="I533">
        <v>1380.0844727000001</v>
      </c>
      <c r="J533">
        <v>1364.1697998</v>
      </c>
      <c r="K533">
        <v>0</v>
      </c>
      <c r="L533">
        <v>1650</v>
      </c>
      <c r="M533">
        <v>1650</v>
      </c>
      <c r="N533">
        <v>0</v>
      </c>
    </row>
    <row r="534" spans="1:14" x14ac:dyDescent="0.25">
      <c r="A534">
        <v>355.87588399999999</v>
      </c>
      <c r="B534" s="1">
        <f>DATE(2011,4,21) + TIME(21,1,16)</f>
        <v>40654.875879629632</v>
      </c>
      <c r="C534">
        <v>80</v>
      </c>
      <c r="D534">
        <v>53.647987366000002</v>
      </c>
      <c r="E534">
        <v>40</v>
      </c>
      <c r="F534">
        <v>39.952671051000003</v>
      </c>
      <c r="G534">
        <v>1296.0936279</v>
      </c>
      <c r="H534">
        <v>1281.8989257999999</v>
      </c>
      <c r="I534">
        <v>1380.0552978999999</v>
      </c>
      <c r="J534">
        <v>1364.1434326000001</v>
      </c>
      <c r="K534">
        <v>0</v>
      </c>
      <c r="L534">
        <v>1650</v>
      </c>
      <c r="M534">
        <v>1650</v>
      </c>
      <c r="N534">
        <v>0</v>
      </c>
    </row>
    <row r="535" spans="1:14" x14ac:dyDescent="0.25">
      <c r="A535">
        <v>359.03431799999998</v>
      </c>
      <c r="B535" s="1">
        <f>DATE(2011,4,25) + TIME(0,49,25)</f>
        <v>40658.034317129626</v>
      </c>
      <c r="C535">
        <v>80</v>
      </c>
      <c r="D535">
        <v>52.924819946</v>
      </c>
      <c r="E535">
        <v>40</v>
      </c>
      <c r="F535">
        <v>39.952873230000002</v>
      </c>
      <c r="G535">
        <v>1295.7342529</v>
      </c>
      <c r="H535">
        <v>1281.3345947</v>
      </c>
      <c r="I535">
        <v>1380.0256348</v>
      </c>
      <c r="J535">
        <v>1364.1165771000001</v>
      </c>
      <c r="K535">
        <v>0</v>
      </c>
      <c r="L535">
        <v>1650</v>
      </c>
      <c r="M535">
        <v>1650</v>
      </c>
      <c r="N535">
        <v>0</v>
      </c>
    </row>
    <row r="536" spans="1:14" x14ac:dyDescent="0.25">
      <c r="A536">
        <v>362.23814800000002</v>
      </c>
      <c r="B536" s="1">
        <f>DATE(2011,4,28) + TIME(5,42,55)</f>
        <v>40661.238136574073</v>
      </c>
      <c r="C536">
        <v>80</v>
      </c>
      <c r="D536">
        <v>52.190059662000003</v>
      </c>
      <c r="E536">
        <v>40</v>
      </c>
      <c r="F536">
        <v>39.953075409</v>
      </c>
      <c r="G536">
        <v>1295.3754882999999</v>
      </c>
      <c r="H536">
        <v>1280.7675781</v>
      </c>
      <c r="I536">
        <v>1379.9956055</v>
      </c>
      <c r="J536">
        <v>1364.0892334</v>
      </c>
      <c r="K536">
        <v>0</v>
      </c>
      <c r="L536">
        <v>1650</v>
      </c>
      <c r="M536">
        <v>1650</v>
      </c>
      <c r="N536">
        <v>0</v>
      </c>
    </row>
    <row r="537" spans="1:14" x14ac:dyDescent="0.25">
      <c r="A537">
        <v>365</v>
      </c>
      <c r="B537" s="1">
        <f>DATE(2011,5,1) + TIME(0,0,0)</f>
        <v>40664</v>
      </c>
      <c r="C537">
        <v>80</v>
      </c>
      <c r="D537">
        <v>51.475727081000002</v>
      </c>
      <c r="E537">
        <v>40</v>
      </c>
      <c r="F537">
        <v>39.953247070000003</v>
      </c>
      <c r="G537">
        <v>1295.0179443</v>
      </c>
      <c r="H537">
        <v>1280.2075195</v>
      </c>
      <c r="I537">
        <v>1379.9649658000001</v>
      </c>
      <c r="J537">
        <v>1364.0612793</v>
      </c>
      <c r="K537">
        <v>0</v>
      </c>
      <c r="L537">
        <v>1650</v>
      </c>
      <c r="M537">
        <v>1650</v>
      </c>
      <c r="N537">
        <v>0</v>
      </c>
    </row>
    <row r="538" spans="1:14" x14ac:dyDescent="0.25">
      <c r="A538">
        <v>365.000001</v>
      </c>
      <c r="B538" s="1">
        <f>DATE(2011,5,1) + TIME(0,0,0)</f>
        <v>40664</v>
      </c>
      <c r="C538">
        <v>80</v>
      </c>
      <c r="D538">
        <v>51.475845337000003</v>
      </c>
      <c r="E538">
        <v>40</v>
      </c>
      <c r="F538">
        <v>39.953178405999999</v>
      </c>
      <c r="G538">
        <v>1311.4360352000001</v>
      </c>
      <c r="H538">
        <v>1295.7301024999999</v>
      </c>
      <c r="I538">
        <v>1363.4599608999999</v>
      </c>
      <c r="J538">
        <v>1348.0412598</v>
      </c>
      <c r="K538">
        <v>1650</v>
      </c>
      <c r="L538">
        <v>0</v>
      </c>
      <c r="M538">
        <v>0</v>
      </c>
      <c r="N538">
        <v>1650</v>
      </c>
    </row>
    <row r="539" spans="1:14" x14ac:dyDescent="0.25">
      <c r="A539">
        <v>365.00000399999999</v>
      </c>
      <c r="B539" s="1">
        <f>DATE(2011,5,1) + TIME(0,0,0)</f>
        <v>40664</v>
      </c>
      <c r="C539">
        <v>80</v>
      </c>
      <c r="D539">
        <v>51.476169585999997</v>
      </c>
      <c r="E539">
        <v>40</v>
      </c>
      <c r="F539">
        <v>39.952980042</v>
      </c>
      <c r="G539">
        <v>1313.0969238</v>
      </c>
      <c r="H539">
        <v>1297.6132812000001</v>
      </c>
      <c r="I539">
        <v>1361.8276367000001</v>
      </c>
      <c r="J539">
        <v>1346.4079589999999</v>
      </c>
      <c r="K539">
        <v>1650</v>
      </c>
      <c r="L539">
        <v>0</v>
      </c>
      <c r="M539">
        <v>0</v>
      </c>
      <c r="N539">
        <v>1650</v>
      </c>
    </row>
    <row r="540" spans="1:14" x14ac:dyDescent="0.25">
      <c r="A540">
        <v>365.00001300000002</v>
      </c>
      <c r="B540" s="1">
        <f>DATE(2011,5,1) + TIME(0,0,1)</f>
        <v>40664.000011574077</v>
      </c>
      <c r="C540">
        <v>80</v>
      </c>
      <c r="D540">
        <v>51.476943970000001</v>
      </c>
      <c r="E540">
        <v>40</v>
      </c>
      <c r="F540">
        <v>39.952526093000003</v>
      </c>
      <c r="G540">
        <v>1316.9244385</v>
      </c>
      <c r="H540">
        <v>1301.7747803</v>
      </c>
      <c r="I540">
        <v>1358.0268555</v>
      </c>
      <c r="J540">
        <v>1342.6055908000001</v>
      </c>
      <c r="K540">
        <v>1650</v>
      </c>
      <c r="L540">
        <v>0</v>
      </c>
      <c r="M540">
        <v>0</v>
      </c>
      <c r="N540">
        <v>1650</v>
      </c>
    </row>
    <row r="541" spans="1:14" x14ac:dyDescent="0.25">
      <c r="A541">
        <v>365.00004000000001</v>
      </c>
      <c r="B541" s="1">
        <f>DATE(2011,5,1) + TIME(0,0,3)</f>
        <v>40664.000034722223</v>
      </c>
      <c r="C541">
        <v>80</v>
      </c>
      <c r="D541">
        <v>51.478549956999998</v>
      </c>
      <c r="E541">
        <v>40</v>
      </c>
      <c r="F541">
        <v>39.951717377000001</v>
      </c>
      <c r="G541">
        <v>1323.6010742000001</v>
      </c>
      <c r="H541">
        <v>1308.6389160000001</v>
      </c>
      <c r="I541">
        <v>1351.3186035000001</v>
      </c>
      <c r="J541">
        <v>1335.8979492000001</v>
      </c>
      <c r="K541">
        <v>1650</v>
      </c>
      <c r="L541">
        <v>0</v>
      </c>
      <c r="M541">
        <v>0</v>
      </c>
      <c r="N541">
        <v>1650</v>
      </c>
    </row>
    <row r="542" spans="1:14" x14ac:dyDescent="0.25">
      <c r="A542">
        <v>365.00012099999998</v>
      </c>
      <c r="B542" s="1">
        <f>DATE(2011,5,1) + TIME(0,0,10)</f>
        <v>40664.000115740739</v>
      </c>
      <c r="C542">
        <v>80</v>
      </c>
      <c r="D542">
        <v>51.481842041</v>
      </c>
      <c r="E542">
        <v>40</v>
      </c>
      <c r="F542">
        <v>39.950679778999998</v>
      </c>
      <c r="G542">
        <v>1332.0997314000001</v>
      </c>
      <c r="H542">
        <v>1317.0587158000001</v>
      </c>
      <c r="I542">
        <v>1342.7435303</v>
      </c>
      <c r="J542">
        <v>1327.3304443</v>
      </c>
      <c r="K542">
        <v>1650</v>
      </c>
      <c r="L542">
        <v>0</v>
      </c>
      <c r="M542">
        <v>0</v>
      </c>
      <c r="N542">
        <v>1650</v>
      </c>
    </row>
    <row r="543" spans="1:14" x14ac:dyDescent="0.25">
      <c r="A543">
        <v>365.00036399999999</v>
      </c>
      <c r="B543" s="1">
        <f>DATE(2011,5,1) + TIME(0,0,31)</f>
        <v>40664.000358796293</v>
      </c>
      <c r="C543">
        <v>80</v>
      </c>
      <c r="D543">
        <v>51.489707946999999</v>
      </c>
      <c r="E543">
        <v>40</v>
      </c>
      <c r="F543">
        <v>39.949573516999997</v>
      </c>
      <c r="G543">
        <v>1341.1289062000001</v>
      </c>
      <c r="H543">
        <v>1325.947876</v>
      </c>
      <c r="I543">
        <v>1333.7628173999999</v>
      </c>
      <c r="J543">
        <v>1318.3643798999999</v>
      </c>
      <c r="K543">
        <v>1650</v>
      </c>
      <c r="L543">
        <v>0</v>
      </c>
      <c r="M543">
        <v>0</v>
      </c>
      <c r="N543">
        <v>1650</v>
      </c>
    </row>
    <row r="544" spans="1:14" x14ac:dyDescent="0.25">
      <c r="A544">
        <v>365.00109300000003</v>
      </c>
      <c r="B544" s="1">
        <f>DATE(2011,5,1) + TIME(0,1,34)</f>
        <v>40664.001087962963</v>
      </c>
      <c r="C544">
        <v>80</v>
      </c>
      <c r="D544">
        <v>51.511245727999999</v>
      </c>
      <c r="E544">
        <v>40</v>
      </c>
      <c r="F544">
        <v>39.948387146000002</v>
      </c>
      <c r="G544">
        <v>1350.5373535000001</v>
      </c>
      <c r="H544">
        <v>1335.2387695</v>
      </c>
      <c r="I544">
        <v>1324.7473144999999</v>
      </c>
      <c r="J544">
        <v>1309.3674315999999</v>
      </c>
      <c r="K544">
        <v>1650</v>
      </c>
      <c r="L544">
        <v>0</v>
      </c>
      <c r="M544">
        <v>0</v>
      </c>
      <c r="N544">
        <v>1650</v>
      </c>
    </row>
    <row r="545" spans="1:14" x14ac:dyDescent="0.25">
      <c r="A545">
        <v>365.00328000000002</v>
      </c>
      <c r="B545" s="1">
        <f>DATE(2011,5,1) + TIME(0,4,43)</f>
        <v>40664.003275462965</v>
      </c>
      <c r="C545">
        <v>80</v>
      </c>
      <c r="D545">
        <v>51.573841094999999</v>
      </c>
      <c r="E545">
        <v>40</v>
      </c>
      <c r="F545">
        <v>39.946971892999997</v>
      </c>
      <c r="G545">
        <v>1360.5218506000001</v>
      </c>
      <c r="H545">
        <v>1345.1396483999999</v>
      </c>
      <c r="I545">
        <v>1315.59375</v>
      </c>
      <c r="J545">
        <v>1300.2094727000001</v>
      </c>
      <c r="K545">
        <v>1650</v>
      </c>
      <c r="L545">
        <v>0</v>
      </c>
      <c r="M545">
        <v>0</v>
      </c>
      <c r="N545">
        <v>1650</v>
      </c>
    </row>
    <row r="546" spans="1:14" x14ac:dyDescent="0.25">
      <c r="A546">
        <v>365.00984099999999</v>
      </c>
      <c r="B546" s="1">
        <f>DATE(2011,5,1) + TIME(0,14,10)</f>
        <v>40664.009837962964</v>
      </c>
      <c r="C546">
        <v>80</v>
      </c>
      <c r="D546">
        <v>51.758743285999998</v>
      </c>
      <c r="E546">
        <v>40</v>
      </c>
      <c r="F546">
        <v>39.944961548000002</v>
      </c>
      <c r="G546">
        <v>1370.1407471</v>
      </c>
      <c r="H546">
        <v>1354.7332764</v>
      </c>
      <c r="I546">
        <v>1306.7978516000001</v>
      </c>
      <c r="J546">
        <v>1291.3742675999999</v>
      </c>
      <c r="K546">
        <v>1650</v>
      </c>
      <c r="L546">
        <v>0</v>
      </c>
      <c r="M546">
        <v>0</v>
      </c>
      <c r="N546">
        <v>1650</v>
      </c>
    </row>
    <row r="547" spans="1:14" x14ac:dyDescent="0.25">
      <c r="A547">
        <v>365.02952399999998</v>
      </c>
      <c r="B547" s="1">
        <f>DATE(2011,5,1) + TIME(0,42,30)</f>
        <v>40664.029513888891</v>
      </c>
      <c r="C547">
        <v>80</v>
      </c>
      <c r="D547">
        <v>52.301471710000001</v>
      </c>
      <c r="E547">
        <v>40</v>
      </c>
      <c r="F547">
        <v>39.941329955999997</v>
      </c>
      <c r="G547">
        <v>1377.1347656</v>
      </c>
      <c r="H547">
        <v>1361.8243408000001</v>
      </c>
      <c r="I547">
        <v>1300.2409668</v>
      </c>
      <c r="J547">
        <v>1284.7808838000001</v>
      </c>
      <c r="K547">
        <v>1650</v>
      </c>
      <c r="L547">
        <v>0</v>
      </c>
      <c r="M547">
        <v>0</v>
      </c>
      <c r="N547">
        <v>1650</v>
      </c>
    </row>
    <row r="548" spans="1:14" x14ac:dyDescent="0.25">
      <c r="A548">
        <v>365.06106799999998</v>
      </c>
      <c r="B548" s="1">
        <f>DATE(2011,5,1) + TIME(1,27,56)</f>
        <v>40664.061064814814</v>
      </c>
      <c r="C548">
        <v>80</v>
      </c>
      <c r="D548">
        <v>53.144798279</v>
      </c>
      <c r="E548">
        <v>40</v>
      </c>
      <c r="F548">
        <v>39.936519623000002</v>
      </c>
      <c r="G548">
        <v>1379.8380127</v>
      </c>
      <c r="H548">
        <v>1364.71875</v>
      </c>
      <c r="I548">
        <v>1297.7349853999999</v>
      </c>
      <c r="J548">
        <v>1282.2623291</v>
      </c>
      <c r="K548">
        <v>1650</v>
      </c>
      <c r="L548">
        <v>0</v>
      </c>
      <c r="M548">
        <v>0</v>
      </c>
      <c r="N548">
        <v>1650</v>
      </c>
    </row>
    <row r="549" spans="1:14" x14ac:dyDescent="0.25">
      <c r="A549">
        <v>365.09329600000001</v>
      </c>
      <c r="B549" s="1">
        <f>DATE(2011,5,1) + TIME(2,14,20)</f>
        <v>40664.093287037038</v>
      </c>
      <c r="C549">
        <v>80</v>
      </c>
      <c r="D549">
        <v>53.980663300000003</v>
      </c>
      <c r="E549">
        <v>40</v>
      </c>
      <c r="F549">
        <v>39.931865692000002</v>
      </c>
      <c r="G549">
        <v>1380.5859375</v>
      </c>
      <c r="H549">
        <v>1365.6497803</v>
      </c>
      <c r="I549">
        <v>1297.0743408000001</v>
      </c>
      <c r="J549">
        <v>1281.5980225000001</v>
      </c>
      <c r="K549">
        <v>1650</v>
      </c>
      <c r="L549">
        <v>0</v>
      </c>
      <c r="M549">
        <v>0</v>
      </c>
      <c r="N549">
        <v>1650</v>
      </c>
    </row>
    <row r="550" spans="1:14" x14ac:dyDescent="0.25">
      <c r="A550">
        <v>365.12615099999999</v>
      </c>
      <c r="B550" s="1">
        <f>DATE(2011,5,1) + TIME(3,1,39)</f>
        <v>40664.126145833332</v>
      </c>
      <c r="C550">
        <v>80</v>
      </c>
      <c r="D550">
        <v>54.806827544999997</v>
      </c>
      <c r="E550">
        <v>40</v>
      </c>
      <c r="F550">
        <v>39.927219391000001</v>
      </c>
      <c r="G550">
        <v>1380.7186279</v>
      </c>
      <c r="H550">
        <v>1365.9609375</v>
      </c>
      <c r="I550">
        <v>1296.9219971</v>
      </c>
      <c r="J550">
        <v>1281.4443358999999</v>
      </c>
      <c r="K550">
        <v>1650</v>
      </c>
      <c r="L550">
        <v>0</v>
      </c>
      <c r="M550">
        <v>0</v>
      </c>
      <c r="N550">
        <v>1650</v>
      </c>
    </row>
    <row r="551" spans="1:14" x14ac:dyDescent="0.25">
      <c r="A551">
        <v>365.15964700000001</v>
      </c>
      <c r="B551" s="1">
        <f>DATE(2011,5,1) + TIME(3,49,53)</f>
        <v>40664.159641203703</v>
      </c>
      <c r="C551">
        <v>80</v>
      </c>
      <c r="D551">
        <v>55.622982024999999</v>
      </c>
      <c r="E551">
        <v>40</v>
      </c>
      <c r="F551">
        <v>39.922542571999998</v>
      </c>
      <c r="G551">
        <v>1380.6306152</v>
      </c>
      <c r="H551">
        <v>1366.0450439000001</v>
      </c>
      <c r="I551">
        <v>1296.9074707</v>
      </c>
      <c r="J551">
        <v>1281.4290771000001</v>
      </c>
      <c r="K551">
        <v>1650</v>
      </c>
      <c r="L551">
        <v>0</v>
      </c>
      <c r="M551">
        <v>0</v>
      </c>
      <c r="N551">
        <v>1650</v>
      </c>
    </row>
    <row r="552" spans="1:14" x14ac:dyDescent="0.25">
      <c r="A552">
        <v>365.19381299999998</v>
      </c>
      <c r="B552" s="1">
        <f>DATE(2011,5,1) + TIME(4,39,5)</f>
        <v>40664.193807870368</v>
      </c>
      <c r="C552">
        <v>80</v>
      </c>
      <c r="D552">
        <v>56.42906189</v>
      </c>
      <c r="E552">
        <v>40</v>
      </c>
      <c r="F552">
        <v>39.917812347000002</v>
      </c>
      <c r="G552">
        <v>1380.4578856999999</v>
      </c>
      <c r="H552">
        <v>1366.0379639</v>
      </c>
      <c r="I552">
        <v>1296.9229736</v>
      </c>
      <c r="J552">
        <v>1281.4440918</v>
      </c>
      <c r="K552">
        <v>1650</v>
      </c>
      <c r="L552">
        <v>0</v>
      </c>
      <c r="M552">
        <v>0</v>
      </c>
      <c r="N552">
        <v>1650</v>
      </c>
    </row>
    <row r="553" spans="1:14" x14ac:dyDescent="0.25">
      <c r="A553">
        <v>365.228678</v>
      </c>
      <c r="B553" s="1">
        <f>DATE(2011,5,1) + TIME(5,29,17)</f>
        <v>40664.228668981479</v>
      </c>
      <c r="C553">
        <v>80</v>
      </c>
      <c r="D553">
        <v>57.225044250000003</v>
      </c>
      <c r="E553">
        <v>40</v>
      </c>
      <c r="F553">
        <v>39.913028717000003</v>
      </c>
      <c r="G553">
        <v>1380.2530518000001</v>
      </c>
      <c r="H553">
        <v>1365.9924315999999</v>
      </c>
      <c r="I553">
        <v>1296.9395752</v>
      </c>
      <c r="J553">
        <v>1281.4600829999999</v>
      </c>
      <c r="K553">
        <v>1650</v>
      </c>
      <c r="L553">
        <v>0</v>
      </c>
      <c r="M553">
        <v>0</v>
      </c>
      <c r="N553">
        <v>1650</v>
      </c>
    </row>
    <row r="554" spans="1:14" x14ac:dyDescent="0.25">
      <c r="A554">
        <v>365.26426199999997</v>
      </c>
      <c r="B554" s="1">
        <f>DATE(2011,5,1) + TIME(6,20,32)</f>
        <v>40664.26425925926</v>
      </c>
      <c r="C554">
        <v>80</v>
      </c>
      <c r="D554">
        <v>58.010555267000001</v>
      </c>
      <c r="E554">
        <v>40</v>
      </c>
      <c r="F554">
        <v>39.908187865999999</v>
      </c>
      <c r="G554">
        <v>1380.0380858999999</v>
      </c>
      <c r="H554">
        <v>1365.9307861</v>
      </c>
      <c r="I554">
        <v>1296.9512939000001</v>
      </c>
      <c r="J554">
        <v>1281.4713135</v>
      </c>
      <c r="K554">
        <v>1650</v>
      </c>
      <c r="L554">
        <v>0</v>
      </c>
      <c r="M554">
        <v>0</v>
      </c>
      <c r="N554">
        <v>1650</v>
      </c>
    </row>
    <row r="555" spans="1:14" x14ac:dyDescent="0.25">
      <c r="A555">
        <v>365.30055900000002</v>
      </c>
      <c r="B555" s="1">
        <f>DATE(2011,5,1) + TIME(7,12,48)</f>
        <v>40664.300555555557</v>
      </c>
      <c r="C555">
        <v>80</v>
      </c>
      <c r="D555">
        <v>58.784786224000001</v>
      </c>
      <c r="E555">
        <v>40</v>
      </c>
      <c r="F555">
        <v>39.903289794999999</v>
      </c>
      <c r="G555">
        <v>1379.8232422000001</v>
      </c>
      <c r="H555">
        <v>1365.8631591999999</v>
      </c>
      <c r="I555">
        <v>1296.9587402</v>
      </c>
      <c r="J555">
        <v>1281.4782714999999</v>
      </c>
      <c r="K555">
        <v>1650</v>
      </c>
      <c r="L555">
        <v>0</v>
      </c>
      <c r="M555">
        <v>0</v>
      </c>
      <c r="N555">
        <v>1650</v>
      </c>
    </row>
    <row r="556" spans="1:14" x14ac:dyDescent="0.25">
      <c r="A556">
        <v>365.33760699999999</v>
      </c>
      <c r="B556" s="1">
        <f>DATE(2011,5,1) + TIME(8,6,9)</f>
        <v>40664.337604166663</v>
      </c>
      <c r="C556">
        <v>80</v>
      </c>
      <c r="D556">
        <v>59.547763824</v>
      </c>
      <c r="E556">
        <v>40</v>
      </c>
      <c r="F556">
        <v>39.898334503000001</v>
      </c>
      <c r="G556">
        <v>1379.6125488</v>
      </c>
      <c r="H556">
        <v>1365.7938231999999</v>
      </c>
      <c r="I556">
        <v>1296.9631348</v>
      </c>
      <c r="J556">
        <v>1281.4821777</v>
      </c>
      <c r="K556">
        <v>1650</v>
      </c>
      <c r="L556">
        <v>0</v>
      </c>
      <c r="M556">
        <v>0</v>
      </c>
      <c r="N556">
        <v>1650</v>
      </c>
    </row>
    <row r="557" spans="1:14" x14ac:dyDescent="0.25">
      <c r="A557">
        <v>365.37544400000002</v>
      </c>
      <c r="B557" s="1">
        <f>DATE(2011,5,1) + TIME(9,0,38)</f>
        <v>40664.375439814816</v>
      </c>
      <c r="C557">
        <v>80</v>
      </c>
      <c r="D557">
        <v>60.299270630000002</v>
      </c>
      <c r="E557">
        <v>40</v>
      </c>
      <c r="F557">
        <v>39.893314361999998</v>
      </c>
      <c r="G557">
        <v>1379.4079589999999</v>
      </c>
      <c r="H557">
        <v>1365.7250977000001</v>
      </c>
      <c r="I557">
        <v>1296.9656981999999</v>
      </c>
      <c r="J557">
        <v>1281.4842529</v>
      </c>
      <c r="K557">
        <v>1650</v>
      </c>
      <c r="L557">
        <v>0</v>
      </c>
      <c r="M557">
        <v>0</v>
      </c>
      <c r="N557">
        <v>1650</v>
      </c>
    </row>
    <row r="558" spans="1:14" x14ac:dyDescent="0.25">
      <c r="A558">
        <v>365.414109</v>
      </c>
      <c r="B558" s="1">
        <f>DATE(2011,5,1) + TIME(9,56,19)</f>
        <v>40664.4141087963</v>
      </c>
      <c r="C558">
        <v>80</v>
      </c>
      <c r="D558">
        <v>61.039196013999998</v>
      </c>
      <c r="E558">
        <v>40</v>
      </c>
      <c r="F558">
        <v>39.888229369999998</v>
      </c>
      <c r="G558">
        <v>1379.2102050999999</v>
      </c>
      <c r="H558">
        <v>1365.6579589999999</v>
      </c>
      <c r="I558">
        <v>1296.9672852000001</v>
      </c>
      <c r="J558">
        <v>1281.4852295000001</v>
      </c>
      <c r="K558">
        <v>1650</v>
      </c>
      <c r="L558">
        <v>0</v>
      </c>
      <c r="M558">
        <v>0</v>
      </c>
      <c r="N558">
        <v>1650</v>
      </c>
    </row>
    <row r="559" spans="1:14" x14ac:dyDescent="0.25">
      <c r="A559">
        <v>365.45364699999999</v>
      </c>
      <c r="B559" s="1">
        <f>DATE(2011,5,1) + TIME(10,53,15)</f>
        <v>40664.453645833331</v>
      </c>
      <c r="C559">
        <v>80</v>
      </c>
      <c r="D559">
        <v>61.767833709999998</v>
      </c>
      <c r="E559">
        <v>40</v>
      </c>
      <c r="F559">
        <v>39.883075714</v>
      </c>
      <c r="G559">
        <v>1379.0195312000001</v>
      </c>
      <c r="H559">
        <v>1365.5927733999999</v>
      </c>
      <c r="I559">
        <v>1296.9681396000001</v>
      </c>
      <c r="J559">
        <v>1281.4855957</v>
      </c>
      <c r="K559">
        <v>1650</v>
      </c>
      <c r="L559">
        <v>0</v>
      </c>
      <c r="M559">
        <v>0</v>
      </c>
      <c r="N559">
        <v>1650</v>
      </c>
    </row>
    <row r="560" spans="1:14" x14ac:dyDescent="0.25">
      <c r="A560">
        <v>365.49410499999999</v>
      </c>
      <c r="B560" s="1">
        <f>DATE(2011,5,1) + TIME(11,51,30)</f>
        <v>40664.494097222225</v>
      </c>
      <c r="C560">
        <v>80</v>
      </c>
      <c r="D560">
        <v>62.485141753999997</v>
      </c>
      <c r="E560">
        <v>40</v>
      </c>
      <c r="F560">
        <v>39.877849578999999</v>
      </c>
      <c r="G560">
        <v>1378.8359375</v>
      </c>
      <c r="H560">
        <v>1365.5299072</v>
      </c>
      <c r="I560">
        <v>1296.96875</v>
      </c>
      <c r="J560">
        <v>1281.4857178</v>
      </c>
      <c r="K560">
        <v>1650</v>
      </c>
      <c r="L560">
        <v>0</v>
      </c>
      <c r="M560">
        <v>0</v>
      </c>
      <c r="N560">
        <v>1650</v>
      </c>
    </row>
    <row r="561" spans="1:14" x14ac:dyDescent="0.25">
      <c r="A561">
        <v>365.535529</v>
      </c>
      <c r="B561" s="1">
        <f>DATE(2011,5,1) + TIME(12,51,9)</f>
        <v>40664.535520833335</v>
      </c>
      <c r="C561">
        <v>80</v>
      </c>
      <c r="D561">
        <v>63.191028594999999</v>
      </c>
      <c r="E561">
        <v>40</v>
      </c>
      <c r="F561">
        <v>39.872543335000003</v>
      </c>
      <c r="G561">
        <v>1378.6590576000001</v>
      </c>
      <c r="H561">
        <v>1365.4691161999999</v>
      </c>
      <c r="I561">
        <v>1296.9692382999999</v>
      </c>
      <c r="J561">
        <v>1281.4854736</v>
      </c>
      <c r="K561">
        <v>1650</v>
      </c>
      <c r="L561">
        <v>0</v>
      </c>
      <c r="M561">
        <v>0</v>
      </c>
      <c r="N561">
        <v>1650</v>
      </c>
    </row>
    <row r="562" spans="1:14" x14ac:dyDescent="0.25">
      <c r="A562">
        <v>365.577967</v>
      </c>
      <c r="B562" s="1">
        <f>DATE(2011,5,1) + TIME(13,52,16)</f>
        <v>40664.577962962961</v>
      </c>
      <c r="C562">
        <v>80</v>
      </c>
      <c r="D562">
        <v>63.885364531999997</v>
      </c>
      <c r="E562">
        <v>40</v>
      </c>
      <c r="F562">
        <v>39.867153168000002</v>
      </c>
      <c r="G562">
        <v>1378.4887695</v>
      </c>
      <c r="H562">
        <v>1365.4105225000001</v>
      </c>
      <c r="I562">
        <v>1296.9694824000001</v>
      </c>
      <c r="J562">
        <v>1281.4852295000001</v>
      </c>
      <c r="K562">
        <v>1650</v>
      </c>
      <c r="L562">
        <v>0</v>
      </c>
      <c r="M562">
        <v>0</v>
      </c>
      <c r="N562">
        <v>1650</v>
      </c>
    </row>
    <row r="563" spans="1:14" x14ac:dyDescent="0.25">
      <c r="A563">
        <v>365.62148500000001</v>
      </c>
      <c r="B563" s="1">
        <f>DATE(2011,5,1) + TIME(14,54,56)</f>
        <v>40664.621481481481</v>
      </c>
      <c r="C563">
        <v>80</v>
      </c>
      <c r="D563">
        <v>64.568176269999995</v>
      </c>
      <c r="E563">
        <v>40</v>
      </c>
      <c r="F563">
        <v>39.861679076999998</v>
      </c>
      <c r="G563">
        <v>1378.3245850000001</v>
      </c>
      <c r="H563">
        <v>1365.3537598</v>
      </c>
      <c r="I563">
        <v>1296.9696045000001</v>
      </c>
      <c r="J563">
        <v>1281.4847411999999</v>
      </c>
      <c r="K563">
        <v>1650</v>
      </c>
      <c r="L563">
        <v>0</v>
      </c>
      <c r="M563">
        <v>0</v>
      </c>
      <c r="N563">
        <v>1650</v>
      </c>
    </row>
    <row r="564" spans="1:14" x14ac:dyDescent="0.25">
      <c r="A564">
        <v>365.66614299999998</v>
      </c>
      <c r="B564" s="1">
        <f>DATE(2011,5,1) + TIME(15,59,14)</f>
        <v>40664.666134259256</v>
      </c>
      <c r="C564">
        <v>80</v>
      </c>
      <c r="D564">
        <v>65.239433289000004</v>
      </c>
      <c r="E564">
        <v>40</v>
      </c>
      <c r="F564">
        <v>39.856105804000002</v>
      </c>
      <c r="G564">
        <v>1378.1663818</v>
      </c>
      <c r="H564">
        <v>1365.2989502</v>
      </c>
      <c r="I564">
        <v>1296.9697266000001</v>
      </c>
      <c r="J564">
        <v>1281.4842529</v>
      </c>
      <c r="K564">
        <v>1650</v>
      </c>
      <c r="L564">
        <v>0</v>
      </c>
      <c r="M564">
        <v>0</v>
      </c>
      <c r="N564">
        <v>1650</v>
      </c>
    </row>
    <row r="565" spans="1:14" x14ac:dyDescent="0.25">
      <c r="A565">
        <v>365.71200800000003</v>
      </c>
      <c r="B565" s="1">
        <f>DATE(2011,5,1) + TIME(17,5,17)</f>
        <v>40664.712002314816</v>
      </c>
      <c r="C565">
        <v>80</v>
      </c>
      <c r="D565">
        <v>65.89906311</v>
      </c>
      <c r="E565">
        <v>40</v>
      </c>
      <c r="F565">
        <v>39.850437163999999</v>
      </c>
      <c r="G565">
        <v>1378.0139160000001</v>
      </c>
      <c r="H565">
        <v>1365.2458495999999</v>
      </c>
      <c r="I565">
        <v>1296.9697266000001</v>
      </c>
      <c r="J565">
        <v>1281.4836425999999</v>
      </c>
      <c r="K565">
        <v>1650</v>
      </c>
      <c r="L565">
        <v>0</v>
      </c>
      <c r="M565">
        <v>0</v>
      </c>
      <c r="N565">
        <v>1650</v>
      </c>
    </row>
    <row r="566" spans="1:14" x14ac:dyDescent="0.25">
      <c r="A566">
        <v>365.75915099999997</v>
      </c>
      <c r="B566" s="1">
        <f>DATE(2011,5,1) + TIME(18,13,10)</f>
        <v>40664.759143518517</v>
      </c>
      <c r="C566">
        <v>80</v>
      </c>
      <c r="D566">
        <v>66.546859741000006</v>
      </c>
      <c r="E566">
        <v>40</v>
      </c>
      <c r="F566">
        <v>39.844661713000001</v>
      </c>
      <c r="G566">
        <v>1377.8666992000001</v>
      </c>
      <c r="H566">
        <v>1365.1943358999999</v>
      </c>
      <c r="I566">
        <v>1296.9697266000001</v>
      </c>
      <c r="J566">
        <v>1281.4830322</v>
      </c>
      <c r="K566">
        <v>1650</v>
      </c>
      <c r="L566">
        <v>0</v>
      </c>
      <c r="M566">
        <v>0</v>
      </c>
      <c r="N566">
        <v>1650</v>
      </c>
    </row>
    <row r="567" spans="1:14" x14ac:dyDescent="0.25">
      <c r="A567">
        <v>365.80765100000002</v>
      </c>
      <c r="B567" s="1">
        <f>DATE(2011,5,1) + TIME(19,23,1)</f>
        <v>40664.807650462964</v>
      </c>
      <c r="C567">
        <v>80</v>
      </c>
      <c r="D567">
        <v>67.182662964000002</v>
      </c>
      <c r="E567">
        <v>40</v>
      </c>
      <c r="F567">
        <v>39.838775634999998</v>
      </c>
      <c r="G567">
        <v>1377.7246094</v>
      </c>
      <c r="H567">
        <v>1365.1442870999999</v>
      </c>
      <c r="I567">
        <v>1296.9696045000001</v>
      </c>
      <c r="J567">
        <v>1281.4822998</v>
      </c>
      <c r="K567">
        <v>1650</v>
      </c>
      <c r="L567">
        <v>0</v>
      </c>
      <c r="M567">
        <v>0</v>
      </c>
      <c r="N567">
        <v>1650</v>
      </c>
    </row>
    <row r="568" spans="1:14" x14ac:dyDescent="0.25">
      <c r="A568">
        <v>365.85759100000001</v>
      </c>
      <c r="B568" s="1">
        <f>DATE(2011,5,1) + TIME(20,34,55)</f>
        <v>40664.857581018521</v>
      </c>
      <c r="C568">
        <v>80</v>
      </c>
      <c r="D568">
        <v>67.806343079000001</v>
      </c>
      <c r="E568">
        <v>40</v>
      </c>
      <c r="F568">
        <v>39.832767486999998</v>
      </c>
      <c r="G568">
        <v>1377.5872803</v>
      </c>
      <c r="H568">
        <v>1365.0955810999999</v>
      </c>
      <c r="I568">
        <v>1296.9694824000001</v>
      </c>
      <c r="J568">
        <v>1281.4815673999999</v>
      </c>
      <c r="K568">
        <v>1650</v>
      </c>
      <c r="L568">
        <v>0</v>
      </c>
      <c r="M568">
        <v>0</v>
      </c>
      <c r="N568">
        <v>1650</v>
      </c>
    </row>
    <row r="569" spans="1:14" x14ac:dyDescent="0.25">
      <c r="A569">
        <v>365.909063</v>
      </c>
      <c r="B569" s="1">
        <f>DATE(2011,5,1) + TIME(21,49,3)</f>
        <v>40664.909062500003</v>
      </c>
      <c r="C569">
        <v>80</v>
      </c>
      <c r="D569">
        <v>68.417709350999999</v>
      </c>
      <c r="E569">
        <v>40</v>
      </c>
      <c r="F569">
        <v>39.826633452999999</v>
      </c>
      <c r="G569">
        <v>1377.4544678</v>
      </c>
      <c r="H569">
        <v>1365.0479736</v>
      </c>
      <c r="I569">
        <v>1296.9693603999999</v>
      </c>
      <c r="J569">
        <v>1281.4807129000001</v>
      </c>
      <c r="K569">
        <v>1650</v>
      </c>
      <c r="L569">
        <v>0</v>
      </c>
      <c r="M569">
        <v>0</v>
      </c>
      <c r="N569">
        <v>1650</v>
      </c>
    </row>
    <row r="570" spans="1:14" x14ac:dyDescent="0.25">
      <c r="A570">
        <v>365.96216700000002</v>
      </c>
      <c r="B570" s="1">
        <f>DATE(2011,5,1) + TIME(23,5,31)</f>
        <v>40664.962164351855</v>
      </c>
      <c r="C570">
        <v>80</v>
      </c>
      <c r="D570">
        <v>69.016593932999996</v>
      </c>
      <c r="E570">
        <v>40</v>
      </c>
      <c r="F570">
        <v>39.820365905999999</v>
      </c>
      <c r="G570">
        <v>1377.3259277</v>
      </c>
      <c r="H570">
        <v>1365.0014647999999</v>
      </c>
      <c r="I570">
        <v>1296.9691161999999</v>
      </c>
      <c r="J570">
        <v>1281.4798584</v>
      </c>
      <c r="K570">
        <v>1650</v>
      </c>
      <c r="L570">
        <v>0</v>
      </c>
      <c r="M570">
        <v>0</v>
      </c>
      <c r="N570">
        <v>1650</v>
      </c>
    </row>
    <row r="571" spans="1:14" x14ac:dyDescent="0.25">
      <c r="A571">
        <v>366.01701200000002</v>
      </c>
      <c r="B571" s="1">
        <f>DATE(2011,5,2) + TIME(0,24,29)</f>
        <v>40665.017002314817</v>
      </c>
      <c r="C571">
        <v>80</v>
      </c>
      <c r="D571">
        <v>69.602790833</v>
      </c>
      <c r="E571">
        <v>40</v>
      </c>
      <c r="F571">
        <v>39.813949585000003</v>
      </c>
      <c r="G571">
        <v>1377.2015381000001</v>
      </c>
      <c r="H571">
        <v>1364.9558105000001</v>
      </c>
      <c r="I571">
        <v>1296.9688721</v>
      </c>
      <c r="J571">
        <v>1281.4788818</v>
      </c>
      <c r="K571">
        <v>1650</v>
      </c>
      <c r="L571">
        <v>0</v>
      </c>
      <c r="M571">
        <v>0</v>
      </c>
      <c r="N571">
        <v>1650</v>
      </c>
    </row>
    <row r="572" spans="1:14" x14ac:dyDescent="0.25">
      <c r="A572">
        <v>366.07374499999997</v>
      </c>
      <c r="B572" s="1">
        <f>DATE(2011,5,2) + TIME(1,46,11)</f>
        <v>40665.073738425926</v>
      </c>
      <c r="C572">
        <v>80</v>
      </c>
      <c r="D572">
        <v>70.176223754999995</v>
      </c>
      <c r="E572">
        <v>40</v>
      </c>
      <c r="F572">
        <v>39.807376861999998</v>
      </c>
      <c r="G572">
        <v>1377.0808105000001</v>
      </c>
      <c r="H572">
        <v>1364.9108887</v>
      </c>
      <c r="I572">
        <v>1296.9686279</v>
      </c>
      <c r="J572">
        <v>1281.4779053</v>
      </c>
      <c r="K572">
        <v>1650</v>
      </c>
      <c r="L572">
        <v>0</v>
      </c>
      <c r="M572">
        <v>0</v>
      </c>
      <c r="N572">
        <v>1650</v>
      </c>
    </row>
    <row r="573" spans="1:14" x14ac:dyDescent="0.25">
      <c r="A573">
        <v>366.132473</v>
      </c>
      <c r="B573" s="1">
        <f>DATE(2011,5,2) + TIME(3,10,45)</f>
        <v>40665.132465277777</v>
      </c>
      <c r="C573">
        <v>80</v>
      </c>
      <c r="D573">
        <v>70.736251831000004</v>
      </c>
      <c r="E573">
        <v>40</v>
      </c>
      <c r="F573">
        <v>39.800636292</v>
      </c>
      <c r="G573">
        <v>1376.9637451000001</v>
      </c>
      <c r="H573">
        <v>1364.8666992000001</v>
      </c>
      <c r="I573">
        <v>1296.9682617000001</v>
      </c>
      <c r="J573">
        <v>1281.4769286999999</v>
      </c>
      <c r="K573">
        <v>1650</v>
      </c>
      <c r="L573">
        <v>0</v>
      </c>
      <c r="M573">
        <v>0</v>
      </c>
      <c r="N573">
        <v>1650</v>
      </c>
    </row>
    <row r="574" spans="1:14" x14ac:dyDescent="0.25">
      <c r="A574">
        <v>366.19334300000003</v>
      </c>
      <c r="B574" s="1">
        <f>DATE(2011,5,2) + TIME(4,38,24)</f>
        <v>40665.193333333336</v>
      </c>
      <c r="C574">
        <v>80</v>
      </c>
      <c r="D574">
        <v>71.282897949000002</v>
      </c>
      <c r="E574">
        <v>40</v>
      </c>
      <c r="F574">
        <v>39.793720245000003</v>
      </c>
      <c r="G574">
        <v>1376.8500977000001</v>
      </c>
      <c r="H574">
        <v>1364.8229980000001</v>
      </c>
      <c r="I574">
        <v>1296.9678954999999</v>
      </c>
      <c r="J574">
        <v>1281.4758300999999</v>
      </c>
      <c r="K574">
        <v>1650</v>
      </c>
      <c r="L574">
        <v>0</v>
      </c>
      <c r="M574">
        <v>0</v>
      </c>
      <c r="N574">
        <v>1650</v>
      </c>
    </row>
    <row r="575" spans="1:14" x14ac:dyDescent="0.25">
      <c r="A575">
        <v>366.25651599999998</v>
      </c>
      <c r="B575" s="1">
        <f>DATE(2011,5,2) + TIME(6,9,22)</f>
        <v>40665.256504629629</v>
      </c>
      <c r="C575">
        <v>80</v>
      </c>
      <c r="D575">
        <v>71.815925598000007</v>
      </c>
      <c r="E575">
        <v>40</v>
      </c>
      <c r="F575">
        <v>39.786609650000003</v>
      </c>
      <c r="G575">
        <v>1376.7395019999999</v>
      </c>
      <c r="H575">
        <v>1364.7796631000001</v>
      </c>
      <c r="I575">
        <v>1296.9674072</v>
      </c>
      <c r="J575">
        <v>1281.4746094</v>
      </c>
      <c r="K575">
        <v>1650</v>
      </c>
      <c r="L575">
        <v>0</v>
      </c>
      <c r="M575">
        <v>0</v>
      </c>
      <c r="N575">
        <v>1650</v>
      </c>
    </row>
    <row r="576" spans="1:14" x14ac:dyDescent="0.25">
      <c r="A576">
        <v>366.32216899999997</v>
      </c>
      <c r="B576" s="1">
        <f>DATE(2011,5,2) + TIME(7,43,55)</f>
        <v>40665.322164351855</v>
      </c>
      <c r="C576">
        <v>80</v>
      </c>
      <c r="D576">
        <v>72.335052489999995</v>
      </c>
      <c r="E576">
        <v>40</v>
      </c>
      <c r="F576">
        <v>39.779289245999998</v>
      </c>
      <c r="G576">
        <v>1376.6317139</v>
      </c>
      <c r="H576">
        <v>1364.7365723</v>
      </c>
      <c r="I576">
        <v>1296.9670410000001</v>
      </c>
      <c r="J576">
        <v>1281.4733887</v>
      </c>
      <c r="K576">
        <v>1650</v>
      </c>
      <c r="L576">
        <v>0</v>
      </c>
      <c r="M576">
        <v>0</v>
      </c>
      <c r="N576">
        <v>1650</v>
      </c>
    </row>
    <row r="577" spans="1:14" x14ac:dyDescent="0.25">
      <c r="A577">
        <v>366.39050300000002</v>
      </c>
      <c r="B577" s="1">
        <f>DATE(2011,5,2) + TIME(9,22,19)</f>
        <v>40665.390497685185</v>
      </c>
      <c r="C577">
        <v>80</v>
      </c>
      <c r="D577">
        <v>72.840019225999995</v>
      </c>
      <c r="E577">
        <v>40</v>
      </c>
      <c r="F577">
        <v>39.771747589</v>
      </c>
      <c r="G577">
        <v>1376.5267334</v>
      </c>
      <c r="H577">
        <v>1364.6936035000001</v>
      </c>
      <c r="I577">
        <v>1296.9665527</v>
      </c>
      <c r="J577">
        <v>1281.472168</v>
      </c>
      <c r="K577">
        <v>1650</v>
      </c>
      <c r="L577">
        <v>0</v>
      </c>
      <c r="M577">
        <v>0</v>
      </c>
      <c r="N577">
        <v>1650</v>
      </c>
    </row>
    <row r="578" spans="1:14" x14ac:dyDescent="0.25">
      <c r="A578">
        <v>366.46174000000002</v>
      </c>
      <c r="B578" s="1">
        <f>DATE(2011,5,2) + TIME(11,4,54)</f>
        <v>40665.461736111109</v>
      </c>
      <c r="C578">
        <v>80</v>
      </c>
      <c r="D578">
        <v>73.330512999999996</v>
      </c>
      <c r="E578">
        <v>40</v>
      </c>
      <c r="F578">
        <v>39.763965607000003</v>
      </c>
      <c r="G578">
        <v>1376.4243164</v>
      </c>
      <c r="H578">
        <v>1364.6506348</v>
      </c>
      <c r="I578">
        <v>1296.9659423999999</v>
      </c>
      <c r="J578">
        <v>1281.4708252</v>
      </c>
      <c r="K578">
        <v>1650</v>
      </c>
      <c r="L578">
        <v>0</v>
      </c>
      <c r="M578">
        <v>0</v>
      </c>
      <c r="N578">
        <v>1650</v>
      </c>
    </row>
    <row r="579" spans="1:14" x14ac:dyDescent="0.25">
      <c r="A579">
        <v>366.53613200000001</v>
      </c>
      <c r="B579" s="1">
        <f>DATE(2011,5,2) + TIME(12,52,1)</f>
        <v>40665.536122685182</v>
      </c>
      <c r="C579">
        <v>80</v>
      </c>
      <c r="D579">
        <v>73.806243895999998</v>
      </c>
      <c r="E579">
        <v>40</v>
      </c>
      <c r="F579">
        <v>39.755920410000002</v>
      </c>
      <c r="G579">
        <v>1376.3239745999999</v>
      </c>
      <c r="H579">
        <v>1364.6075439000001</v>
      </c>
      <c r="I579">
        <v>1296.9654541</v>
      </c>
      <c r="J579">
        <v>1281.4693603999999</v>
      </c>
      <c r="K579">
        <v>1650</v>
      </c>
      <c r="L579">
        <v>0</v>
      </c>
      <c r="M579">
        <v>0</v>
      </c>
      <c r="N579">
        <v>1650</v>
      </c>
    </row>
    <row r="580" spans="1:14" x14ac:dyDescent="0.25">
      <c r="A580">
        <v>366.61396200000001</v>
      </c>
      <c r="B580" s="1">
        <f>DATE(2011,5,2) + TIME(14,44,6)</f>
        <v>40665.613958333335</v>
      </c>
      <c r="C580">
        <v>80</v>
      </c>
      <c r="D580">
        <v>74.266891478999995</v>
      </c>
      <c r="E580">
        <v>40</v>
      </c>
      <c r="F580">
        <v>39.747592926000003</v>
      </c>
      <c r="G580">
        <v>1376.2258300999999</v>
      </c>
      <c r="H580">
        <v>1364.5640868999999</v>
      </c>
      <c r="I580">
        <v>1296.9648437999999</v>
      </c>
      <c r="J580">
        <v>1281.4678954999999</v>
      </c>
      <c r="K580">
        <v>1650</v>
      </c>
      <c r="L580">
        <v>0</v>
      </c>
      <c r="M580">
        <v>0</v>
      </c>
      <c r="N580">
        <v>1650</v>
      </c>
    </row>
    <row r="581" spans="1:14" x14ac:dyDescent="0.25">
      <c r="A581">
        <v>366.69555200000002</v>
      </c>
      <c r="B581" s="1">
        <f>DATE(2011,5,2) + TIME(16,41,35)</f>
        <v>40665.695543981485</v>
      </c>
      <c r="C581">
        <v>80</v>
      </c>
      <c r="D581">
        <v>74.712135314999998</v>
      </c>
      <c r="E581">
        <v>40</v>
      </c>
      <c r="F581">
        <v>39.738952636999997</v>
      </c>
      <c r="G581">
        <v>1376.1293945</v>
      </c>
      <c r="H581">
        <v>1364.5201416</v>
      </c>
      <c r="I581">
        <v>1296.9641113</v>
      </c>
      <c r="J581">
        <v>1281.4664307</v>
      </c>
      <c r="K581">
        <v>1650</v>
      </c>
      <c r="L581">
        <v>0</v>
      </c>
      <c r="M581">
        <v>0</v>
      </c>
      <c r="N581">
        <v>1650</v>
      </c>
    </row>
    <row r="582" spans="1:14" x14ac:dyDescent="0.25">
      <c r="A582">
        <v>366.78130399999998</v>
      </c>
      <c r="B582" s="1">
        <f>DATE(2011,5,2) + TIME(18,45,4)</f>
        <v>40665.7812962963</v>
      </c>
      <c r="C582">
        <v>80</v>
      </c>
      <c r="D582">
        <v>75.141677856000001</v>
      </c>
      <c r="E582">
        <v>40</v>
      </c>
      <c r="F582">
        <v>39.729965210000003</v>
      </c>
      <c r="G582">
        <v>1376.0344238</v>
      </c>
      <c r="H582">
        <v>1364.4754639</v>
      </c>
      <c r="I582">
        <v>1296.9633789</v>
      </c>
      <c r="J582">
        <v>1281.4648437999999</v>
      </c>
      <c r="K582">
        <v>1650</v>
      </c>
      <c r="L582">
        <v>0</v>
      </c>
      <c r="M582">
        <v>0</v>
      </c>
      <c r="N582">
        <v>1650</v>
      </c>
    </row>
    <row r="583" spans="1:14" x14ac:dyDescent="0.25">
      <c r="A583">
        <v>366.87164000000001</v>
      </c>
      <c r="B583" s="1">
        <f>DATE(2011,5,2) + TIME(20,55,9)</f>
        <v>40665.871631944443</v>
      </c>
      <c r="C583">
        <v>80</v>
      </c>
      <c r="D583">
        <v>75.555023192999997</v>
      </c>
      <c r="E583">
        <v>40</v>
      </c>
      <c r="F583">
        <v>39.720603943</v>
      </c>
      <c r="G583">
        <v>1375.940918</v>
      </c>
      <c r="H583">
        <v>1364.4300536999999</v>
      </c>
      <c r="I583">
        <v>1296.9626464999999</v>
      </c>
      <c r="J583">
        <v>1281.4631348</v>
      </c>
      <c r="K583">
        <v>1650</v>
      </c>
      <c r="L583">
        <v>0</v>
      </c>
      <c r="M583">
        <v>0</v>
      </c>
      <c r="N583">
        <v>1650</v>
      </c>
    </row>
    <row r="584" spans="1:14" x14ac:dyDescent="0.25">
      <c r="A584">
        <v>366.96702299999998</v>
      </c>
      <c r="B584" s="1">
        <f>DATE(2011,5,2) + TIME(23,12,30)</f>
        <v>40665.967013888891</v>
      </c>
      <c r="C584">
        <v>80</v>
      </c>
      <c r="D584">
        <v>75.951889038000004</v>
      </c>
      <c r="E584">
        <v>40</v>
      </c>
      <c r="F584">
        <v>39.710826873999999</v>
      </c>
      <c r="G584">
        <v>1375.8485106999999</v>
      </c>
      <c r="H584">
        <v>1364.3836670000001</v>
      </c>
      <c r="I584">
        <v>1296.9617920000001</v>
      </c>
      <c r="J584">
        <v>1281.4614257999999</v>
      </c>
      <c r="K584">
        <v>1650</v>
      </c>
      <c r="L584">
        <v>0</v>
      </c>
      <c r="M584">
        <v>0</v>
      </c>
      <c r="N584">
        <v>1650</v>
      </c>
    </row>
    <row r="585" spans="1:14" x14ac:dyDescent="0.25">
      <c r="A585">
        <v>367.06802499999998</v>
      </c>
      <c r="B585" s="1">
        <f>DATE(2011,5,3) + TIME(1,37,57)</f>
        <v>40666.068020833336</v>
      </c>
      <c r="C585">
        <v>80</v>
      </c>
      <c r="D585">
        <v>76.331916809000006</v>
      </c>
      <c r="E585">
        <v>40</v>
      </c>
      <c r="F585">
        <v>39.700588226000001</v>
      </c>
      <c r="G585">
        <v>1375.7568358999999</v>
      </c>
      <c r="H585">
        <v>1364.3359375</v>
      </c>
      <c r="I585">
        <v>1296.9609375</v>
      </c>
      <c r="J585">
        <v>1281.4595947</v>
      </c>
      <c r="K585">
        <v>1650</v>
      </c>
      <c r="L585">
        <v>0</v>
      </c>
      <c r="M585">
        <v>0</v>
      </c>
      <c r="N585">
        <v>1650</v>
      </c>
    </row>
    <row r="586" spans="1:14" x14ac:dyDescent="0.25">
      <c r="A586">
        <v>367.17531200000002</v>
      </c>
      <c r="B586" s="1">
        <f>DATE(2011,5,3) + TIME(4,12,26)</f>
        <v>40666.175300925926</v>
      </c>
      <c r="C586">
        <v>80</v>
      </c>
      <c r="D586">
        <v>76.694717406999999</v>
      </c>
      <c r="E586">
        <v>40</v>
      </c>
      <c r="F586">
        <v>39.689842224000003</v>
      </c>
      <c r="G586">
        <v>1375.6657714999999</v>
      </c>
      <c r="H586">
        <v>1364.2868652</v>
      </c>
      <c r="I586">
        <v>1296.9599608999999</v>
      </c>
      <c r="J586">
        <v>1281.4576416</v>
      </c>
      <c r="K586">
        <v>1650</v>
      </c>
      <c r="L586">
        <v>0</v>
      </c>
      <c r="M586">
        <v>0</v>
      </c>
      <c r="N586">
        <v>1650</v>
      </c>
    </row>
    <row r="587" spans="1:14" x14ac:dyDescent="0.25">
      <c r="A587">
        <v>367.28967</v>
      </c>
      <c r="B587" s="1">
        <f>DATE(2011,5,3) + TIME(6,57,7)</f>
        <v>40666.289664351854</v>
      </c>
      <c r="C587">
        <v>80</v>
      </c>
      <c r="D587">
        <v>77.039901732999994</v>
      </c>
      <c r="E587">
        <v>40</v>
      </c>
      <c r="F587">
        <v>39.678524017000001</v>
      </c>
      <c r="G587">
        <v>1375.5749512</v>
      </c>
      <c r="H587">
        <v>1364.2362060999999</v>
      </c>
      <c r="I587">
        <v>1296.9589844</v>
      </c>
      <c r="J587">
        <v>1281.4555664</v>
      </c>
      <c r="K587">
        <v>1650</v>
      </c>
      <c r="L587">
        <v>0</v>
      </c>
      <c r="M587">
        <v>0</v>
      </c>
      <c r="N587">
        <v>1650</v>
      </c>
    </row>
    <row r="588" spans="1:14" x14ac:dyDescent="0.25">
      <c r="A588">
        <v>367.41202800000002</v>
      </c>
      <c r="B588" s="1">
        <f>DATE(2011,5,3) + TIME(9,53,19)</f>
        <v>40666.41202546296</v>
      </c>
      <c r="C588">
        <v>80</v>
      </c>
      <c r="D588">
        <v>77.367042541999993</v>
      </c>
      <c r="E588">
        <v>40</v>
      </c>
      <c r="F588">
        <v>39.666561127000001</v>
      </c>
      <c r="G588">
        <v>1375.4840088000001</v>
      </c>
      <c r="H588">
        <v>1364.1835937999999</v>
      </c>
      <c r="I588">
        <v>1296.9578856999999</v>
      </c>
      <c r="J588">
        <v>1281.4533690999999</v>
      </c>
      <c r="K588">
        <v>1650</v>
      </c>
      <c r="L588">
        <v>0</v>
      </c>
      <c r="M588">
        <v>0</v>
      </c>
      <c r="N588">
        <v>1650</v>
      </c>
    </row>
    <row r="589" spans="1:14" x14ac:dyDescent="0.25">
      <c r="A589">
        <v>367.54354499999999</v>
      </c>
      <c r="B589" s="1">
        <f>DATE(2011,5,3) + TIME(13,2,42)</f>
        <v>40666.543541666666</v>
      </c>
      <c r="C589">
        <v>80</v>
      </c>
      <c r="D589">
        <v>77.675811768000003</v>
      </c>
      <c r="E589">
        <v>40</v>
      </c>
      <c r="F589">
        <v>39.653865814</v>
      </c>
      <c r="G589">
        <v>1375.3927002</v>
      </c>
      <c r="H589">
        <v>1364.1287841999999</v>
      </c>
      <c r="I589">
        <v>1296.9566649999999</v>
      </c>
      <c r="J589">
        <v>1281.4510498</v>
      </c>
      <c r="K589">
        <v>1650</v>
      </c>
      <c r="L589">
        <v>0</v>
      </c>
      <c r="M589">
        <v>0</v>
      </c>
      <c r="N589">
        <v>1650</v>
      </c>
    </row>
    <row r="590" spans="1:14" x14ac:dyDescent="0.25">
      <c r="A590">
        <v>367.68561599999998</v>
      </c>
      <c r="B590" s="1">
        <f>DATE(2011,5,3) + TIME(16,27,17)</f>
        <v>40666.685613425929</v>
      </c>
      <c r="C590">
        <v>80</v>
      </c>
      <c r="D590">
        <v>77.965820312000005</v>
      </c>
      <c r="E590">
        <v>40</v>
      </c>
      <c r="F590">
        <v>39.640331267999997</v>
      </c>
      <c r="G590">
        <v>1375.3005370999999</v>
      </c>
      <c r="H590">
        <v>1364.0714111</v>
      </c>
      <c r="I590">
        <v>1296.9554443</v>
      </c>
      <c r="J590">
        <v>1281.4484863</v>
      </c>
      <c r="K590">
        <v>1650</v>
      </c>
      <c r="L590">
        <v>0</v>
      </c>
      <c r="M590">
        <v>0</v>
      </c>
      <c r="N590">
        <v>1650</v>
      </c>
    </row>
    <row r="591" spans="1:14" x14ac:dyDescent="0.25">
      <c r="A591">
        <v>367.83012400000001</v>
      </c>
      <c r="B591" s="1">
        <f>DATE(2011,5,3) + TIME(19,55,22)</f>
        <v>40666.83011574074</v>
      </c>
      <c r="C591">
        <v>80</v>
      </c>
      <c r="D591">
        <v>78.221717834000003</v>
      </c>
      <c r="E591">
        <v>40</v>
      </c>
      <c r="F591">
        <v>39.626659392999997</v>
      </c>
      <c r="G591">
        <v>1375.2121582</v>
      </c>
      <c r="H591">
        <v>1364.0134277</v>
      </c>
      <c r="I591">
        <v>1296.9539795000001</v>
      </c>
      <c r="J591">
        <v>1281.4458007999999</v>
      </c>
      <c r="K591">
        <v>1650</v>
      </c>
      <c r="L591">
        <v>0</v>
      </c>
      <c r="M591">
        <v>0</v>
      </c>
      <c r="N591">
        <v>1650</v>
      </c>
    </row>
    <row r="592" spans="1:14" x14ac:dyDescent="0.25">
      <c r="A592">
        <v>367.97617300000002</v>
      </c>
      <c r="B592" s="1">
        <f>DATE(2011,5,3) + TIME(23,25,41)</f>
        <v>40666.976168981484</v>
      </c>
      <c r="C592">
        <v>80</v>
      </c>
      <c r="D592">
        <v>78.445724487000007</v>
      </c>
      <c r="E592">
        <v>40</v>
      </c>
      <c r="F592">
        <v>39.612926483000003</v>
      </c>
      <c r="G592">
        <v>1375.1273193</v>
      </c>
      <c r="H592">
        <v>1363.9560547000001</v>
      </c>
      <c r="I592">
        <v>1296.9523925999999</v>
      </c>
      <c r="J592">
        <v>1281.4431152</v>
      </c>
      <c r="K592">
        <v>1650</v>
      </c>
      <c r="L592">
        <v>0</v>
      </c>
      <c r="M592">
        <v>0</v>
      </c>
      <c r="N592">
        <v>1650</v>
      </c>
    </row>
    <row r="593" spans="1:14" x14ac:dyDescent="0.25">
      <c r="A593">
        <v>368.12367399999999</v>
      </c>
      <c r="B593" s="1">
        <f>DATE(2011,5,4) + TIME(2,58,5)</f>
        <v>40667.123668981483</v>
      </c>
      <c r="C593">
        <v>80</v>
      </c>
      <c r="D593">
        <v>78.641410828000005</v>
      </c>
      <c r="E593">
        <v>40</v>
      </c>
      <c r="F593">
        <v>39.599136352999999</v>
      </c>
      <c r="G593">
        <v>1375.0460204999999</v>
      </c>
      <c r="H593">
        <v>1363.8994141000001</v>
      </c>
      <c r="I593">
        <v>1296.9508057</v>
      </c>
      <c r="J593">
        <v>1281.4404297000001</v>
      </c>
      <c r="K593">
        <v>1650</v>
      </c>
      <c r="L593">
        <v>0</v>
      </c>
      <c r="M593">
        <v>0</v>
      </c>
      <c r="N593">
        <v>1650</v>
      </c>
    </row>
    <row r="594" spans="1:14" x14ac:dyDescent="0.25">
      <c r="A594">
        <v>368.27284900000001</v>
      </c>
      <c r="B594" s="1">
        <f>DATE(2011,5,4) + TIME(6,32,54)</f>
        <v>40667.272847222222</v>
      </c>
      <c r="C594">
        <v>80</v>
      </c>
      <c r="D594">
        <v>78.812332153</v>
      </c>
      <c r="E594">
        <v>40</v>
      </c>
      <c r="F594">
        <v>39.585273743000002</v>
      </c>
      <c r="G594">
        <v>1374.9676514</v>
      </c>
      <c r="H594">
        <v>1363.8433838000001</v>
      </c>
      <c r="I594">
        <v>1296.9492187999999</v>
      </c>
      <c r="J594">
        <v>1281.4376221</v>
      </c>
      <c r="K594">
        <v>1650</v>
      </c>
      <c r="L594">
        <v>0</v>
      </c>
      <c r="M594">
        <v>0</v>
      </c>
      <c r="N594">
        <v>1650</v>
      </c>
    </row>
    <row r="595" spans="1:14" x14ac:dyDescent="0.25">
      <c r="A595">
        <v>368.42400500000002</v>
      </c>
      <c r="B595" s="1">
        <f>DATE(2011,5,4) + TIME(10,10,34)</f>
        <v>40667.424004629633</v>
      </c>
      <c r="C595">
        <v>80</v>
      </c>
      <c r="D595">
        <v>78.961631775000001</v>
      </c>
      <c r="E595">
        <v>40</v>
      </c>
      <c r="F595">
        <v>39.571304321</v>
      </c>
      <c r="G595">
        <v>1374.8917236</v>
      </c>
      <c r="H595">
        <v>1363.7878418</v>
      </c>
      <c r="I595">
        <v>1296.9475098</v>
      </c>
      <c r="J595">
        <v>1281.4349365</v>
      </c>
      <c r="K595">
        <v>1650</v>
      </c>
      <c r="L595">
        <v>0</v>
      </c>
      <c r="M595">
        <v>0</v>
      </c>
      <c r="N595">
        <v>1650</v>
      </c>
    </row>
    <row r="596" spans="1:14" x14ac:dyDescent="0.25">
      <c r="A596">
        <v>368.57744700000001</v>
      </c>
      <c r="B596" s="1">
        <f>DATE(2011,5,4) + TIME(13,51,31)</f>
        <v>40667.57744212963</v>
      </c>
      <c r="C596">
        <v>80</v>
      </c>
      <c r="D596">
        <v>79.092025757000002</v>
      </c>
      <c r="E596">
        <v>40</v>
      </c>
      <c r="F596">
        <v>39.557209014999998</v>
      </c>
      <c r="G596">
        <v>1374.8181152</v>
      </c>
      <c r="H596">
        <v>1363.7329102000001</v>
      </c>
      <c r="I596">
        <v>1296.9458007999999</v>
      </c>
      <c r="J596">
        <v>1281.4320068</v>
      </c>
      <c r="K596">
        <v>1650</v>
      </c>
      <c r="L596">
        <v>0</v>
      </c>
      <c r="M596">
        <v>0</v>
      </c>
      <c r="N596">
        <v>1650</v>
      </c>
    </row>
    <row r="597" spans="1:14" x14ac:dyDescent="0.25">
      <c r="A597">
        <v>368.73348199999998</v>
      </c>
      <c r="B597" s="1">
        <f>DATE(2011,5,4) + TIME(17,36,12)</f>
        <v>40667.733472222222</v>
      </c>
      <c r="C597">
        <v>80</v>
      </c>
      <c r="D597">
        <v>79.205856323000006</v>
      </c>
      <c r="E597">
        <v>40</v>
      </c>
      <c r="F597">
        <v>39.542961120999998</v>
      </c>
      <c r="G597">
        <v>1374.7462158000001</v>
      </c>
      <c r="H597">
        <v>1363.6783447</v>
      </c>
      <c r="I597">
        <v>1296.9440918</v>
      </c>
      <c r="J597">
        <v>1281.4291992000001</v>
      </c>
      <c r="K597">
        <v>1650</v>
      </c>
      <c r="L597">
        <v>0</v>
      </c>
      <c r="M597">
        <v>0</v>
      </c>
      <c r="N597">
        <v>1650</v>
      </c>
    </row>
    <row r="598" spans="1:14" x14ac:dyDescent="0.25">
      <c r="A598">
        <v>368.89242899999999</v>
      </c>
      <c r="B598" s="1">
        <f>DATE(2011,5,4) + TIME(21,25,5)</f>
        <v>40667.892418981479</v>
      </c>
      <c r="C598">
        <v>80</v>
      </c>
      <c r="D598">
        <v>79.305145264000004</v>
      </c>
      <c r="E598">
        <v>40</v>
      </c>
      <c r="F598">
        <v>39.528530121000003</v>
      </c>
      <c r="G598">
        <v>1374.6759033000001</v>
      </c>
      <c r="H598">
        <v>1363.6240233999999</v>
      </c>
      <c r="I598">
        <v>1296.9422606999999</v>
      </c>
      <c r="J598">
        <v>1281.4262695</v>
      </c>
      <c r="K598">
        <v>1650</v>
      </c>
      <c r="L598">
        <v>0</v>
      </c>
      <c r="M598">
        <v>0</v>
      </c>
      <c r="N598">
        <v>1650</v>
      </c>
    </row>
    <row r="599" spans="1:14" x14ac:dyDescent="0.25">
      <c r="A599">
        <v>369.05466300000001</v>
      </c>
      <c r="B599" s="1">
        <f>DATE(2011,5,5) + TIME(1,18,42)</f>
        <v>40668.054652777777</v>
      </c>
      <c r="C599">
        <v>80</v>
      </c>
      <c r="D599">
        <v>79.391685486</v>
      </c>
      <c r="E599">
        <v>40</v>
      </c>
      <c r="F599">
        <v>39.513893127000003</v>
      </c>
      <c r="G599">
        <v>1374.6069336</v>
      </c>
      <c r="H599">
        <v>1363.5699463000001</v>
      </c>
      <c r="I599">
        <v>1296.9404297000001</v>
      </c>
      <c r="J599">
        <v>1281.4232178</v>
      </c>
      <c r="K599">
        <v>1650</v>
      </c>
      <c r="L599">
        <v>0</v>
      </c>
      <c r="M599">
        <v>0</v>
      </c>
      <c r="N599">
        <v>1650</v>
      </c>
    </row>
    <row r="600" spans="1:14" x14ac:dyDescent="0.25">
      <c r="A600">
        <v>369.22051800000003</v>
      </c>
      <c r="B600" s="1">
        <f>DATE(2011,5,5) + TIME(5,17,32)</f>
        <v>40668.220509259256</v>
      </c>
      <c r="C600">
        <v>80</v>
      </c>
      <c r="D600">
        <v>79.467010497999993</v>
      </c>
      <c r="E600">
        <v>40</v>
      </c>
      <c r="F600">
        <v>39.499023438000002</v>
      </c>
      <c r="G600">
        <v>1374.5390625</v>
      </c>
      <c r="H600">
        <v>1363.5161132999999</v>
      </c>
      <c r="I600">
        <v>1296.9385986</v>
      </c>
      <c r="J600">
        <v>1281.4201660000001</v>
      </c>
      <c r="K600">
        <v>1650</v>
      </c>
      <c r="L600">
        <v>0</v>
      </c>
      <c r="M600">
        <v>0</v>
      </c>
      <c r="N600">
        <v>1650</v>
      </c>
    </row>
    <row r="601" spans="1:14" x14ac:dyDescent="0.25">
      <c r="A601">
        <v>369.38998400000003</v>
      </c>
      <c r="B601" s="1">
        <f>DATE(2011,5,5) + TIME(9,21,34)</f>
        <v>40668.389976851853</v>
      </c>
      <c r="C601">
        <v>80</v>
      </c>
      <c r="D601">
        <v>79.532341002999999</v>
      </c>
      <c r="E601">
        <v>40</v>
      </c>
      <c r="F601">
        <v>39.483917236000003</v>
      </c>
      <c r="G601">
        <v>1374.472168</v>
      </c>
      <c r="H601">
        <v>1363.4622803</v>
      </c>
      <c r="I601">
        <v>1296.9366454999999</v>
      </c>
      <c r="J601">
        <v>1281.4171143000001</v>
      </c>
      <c r="K601">
        <v>1650</v>
      </c>
      <c r="L601">
        <v>0</v>
      </c>
      <c r="M601">
        <v>0</v>
      </c>
      <c r="N601">
        <v>1650</v>
      </c>
    </row>
    <row r="602" spans="1:14" x14ac:dyDescent="0.25">
      <c r="A602">
        <v>369.56305600000002</v>
      </c>
      <c r="B602" s="1">
        <f>DATE(2011,5,5) + TIME(13,30,48)</f>
        <v>40668.563055555554</v>
      </c>
      <c r="C602">
        <v>80</v>
      </c>
      <c r="D602">
        <v>79.588829040999997</v>
      </c>
      <c r="E602">
        <v>40</v>
      </c>
      <c r="F602">
        <v>39.468578338999997</v>
      </c>
      <c r="G602">
        <v>1374.4061279</v>
      </c>
      <c r="H602">
        <v>1363.4086914</v>
      </c>
      <c r="I602">
        <v>1296.9346923999999</v>
      </c>
      <c r="J602">
        <v>1281.4138184000001</v>
      </c>
      <c r="K602">
        <v>1650</v>
      </c>
      <c r="L602">
        <v>0</v>
      </c>
      <c r="M602">
        <v>0</v>
      </c>
      <c r="N602">
        <v>1650</v>
      </c>
    </row>
    <row r="603" spans="1:14" x14ac:dyDescent="0.25">
      <c r="A603">
        <v>369.74015200000002</v>
      </c>
      <c r="B603" s="1">
        <f>DATE(2011,5,5) + TIME(17,45,49)</f>
        <v>40668.74015046296</v>
      </c>
      <c r="C603">
        <v>80</v>
      </c>
      <c r="D603">
        <v>79.637596130000006</v>
      </c>
      <c r="E603">
        <v>40</v>
      </c>
      <c r="F603">
        <v>39.452972412000001</v>
      </c>
      <c r="G603">
        <v>1374.3409423999999</v>
      </c>
      <c r="H603">
        <v>1363.3553466999999</v>
      </c>
      <c r="I603">
        <v>1296.9326172000001</v>
      </c>
      <c r="J603">
        <v>1281.4106445</v>
      </c>
      <c r="K603">
        <v>1650</v>
      </c>
      <c r="L603">
        <v>0</v>
      </c>
      <c r="M603">
        <v>0</v>
      </c>
      <c r="N603">
        <v>1650</v>
      </c>
    </row>
    <row r="604" spans="1:14" x14ac:dyDescent="0.25">
      <c r="A604">
        <v>369.92160899999999</v>
      </c>
      <c r="B604" s="1">
        <f>DATE(2011,5,5) + TIME(22,7,7)</f>
        <v>40668.9216087963</v>
      </c>
      <c r="C604">
        <v>80</v>
      </c>
      <c r="D604">
        <v>79.679626464999998</v>
      </c>
      <c r="E604">
        <v>40</v>
      </c>
      <c r="F604">
        <v>39.437080383000001</v>
      </c>
      <c r="G604">
        <v>1374.2763672000001</v>
      </c>
      <c r="H604">
        <v>1363.302124</v>
      </c>
      <c r="I604">
        <v>1296.9305420000001</v>
      </c>
      <c r="J604">
        <v>1281.4072266000001</v>
      </c>
      <c r="K604">
        <v>1650</v>
      </c>
      <c r="L604">
        <v>0</v>
      </c>
      <c r="M604">
        <v>0</v>
      </c>
      <c r="N604">
        <v>1650</v>
      </c>
    </row>
    <row r="605" spans="1:14" x14ac:dyDescent="0.25">
      <c r="A605">
        <v>370.10781100000003</v>
      </c>
      <c r="B605" s="1">
        <f>DATE(2011,5,6) + TIME(2,35,14)</f>
        <v>40669.107800925929</v>
      </c>
      <c r="C605">
        <v>80</v>
      </c>
      <c r="D605">
        <v>79.715774535999998</v>
      </c>
      <c r="E605">
        <v>40</v>
      </c>
      <c r="F605">
        <v>39.420864105</v>
      </c>
      <c r="G605">
        <v>1374.2124022999999</v>
      </c>
      <c r="H605">
        <v>1363.2489014</v>
      </c>
      <c r="I605">
        <v>1296.9283447</v>
      </c>
      <c r="J605">
        <v>1281.4038086</v>
      </c>
      <c r="K605">
        <v>1650</v>
      </c>
      <c r="L605">
        <v>0</v>
      </c>
      <c r="M605">
        <v>0</v>
      </c>
      <c r="N605">
        <v>1650</v>
      </c>
    </row>
    <row r="606" spans="1:14" x14ac:dyDescent="0.25">
      <c r="A606">
        <v>370.299194</v>
      </c>
      <c r="B606" s="1">
        <f>DATE(2011,5,6) + TIME(7,10,50)</f>
        <v>40669.299189814818</v>
      </c>
      <c r="C606">
        <v>80</v>
      </c>
      <c r="D606">
        <v>79.746795653999996</v>
      </c>
      <c r="E606">
        <v>40</v>
      </c>
      <c r="F606">
        <v>39.404300689999999</v>
      </c>
      <c r="G606">
        <v>1374.1486815999999</v>
      </c>
      <c r="H606">
        <v>1363.1956786999999</v>
      </c>
      <c r="I606">
        <v>1296.9260254000001</v>
      </c>
      <c r="J606">
        <v>1281.4002685999999</v>
      </c>
      <c r="K606">
        <v>1650</v>
      </c>
      <c r="L606">
        <v>0</v>
      </c>
      <c r="M606">
        <v>0</v>
      </c>
      <c r="N606">
        <v>1650</v>
      </c>
    </row>
    <row r="607" spans="1:14" x14ac:dyDescent="0.25">
      <c r="A607">
        <v>370.49623700000001</v>
      </c>
      <c r="B607" s="1">
        <f>DATE(2011,5,6) + TIME(11,54,34)</f>
        <v>40669.49622685185</v>
      </c>
      <c r="C607">
        <v>80</v>
      </c>
      <c r="D607">
        <v>79.773353576999995</v>
      </c>
      <c r="E607">
        <v>40</v>
      </c>
      <c r="F607">
        <v>39.387355804000002</v>
      </c>
      <c r="G607">
        <v>1374.0852050999999</v>
      </c>
      <c r="H607">
        <v>1363.1423339999999</v>
      </c>
      <c r="I607">
        <v>1296.9237060999999</v>
      </c>
      <c r="J607">
        <v>1281.3966064000001</v>
      </c>
      <c r="K607">
        <v>1650</v>
      </c>
      <c r="L607">
        <v>0</v>
      </c>
      <c r="M607">
        <v>0</v>
      </c>
      <c r="N607">
        <v>1650</v>
      </c>
    </row>
    <row r="608" spans="1:14" x14ac:dyDescent="0.25">
      <c r="A608">
        <v>370.69946299999998</v>
      </c>
      <c r="B608" s="1">
        <f>DATE(2011,5,6) + TIME(16,47,13)</f>
        <v>40669.699456018519</v>
      </c>
      <c r="C608">
        <v>80</v>
      </c>
      <c r="D608">
        <v>79.796028136999993</v>
      </c>
      <c r="E608">
        <v>40</v>
      </c>
      <c r="F608">
        <v>39.369983673</v>
      </c>
      <c r="G608">
        <v>1374.0218506000001</v>
      </c>
      <c r="H608">
        <v>1363.0889893000001</v>
      </c>
      <c r="I608">
        <v>1296.9213867000001</v>
      </c>
      <c r="J608">
        <v>1281.3928223</v>
      </c>
      <c r="K608">
        <v>1650</v>
      </c>
      <c r="L608">
        <v>0</v>
      </c>
      <c r="M608">
        <v>0</v>
      </c>
      <c r="N608">
        <v>1650</v>
      </c>
    </row>
    <row r="609" spans="1:14" x14ac:dyDescent="0.25">
      <c r="A609">
        <v>370.90945599999998</v>
      </c>
      <c r="B609" s="1">
        <f>DATE(2011,5,6) + TIME(21,49,36)</f>
        <v>40669.909444444442</v>
      </c>
      <c r="C609">
        <v>80</v>
      </c>
      <c r="D609">
        <v>79.815338135000005</v>
      </c>
      <c r="E609">
        <v>40</v>
      </c>
      <c r="F609">
        <v>39.352149963000002</v>
      </c>
      <c r="G609">
        <v>1373.9584961</v>
      </c>
      <c r="H609">
        <v>1363.0354004000001</v>
      </c>
      <c r="I609">
        <v>1296.9188231999999</v>
      </c>
      <c r="J609">
        <v>1281.3889160000001</v>
      </c>
      <c r="K609">
        <v>1650</v>
      </c>
      <c r="L609">
        <v>0</v>
      </c>
      <c r="M609">
        <v>0</v>
      </c>
      <c r="N609">
        <v>1650</v>
      </c>
    </row>
    <row r="610" spans="1:14" x14ac:dyDescent="0.25">
      <c r="A610">
        <v>371.12686300000001</v>
      </c>
      <c r="B610" s="1">
        <f>DATE(2011,5,7) + TIME(3,2,40)</f>
        <v>40670.126851851855</v>
      </c>
      <c r="C610">
        <v>80</v>
      </c>
      <c r="D610">
        <v>79.831733704000001</v>
      </c>
      <c r="E610">
        <v>40</v>
      </c>
      <c r="F610">
        <v>39.333805083999998</v>
      </c>
      <c r="G610">
        <v>1373.8950195</v>
      </c>
      <c r="H610">
        <v>1362.9814452999999</v>
      </c>
      <c r="I610">
        <v>1296.9162598</v>
      </c>
      <c r="J610">
        <v>1281.3848877</v>
      </c>
      <c r="K610">
        <v>1650</v>
      </c>
      <c r="L610">
        <v>0</v>
      </c>
      <c r="M610">
        <v>0</v>
      </c>
      <c r="N610">
        <v>1650</v>
      </c>
    </row>
    <row r="611" spans="1:14" x14ac:dyDescent="0.25">
      <c r="A611">
        <v>371.35241000000002</v>
      </c>
      <c r="B611" s="1">
        <f>DATE(2011,5,7) + TIME(8,27,28)</f>
        <v>40670.352407407408</v>
      </c>
      <c r="C611">
        <v>80</v>
      </c>
      <c r="D611">
        <v>79.845611571999996</v>
      </c>
      <c r="E611">
        <v>40</v>
      </c>
      <c r="F611">
        <v>39.314899445000002</v>
      </c>
      <c r="G611">
        <v>1373.8311768000001</v>
      </c>
      <c r="H611">
        <v>1362.9272461</v>
      </c>
      <c r="I611">
        <v>1296.9135742000001</v>
      </c>
      <c r="J611">
        <v>1281.3807373</v>
      </c>
      <c r="K611">
        <v>1650</v>
      </c>
      <c r="L611">
        <v>0</v>
      </c>
      <c r="M611">
        <v>0</v>
      </c>
      <c r="N611">
        <v>1650</v>
      </c>
    </row>
    <row r="612" spans="1:14" x14ac:dyDescent="0.25">
      <c r="A612">
        <v>371.58691700000003</v>
      </c>
      <c r="B612" s="1">
        <f>DATE(2011,5,7) + TIME(14,5,9)</f>
        <v>40670.586909722224</v>
      </c>
      <c r="C612">
        <v>80</v>
      </c>
      <c r="D612">
        <v>79.857315063000001</v>
      </c>
      <c r="E612">
        <v>40</v>
      </c>
      <c r="F612">
        <v>39.295379638999997</v>
      </c>
      <c r="G612">
        <v>1373.7669678</v>
      </c>
      <c r="H612">
        <v>1362.8724365</v>
      </c>
      <c r="I612">
        <v>1296.9107666</v>
      </c>
      <c r="J612">
        <v>1281.3764647999999</v>
      </c>
      <c r="K612">
        <v>1650</v>
      </c>
      <c r="L612">
        <v>0</v>
      </c>
      <c r="M612">
        <v>0</v>
      </c>
      <c r="N612">
        <v>1650</v>
      </c>
    </row>
    <row r="613" spans="1:14" x14ac:dyDescent="0.25">
      <c r="A613">
        <v>371.83138400000001</v>
      </c>
      <c r="B613" s="1">
        <f>DATE(2011,5,7) + TIME(19,57,11)</f>
        <v>40670.831377314818</v>
      </c>
      <c r="C613">
        <v>80</v>
      </c>
      <c r="D613">
        <v>79.867164611999996</v>
      </c>
      <c r="E613">
        <v>40</v>
      </c>
      <c r="F613">
        <v>39.275177002</v>
      </c>
      <c r="G613">
        <v>1373.7021483999999</v>
      </c>
      <c r="H613">
        <v>1362.8171387</v>
      </c>
      <c r="I613">
        <v>1296.9078368999999</v>
      </c>
      <c r="J613">
        <v>1281.3719481999999</v>
      </c>
      <c r="K613">
        <v>1650</v>
      </c>
      <c r="L613">
        <v>0</v>
      </c>
      <c r="M613">
        <v>0</v>
      </c>
      <c r="N613">
        <v>1650</v>
      </c>
    </row>
    <row r="614" spans="1:14" x14ac:dyDescent="0.25">
      <c r="A614">
        <v>372.08691199999998</v>
      </c>
      <c r="B614" s="1">
        <f>DATE(2011,5,8) + TIME(2,5,9)</f>
        <v>40671.086909722224</v>
      </c>
      <c r="C614">
        <v>80</v>
      </c>
      <c r="D614">
        <v>79.875411987000007</v>
      </c>
      <c r="E614">
        <v>40</v>
      </c>
      <c r="F614">
        <v>39.254215240000001</v>
      </c>
      <c r="G614">
        <v>1373.6365966999999</v>
      </c>
      <c r="H614">
        <v>1362.7611084</v>
      </c>
      <c r="I614">
        <v>1296.9047852000001</v>
      </c>
      <c r="J614">
        <v>1281.3671875</v>
      </c>
      <c r="K614">
        <v>1650</v>
      </c>
      <c r="L614">
        <v>0</v>
      </c>
      <c r="M614">
        <v>0</v>
      </c>
      <c r="N614">
        <v>1650</v>
      </c>
    </row>
    <row r="615" spans="1:14" x14ac:dyDescent="0.25">
      <c r="A615">
        <v>372.35319099999998</v>
      </c>
      <c r="B615" s="1">
        <f>DATE(2011,5,8) + TIME(8,28,35)</f>
        <v>40671.353182870371</v>
      </c>
      <c r="C615">
        <v>80</v>
      </c>
      <c r="D615">
        <v>79.882270813000005</v>
      </c>
      <c r="E615">
        <v>40</v>
      </c>
      <c r="F615">
        <v>39.232517242</v>
      </c>
      <c r="G615">
        <v>1373.5700684000001</v>
      </c>
      <c r="H615">
        <v>1362.7043457</v>
      </c>
      <c r="I615">
        <v>1296.9014893000001</v>
      </c>
      <c r="J615">
        <v>1281.3623047000001</v>
      </c>
      <c r="K615">
        <v>1650</v>
      </c>
      <c r="L615">
        <v>0</v>
      </c>
      <c r="M615">
        <v>0</v>
      </c>
      <c r="N615">
        <v>1650</v>
      </c>
    </row>
    <row r="616" spans="1:14" x14ac:dyDescent="0.25">
      <c r="A616">
        <v>372.62877099999997</v>
      </c>
      <c r="B616" s="1">
        <f>DATE(2011,5,8) + TIME(15,5,25)</f>
        <v>40671.628761574073</v>
      </c>
      <c r="C616">
        <v>80</v>
      </c>
      <c r="D616">
        <v>79.887908936000002</v>
      </c>
      <c r="E616">
        <v>40</v>
      </c>
      <c r="F616">
        <v>39.210178374999998</v>
      </c>
      <c r="G616">
        <v>1373.5028076000001</v>
      </c>
      <c r="H616">
        <v>1362.6468506000001</v>
      </c>
      <c r="I616">
        <v>1296.8980713000001</v>
      </c>
      <c r="J616">
        <v>1281.3571777</v>
      </c>
      <c r="K616">
        <v>1650</v>
      </c>
      <c r="L616">
        <v>0</v>
      </c>
      <c r="M616">
        <v>0</v>
      </c>
      <c r="N616">
        <v>1650</v>
      </c>
    </row>
    <row r="617" spans="1:14" x14ac:dyDescent="0.25">
      <c r="A617">
        <v>372.91461700000002</v>
      </c>
      <c r="B617" s="1">
        <f>DATE(2011,5,8) + TIME(21,57,2)</f>
        <v>40671.914606481485</v>
      </c>
      <c r="C617">
        <v>80</v>
      </c>
      <c r="D617">
        <v>79.892532349000007</v>
      </c>
      <c r="E617">
        <v>40</v>
      </c>
      <c r="F617">
        <v>39.187141418000003</v>
      </c>
      <c r="G617">
        <v>1373.4354248</v>
      </c>
      <c r="H617">
        <v>1362.5892334</v>
      </c>
      <c r="I617">
        <v>1296.8946533000001</v>
      </c>
      <c r="J617">
        <v>1281.3518065999999</v>
      </c>
      <c r="K617">
        <v>1650</v>
      </c>
      <c r="L617">
        <v>0</v>
      </c>
      <c r="M617">
        <v>0</v>
      </c>
      <c r="N617">
        <v>1650</v>
      </c>
    </row>
    <row r="618" spans="1:14" x14ac:dyDescent="0.25">
      <c r="A618">
        <v>373.20794999999998</v>
      </c>
      <c r="B618" s="1">
        <f>DATE(2011,5,9) + TIME(4,59,26)</f>
        <v>40672.207939814813</v>
      </c>
      <c r="C618">
        <v>80</v>
      </c>
      <c r="D618">
        <v>79.896293639999996</v>
      </c>
      <c r="E618">
        <v>40</v>
      </c>
      <c r="F618">
        <v>39.163589477999999</v>
      </c>
      <c r="G618">
        <v>1373.3674315999999</v>
      </c>
      <c r="H618">
        <v>1362.53125</v>
      </c>
      <c r="I618">
        <v>1296.8908690999999</v>
      </c>
      <c r="J618">
        <v>1281.3463135</v>
      </c>
      <c r="K618">
        <v>1650</v>
      </c>
      <c r="L618">
        <v>0</v>
      </c>
      <c r="M618">
        <v>0</v>
      </c>
      <c r="N618">
        <v>1650</v>
      </c>
    </row>
    <row r="619" spans="1:14" x14ac:dyDescent="0.25">
      <c r="A619">
        <v>373.50309399999998</v>
      </c>
      <c r="B619" s="1">
        <f>DATE(2011,5,9) + TIME(12,4,27)</f>
        <v>40672.50309027778</v>
      </c>
      <c r="C619">
        <v>80</v>
      </c>
      <c r="D619">
        <v>79.899291992000002</v>
      </c>
      <c r="E619">
        <v>40</v>
      </c>
      <c r="F619">
        <v>39.139896393000001</v>
      </c>
      <c r="G619">
        <v>1373.2998047000001</v>
      </c>
      <c r="H619">
        <v>1362.4735106999999</v>
      </c>
      <c r="I619">
        <v>1296.8870850000001</v>
      </c>
      <c r="J619">
        <v>1281.3405762</v>
      </c>
      <c r="K619">
        <v>1650</v>
      </c>
      <c r="L619">
        <v>0</v>
      </c>
      <c r="M619">
        <v>0</v>
      </c>
      <c r="N619">
        <v>1650</v>
      </c>
    </row>
    <row r="620" spans="1:14" x14ac:dyDescent="0.25">
      <c r="A620">
        <v>373.80023799999998</v>
      </c>
      <c r="B620" s="1">
        <f>DATE(2011,5,9) + TIME(19,12,20)</f>
        <v>40672.80023148148</v>
      </c>
      <c r="C620">
        <v>80</v>
      </c>
      <c r="D620">
        <v>79.901695251000007</v>
      </c>
      <c r="E620">
        <v>40</v>
      </c>
      <c r="F620">
        <v>39.116069793999998</v>
      </c>
      <c r="G620">
        <v>1373.2337646000001</v>
      </c>
      <c r="H620">
        <v>1362.4171143000001</v>
      </c>
      <c r="I620">
        <v>1296.8831786999999</v>
      </c>
      <c r="J620">
        <v>1281.3348389</v>
      </c>
      <c r="K620">
        <v>1650</v>
      </c>
      <c r="L620">
        <v>0</v>
      </c>
      <c r="M620">
        <v>0</v>
      </c>
      <c r="N620">
        <v>1650</v>
      </c>
    </row>
    <row r="621" spans="1:14" x14ac:dyDescent="0.25">
      <c r="A621">
        <v>374.10005899999999</v>
      </c>
      <c r="B621" s="1">
        <f>DATE(2011,5,10) + TIME(2,24,5)</f>
        <v>40673.100057870368</v>
      </c>
      <c r="C621">
        <v>80</v>
      </c>
      <c r="D621">
        <v>79.903640746999997</v>
      </c>
      <c r="E621">
        <v>40</v>
      </c>
      <c r="F621">
        <v>39.092086792000003</v>
      </c>
      <c r="G621">
        <v>1373.1690673999999</v>
      </c>
      <c r="H621">
        <v>1362.3619385</v>
      </c>
      <c r="I621">
        <v>1296.8792725000001</v>
      </c>
      <c r="J621">
        <v>1281.3289795000001</v>
      </c>
      <c r="K621">
        <v>1650</v>
      </c>
      <c r="L621">
        <v>0</v>
      </c>
      <c r="M621">
        <v>0</v>
      </c>
      <c r="N621">
        <v>1650</v>
      </c>
    </row>
    <row r="622" spans="1:14" x14ac:dyDescent="0.25">
      <c r="A622">
        <v>374.40326299999998</v>
      </c>
      <c r="B622" s="1">
        <f>DATE(2011,5,10) + TIME(9,40,41)</f>
        <v>40673.403252314813</v>
      </c>
      <c r="C622">
        <v>80</v>
      </c>
      <c r="D622">
        <v>79.905220032000003</v>
      </c>
      <c r="E622">
        <v>40</v>
      </c>
      <c r="F622">
        <v>39.067913054999998</v>
      </c>
      <c r="G622">
        <v>1373.1055908000001</v>
      </c>
      <c r="H622">
        <v>1362.3078613</v>
      </c>
      <c r="I622">
        <v>1296.8752440999999</v>
      </c>
      <c r="J622">
        <v>1281.3231201000001</v>
      </c>
      <c r="K622">
        <v>1650</v>
      </c>
      <c r="L622">
        <v>0</v>
      </c>
      <c r="M622">
        <v>0</v>
      </c>
      <c r="N622">
        <v>1650</v>
      </c>
    </row>
    <row r="623" spans="1:14" x14ac:dyDescent="0.25">
      <c r="A623">
        <v>374.71056199999998</v>
      </c>
      <c r="B623" s="1">
        <f>DATE(2011,5,10) + TIME(17,3,12)</f>
        <v>40673.710555555554</v>
      </c>
      <c r="C623">
        <v>80</v>
      </c>
      <c r="D623">
        <v>79.906501770000006</v>
      </c>
      <c r="E623">
        <v>40</v>
      </c>
      <c r="F623">
        <v>39.043510437000002</v>
      </c>
      <c r="G623">
        <v>1373.0429687999999</v>
      </c>
      <c r="H623">
        <v>1362.2546387</v>
      </c>
      <c r="I623">
        <v>1296.8712158000001</v>
      </c>
      <c r="J623">
        <v>1281.3172606999999</v>
      </c>
      <c r="K623">
        <v>1650</v>
      </c>
      <c r="L623">
        <v>0</v>
      </c>
      <c r="M623">
        <v>0</v>
      </c>
      <c r="N623">
        <v>1650</v>
      </c>
    </row>
    <row r="624" spans="1:14" x14ac:dyDescent="0.25">
      <c r="A624">
        <v>375.02254499999998</v>
      </c>
      <c r="B624" s="1">
        <f>DATE(2011,5,11) + TIME(0,32,27)</f>
        <v>40674.022534722222</v>
      </c>
      <c r="C624">
        <v>80</v>
      </c>
      <c r="D624">
        <v>79.907562256000006</v>
      </c>
      <c r="E624">
        <v>40</v>
      </c>
      <c r="F624">
        <v>39.018848419000001</v>
      </c>
      <c r="G624">
        <v>1372.9813231999999</v>
      </c>
      <c r="H624">
        <v>1362.2022704999999</v>
      </c>
      <c r="I624">
        <v>1296.8671875</v>
      </c>
      <c r="J624">
        <v>1281.3111572</v>
      </c>
      <c r="K624">
        <v>1650</v>
      </c>
      <c r="L624">
        <v>0</v>
      </c>
      <c r="M624">
        <v>0</v>
      </c>
      <c r="N624">
        <v>1650</v>
      </c>
    </row>
    <row r="625" spans="1:14" x14ac:dyDescent="0.25">
      <c r="A625">
        <v>375.33991400000002</v>
      </c>
      <c r="B625" s="1">
        <f>DATE(2011,5,11) + TIME(8,9,28)</f>
        <v>40674.339907407404</v>
      </c>
      <c r="C625">
        <v>80</v>
      </c>
      <c r="D625">
        <v>79.908432007000002</v>
      </c>
      <c r="E625">
        <v>40</v>
      </c>
      <c r="F625">
        <v>38.993885040000002</v>
      </c>
      <c r="G625">
        <v>1372.9202881000001</v>
      </c>
      <c r="H625">
        <v>1362.1503906</v>
      </c>
      <c r="I625">
        <v>1296.8630370999999</v>
      </c>
      <c r="J625">
        <v>1281.3049315999999</v>
      </c>
      <c r="K625">
        <v>1650</v>
      </c>
      <c r="L625">
        <v>0</v>
      </c>
      <c r="M625">
        <v>0</v>
      </c>
      <c r="N625">
        <v>1650</v>
      </c>
    </row>
    <row r="626" spans="1:14" x14ac:dyDescent="0.25">
      <c r="A626">
        <v>375.66340400000001</v>
      </c>
      <c r="B626" s="1">
        <f>DATE(2011,5,11) + TIME(15,55,18)</f>
        <v>40674.663402777776</v>
      </c>
      <c r="C626">
        <v>80</v>
      </c>
      <c r="D626">
        <v>79.909156799000002</v>
      </c>
      <c r="E626">
        <v>40</v>
      </c>
      <c r="F626">
        <v>38.968574523999997</v>
      </c>
      <c r="G626">
        <v>1372.8596190999999</v>
      </c>
      <c r="H626">
        <v>1362.0991211</v>
      </c>
      <c r="I626">
        <v>1296.8588867000001</v>
      </c>
      <c r="J626">
        <v>1281.2987060999999</v>
      </c>
      <c r="K626">
        <v>1650</v>
      </c>
      <c r="L626">
        <v>0</v>
      </c>
      <c r="M626">
        <v>0</v>
      </c>
      <c r="N626">
        <v>1650</v>
      </c>
    </row>
    <row r="627" spans="1:14" x14ac:dyDescent="0.25">
      <c r="A627">
        <v>375.99379299999998</v>
      </c>
      <c r="B627" s="1">
        <f>DATE(2011,5,11) + TIME(23,51,3)</f>
        <v>40674.993784722225</v>
      </c>
      <c r="C627">
        <v>80</v>
      </c>
      <c r="D627">
        <v>79.909759520999998</v>
      </c>
      <c r="E627">
        <v>40</v>
      </c>
      <c r="F627">
        <v>38.942874908</v>
      </c>
      <c r="G627">
        <v>1372.7994385</v>
      </c>
      <c r="H627">
        <v>1362.0480957</v>
      </c>
      <c r="I627">
        <v>1296.8544922000001</v>
      </c>
      <c r="J627">
        <v>1281.2922363</v>
      </c>
      <c r="K627">
        <v>1650</v>
      </c>
      <c r="L627">
        <v>0</v>
      </c>
      <c r="M627">
        <v>0</v>
      </c>
      <c r="N627">
        <v>1650</v>
      </c>
    </row>
    <row r="628" spans="1:14" x14ac:dyDescent="0.25">
      <c r="A628">
        <v>376.330533</v>
      </c>
      <c r="B628" s="1">
        <f>DATE(2011,5,12) + TIME(7,55,58)</f>
        <v>40675.33053240741</v>
      </c>
      <c r="C628">
        <v>80</v>
      </c>
      <c r="D628">
        <v>79.910263061999999</v>
      </c>
      <c r="E628">
        <v>40</v>
      </c>
      <c r="F628">
        <v>38.916812897</v>
      </c>
      <c r="G628">
        <v>1372.7395019999999</v>
      </c>
      <c r="H628">
        <v>1361.9974365</v>
      </c>
      <c r="I628">
        <v>1296.8500977000001</v>
      </c>
      <c r="J628">
        <v>1281.2856445</v>
      </c>
      <c r="K628">
        <v>1650</v>
      </c>
      <c r="L628">
        <v>0</v>
      </c>
      <c r="M628">
        <v>0</v>
      </c>
      <c r="N628">
        <v>1650</v>
      </c>
    </row>
    <row r="629" spans="1:14" x14ac:dyDescent="0.25">
      <c r="A629">
        <v>376.67341099999999</v>
      </c>
      <c r="B629" s="1">
        <f>DATE(2011,5,12) + TIME(16,9,42)</f>
        <v>40675.673402777778</v>
      </c>
      <c r="C629">
        <v>80</v>
      </c>
      <c r="D629">
        <v>79.910690308</v>
      </c>
      <c r="E629">
        <v>40</v>
      </c>
      <c r="F629">
        <v>38.890407562</v>
      </c>
      <c r="G629">
        <v>1372.6798096</v>
      </c>
      <c r="H629">
        <v>1361.9470214999999</v>
      </c>
      <c r="I629">
        <v>1296.8455810999999</v>
      </c>
      <c r="J629">
        <v>1281.2789307</v>
      </c>
      <c r="K629">
        <v>1650</v>
      </c>
      <c r="L629">
        <v>0</v>
      </c>
      <c r="M629">
        <v>0</v>
      </c>
      <c r="N629">
        <v>1650</v>
      </c>
    </row>
    <row r="630" spans="1:14" x14ac:dyDescent="0.25">
      <c r="A630">
        <v>377.02319699999998</v>
      </c>
      <c r="B630" s="1">
        <f>DATE(2011,5,13) + TIME(0,33,24)</f>
        <v>40676.023194444446</v>
      </c>
      <c r="C630">
        <v>80</v>
      </c>
      <c r="D630">
        <v>79.911041260000005</v>
      </c>
      <c r="E630">
        <v>40</v>
      </c>
      <c r="F630">
        <v>38.863613129000001</v>
      </c>
      <c r="G630">
        <v>1372.6204834</v>
      </c>
      <c r="H630">
        <v>1361.8969727000001</v>
      </c>
      <c r="I630">
        <v>1296.8409423999999</v>
      </c>
      <c r="J630">
        <v>1281.2720947</v>
      </c>
      <c r="K630">
        <v>1650</v>
      </c>
      <c r="L630">
        <v>0</v>
      </c>
      <c r="M630">
        <v>0</v>
      </c>
      <c r="N630">
        <v>1650</v>
      </c>
    </row>
    <row r="631" spans="1:14" x14ac:dyDescent="0.25">
      <c r="A631">
        <v>377.380695</v>
      </c>
      <c r="B631" s="1">
        <f>DATE(2011,5,13) + TIME(9,8,12)</f>
        <v>40676.380694444444</v>
      </c>
      <c r="C631">
        <v>80</v>
      </c>
      <c r="D631">
        <v>79.911338806000003</v>
      </c>
      <c r="E631">
        <v>40</v>
      </c>
      <c r="F631">
        <v>38.836380005000002</v>
      </c>
      <c r="G631">
        <v>1372.5615233999999</v>
      </c>
      <c r="H631">
        <v>1361.847168</v>
      </c>
      <c r="I631">
        <v>1296.8361815999999</v>
      </c>
      <c r="J631">
        <v>1281.2650146000001</v>
      </c>
      <c r="K631">
        <v>1650</v>
      </c>
      <c r="L631">
        <v>0</v>
      </c>
      <c r="M631">
        <v>0</v>
      </c>
      <c r="N631">
        <v>1650</v>
      </c>
    </row>
    <row r="632" spans="1:14" x14ac:dyDescent="0.25">
      <c r="A632">
        <v>377.74677800000001</v>
      </c>
      <c r="B632" s="1">
        <f>DATE(2011,5,13) + TIME(17,55,21)</f>
        <v>40676.746770833335</v>
      </c>
      <c r="C632">
        <v>80</v>
      </c>
      <c r="D632">
        <v>79.911598205999994</v>
      </c>
      <c r="E632">
        <v>40</v>
      </c>
      <c r="F632">
        <v>38.808658600000001</v>
      </c>
      <c r="G632">
        <v>1372.5025635</v>
      </c>
      <c r="H632">
        <v>1361.7976074000001</v>
      </c>
      <c r="I632">
        <v>1296.8312988</v>
      </c>
      <c r="J632">
        <v>1281.2578125</v>
      </c>
      <c r="K632">
        <v>1650</v>
      </c>
      <c r="L632">
        <v>0</v>
      </c>
      <c r="M632">
        <v>0</v>
      </c>
      <c r="N632">
        <v>1650</v>
      </c>
    </row>
    <row r="633" spans="1:14" x14ac:dyDescent="0.25">
      <c r="A633">
        <v>378.12239699999998</v>
      </c>
      <c r="B633" s="1">
        <f>DATE(2011,5,14) + TIME(2,56,15)</f>
        <v>40677.122395833336</v>
      </c>
      <c r="C633">
        <v>80</v>
      </c>
      <c r="D633">
        <v>79.911811829000001</v>
      </c>
      <c r="E633">
        <v>40</v>
      </c>
      <c r="F633">
        <v>38.780395507999998</v>
      </c>
      <c r="G633">
        <v>1372.4436035000001</v>
      </c>
      <c r="H633">
        <v>1361.7480469</v>
      </c>
      <c r="I633">
        <v>1296.8262939000001</v>
      </c>
      <c r="J633">
        <v>1281.2503661999999</v>
      </c>
      <c r="K633">
        <v>1650</v>
      </c>
      <c r="L633">
        <v>0</v>
      </c>
      <c r="M633">
        <v>0</v>
      </c>
      <c r="N633">
        <v>1650</v>
      </c>
    </row>
    <row r="634" spans="1:14" x14ac:dyDescent="0.25">
      <c r="A634">
        <v>378.5086</v>
      </c>
      <c r="B634" s="1">
        <f>DATE(2011,5,14) + TIME(12,12,23)</f>
        <v>40677.508599537039</v>
      </c>
      <c r="C634">
        <v>80</v>
      </c>
      <c r="D634">
        <v>79.911994934000006</v>
      </c>
      <c r="E634">
        <v>40</v>
      </c>
      <c r="F634">
        <v>38.751518249999997</v>
      </c>
      <c r="G634">
        <v>1372.3845214999999</v>
      </c>
      <c r="H634">
        <v>1361.6984863</v>
      </c>
      <c r="I634">
        <v>1296.8210449000001</v>
      </c>
      <c r="J634">
        <v>1281.2427978999999</v>
      </c>
      <c r="K634">
        <v>1650</v>
      </c>
      <c r="L634">
        <v>0</v>
      </c>
      <c r="M634">
        <v>0</v>
      </c>
      <c r="N634">
        <v>1650</v>
      </c>
    </row>
    <row r="635" spans="1:14" x14ac:dyDescent="0.25">
      <c r="A635">
        <v>378.90654999999998</v>
      </c>
      <c r="B635" s="1">
        <f>DATE(2011,5,14) + TIME(21,45,25)</f>
        <v>40677.906539351854</v>
      </c>
      <c r="C635">
        <v>80</v>
      </c>
      <c r="D635">
        <v>79.912147521999998</v>
      </c>
      <c r="E635">
        <v>40</v>
      </c>
      <c r="F635">
        <v>38.721961974999999</v>
      </c>
      <c r="G635">
        <v>1372.3251952999999</v>
      </c>
      <c r="H635">
        <v>1361.6486815999999</v>
      </c>
      <c r="I635">
        <v>1296.8157959</v>
      </c>
      <c r="J635">
        <v>1281.2348632999999</v>
      </c>
      <c r="K635">
        <v>1650</v>
      </c>
      <c r="L635">
        <v>0</v>
      </c>
      <c r="M635">
        <v>0</v>
      </c>
      <c r="N635">
        <v>1650</v>
      </c>
    </row>
    <row r="636" spans="1:14" x14ac:dyDescent="0.25">
      <c r="A636">
        <v>379.31754999999998</v>
      </c>
      <c r="B636" s="1">
        <f>DATE(2011,5,15) + TIME(7,37,16)</f>
        <v>40678.317546296297</v>
      </c>
      <c r="C636">
        <v>80</v>
      </c>
      <c r="D636">
        <v>79.912277222</v>
      </c>
      <c r="E636">
        <v>40</v>
      </c>
      <c r="F636">
        <v>38.691650391000003</v>
      </c>
      <c r="G636">
        <v>1372.2653809000001</v>
      </c>
      <c r="H636">
        <v>1361.5986327999999</v>
      </c>
      <c r="I636">
        <v>1296.8101807</v>
      </c>
      <c r="J636">
        <v>1281.2266846</v>
      </c>
      <c r="K636">
        <v>1650</v>
      </c>
      <c r="L636">
        <v>0</v>
      </c>
      <c r="M636">
        <v>0</v>
      </c>
      <c r="N636">
        <v>1650</v>
      </c>
    </row>
    <row r="637" spans="1:14" x14ac:dyDescent="0.25">
      <c r="A637">
        <v>379.74314299999998</v>
      </c>
      <c r="B637" s="1">
        <f>DATE(2011,5,15) + TIME(17,50,7)</f>
        <v>40678.743136574078</v>
      </c>
      <c r="C637">
        <v>80</v>
      </c>
      <c r="D637">
        <v>79.912391662999994</v>
      </c>
      <c r="E637">
        <v>40</v>
      </c>
      <c r="F637">
        <v>38.660484314000001</v>
      </c>
      <c r="G637">
        <v>1372.2050781</v>
      </c>
      <c r="H637">
        <v>1361.5480957</v>
      </c>
      <c r="I637">
        <v>1296.8044434000001</v>
      </c>
      <c r="J637">
        <v>1281.2182617000001</v>
      </c>
      <c r="K637">
        <v>1650</v>
      </c>
      <c r="L637">
        <v>0</v>
      </c>
      <c r="M637">
        <v>0</v>
      </c>
      <c r="N637">
        <v>1650</v>
      </c>
    </row>
    <row r="638" spans="1:14" x14ac:dyDescent="0.25">
      <c r="A638">
        <v>380.18516</v>
      </c>
      <c r="B638" s="1">
        <f>DATE(2011,5,16) + TIME(4,26,37)</f>
        <v>40679.185150462959</v>
      </c>
      <c r="C638">
        <v>80</v>
      </c>
      <c r="D638">
        <v>79.912483214999995</v>
      </c>
      <c r="E638">
        <v>40</v>
      </c>
      <c r="F638">
        <v>38.628364562999998</v>
      </c>
      <c r="G638">
        <v>1372.1441649999999</v>
      </c>
      <c r="H638">
        <v>1361.4971923999999</v>
      </c>
      <c r="I638">
        <v>1296.7985839999999</v>
      </c>
      <c r="J638">
        <v>1281.2094727000001</v>
      </c>
      <c r="K638">
        <v>1650</v>
      </c>
      <c r="L638">
        <v>0</v>
      </c>
      <c r="M638">
        <v>0</v>
      </c>
      <c r="N638">
        <v>1650</v>
      </c>
    </row>
    <row r="639" spans="1:14" x14ac:dyDescent="0.25">
      <c r="A639">
        <v>380.63647500000002</v>
      </c>
      <c r="B639" s="1">
        <f>DATE(2011,5,16) + TIME(15,16,31)</f>
        <v>40679.636469907404</v>
      </c>
      <c r="C639">
        <v>80</v>
      </c>
      <c r="D639">
        <v>79.912559509000005</v>
      </c>
      <c r="E639">
        <v>40</v>
      </c>
      <c r="F639">
        <v>38.595649719000001</v>
      </c>
      <c r="G639">
        <v>1372.0822754000001</v>
      </c>
      <c r="H639">
        <v>1361.4454346</v>
      </c>
      <c r="I639">
        <v>1296.7922363</v>
      </c>
      <c r="J639">
        <v>1281.2003173999999</v>
      </c>
      <c r="K639">
        <v>1650</v>
      </c>
      <c r="L639">
        <v>0</v>
      </c>
      <c r="M639">
        <v>0</v>
      </c>
      <c r="N639">
        <v>1650</v>
      </c>
    </row>
    <row r="640" spans="1:14" x14ac:dyDescent="0.25">
      <c r="A640">
        <v>381.08964200000003</v>
      </c>
      <c r="B640" s="1">
        <f>DATE(2011,5,17) + TIME(2,9,5)</f>
        <v>40680.089641203704</v>
      </c>
      <c r="C640">
        <v>80</v>
      </c>
      <c r="D640">
        <v>79.912612914999997</v>
      </c>
      <c r="E640">
        <v>40</v>
      </c>
      <c r="F640">
        <v>38.562763214</v>
      </c>
      <c r="G640">
        <v>1372.0206298999999</v>
      </c>
      <c r="H640">
        <v>1361.3939209</v>
      </c>
      <c r="I640">
        <v>1296.7857666</v>
      </c>
      <c r="J640">
        <v>1281.190918</v>
      </c>
      <c r="K640">
        <v>1650</v>
      </c>
      <c r="L640">
        <v>0</v>
      </c>
      <c r="M640">
        <v>0</v>
      </c>
      <c r="N640">
        <v>1650</v>
      </c>
    </row>
    <row r="641" spans="1:14" x14ac:dyDescent="0.25">
      <c r="A641">
        <v>381.54577</v>
      </c>
      <c r="B641" s="1">
        <f>DATE(2011,5,17) + TIME(13,5,54)</f>
        <v>40680.545763888891</v>
      </c>
      <c r="C641">
        <v>80</v>
      </c>
      <c r="D641">
        <v>79.912658691000004</v>
      </c>
      <c r="E641">
        <v>40</v>
      </c>
      <c r="F641">
        <v>38.529697417999998</v>
      </c>
      <c r="G641">
        <v>1371.9600829999999</v>
      </c>
      <c r="H641">
        <v>1361.3435059000001</v>
      </c>
      <c r="I641">
        <v>1296.7791748</v>
      </c>
      <c r="J641">
        <v>1281.1813964999999</v>
      </c>
      <c r="K641">
        <v>1650</v>
      </c>
      <c r="L641">
        <v>0</v>
      </c>
      <c r="M641">
        <v>0</v>
      </c>
      <c r="N641">
        <v>1650</v>
      </c>
    </row>
    <row r="642" spans="1:14" x14ac:dyDescent="0.25">
      <c r="A642">
        <v>382.00611400000003</v>
      </c>
      <c r="B642" s="1">
        <f>DATE(2011,5,18) + TIME(0,8,48)</f>
        <v>40681.006111111114</v>
      </c>
      <c r="C642">
        <v>80</v>
      </c>
      <c r="D642">
        <v>79.912696838000002</v>
      </c>
      <c r="E642">
        <v>40</v>
      </c>
      <c r="F642">
        <v>38.496417999000002</v>
      </c>
      <c r="G642">
        <v>1371.9005127</v>
      </c>
      <c r="H642">
        <v>1361.2939452999999</v>
      </c>
      <c r="I642">
        <v>1296.7725829999999</v>
      </c>
      <c r="J642">
        <v>1281.1717529</v>
      </c>
      <c r="K642">
        <v>1650</v>
      </c>
      <c r="L642">
        <v>0</v>
      </c>
      <c r="M642">
        <v>0</v>
      </c>
      <c r="N642">
        <v>1650</v>
      </c>
    </row>
    <row r="643" spans="1:14" x14ac:dyDescent="0.25">
      <c r="A643">
        <v>382.47154499999999</v>
      </c>
      <c r="B643" s="1">
        <f>DATE(2011,5,18) + TIME(11,19,1)</f>
        <v>40681.471539351849</v>
      </c>
      <c r="C643">
        <v>80</v>
      </c>
      <c r="D643">
        <v>79.912719726999995</v>
      </c>
      <c r="E643">
        <v>40</v>
      </c>
      <c r="F643">
        <v>38.462898254000002</v>
      </c>
      <c r="G643">
        <v>1371.8416748</v>
      </c>
      <c r="H643">
        <v>1361.2449951000001</v>
      </c>
      <c r="I643">
        <v>1296.7658690999999</v>
      </c>
      <c r="J643">
        <v>1281.1618652</v>
      </c>
      <c r="K643">
        <v>1650</v>
      </c>
      <c r="L643">
        <v>0</v>
      </c>
      <c r="M643">
        <v>0</v>
      </c>
      <c r="N643">
        <v>1650</v>
      </c>
    </row>
    <row r="644" spans="1:14" x14ac:dyDescent="0.25">
      <c r="A644">
        <v>382.94313699999998</v>
      </c>
      <c r="B644" s="1">
        <f>DATE(2011,5,18) + TIME(22,38,7)</f>
        <v>40681.943136574075</v>
      </c>
      <c r="C644">
        <v>80</v>
      </c>
      <c r="D644">
        <v>79.912734985</v>
      </c>
      <c r="E644">
        <v>40</v>
      </c>
      <c r="F644">
        <v>38.429088593000003</v>
      </c>
      <c r="G644">
        <v>1371.7835693</v>
      </c>
      <c r="H644">
        <v>1361.1965332</v>
      </c>
      <c r="I644">
        <v>1296.7590332</v>
      </c>
      <c r="J644">
        <v>1281.1519774999999</v>
      </c>
      <c r="K644">
        <v>1650</v>
      </c>
      <c r="L644">
        <v>0</v>
      </c>
      <c r="M644">
        <v>0</v>
      </c>
      <c r="N644">
        <v>1650</v>
      </c>
    </row>
    <row r="645" spans="1:14" x14ac:dyDescent="0.25">
      <c r="A645">
        <v>383.42199599999998</v>
      </c>
      <c r="B645" s="1">
        <f>DATE(2011,5,19) + TIME(10,7,40)</f>
        <v>40682.421990740739</v>
      </c>
      <c r="C645">
        <v>80</v>
      </c>
      <c r="D645">
        <v>79.912750243999994</v>
      </c>
      <c r="E645">
        <v>40</v>
      </c>
      <c r="F645">
        <v>38.394943237</v>
      </c>
      <c r="G645">
        <v>1371.7258300999999</v>
      </c>
      <c r="H645">
        <v>1361.1486815999999</v>
      </c>
      <c r="I645">
        <v>1296.7520752</v>
      </c>
      <c r="J645">
        <v>1281.1417236</v>
      </c>
      <c r="K645">
        <v>1650</v>
      </c>
      <c r="L645">
        <v>0</v>
      </c>
      <c r="M645">
        <v>0</v>
      </c>
      <c r="N645">
        <v>1650</v>
      </c>
    </row>
    <row r="646" spans="1:14" x14ac:dyDescent="0.25">
      <c r="A646">
        <v>383.90927199999999</v>
      </c>
      <c r="B646" s="1">
        <f>DATE(2011,5,19) + TIME(21,49,21)</f>
        <v>40682.909270833334</v>
      </c>
      <c r="C646">
        <v>80</v>
      </c>
      <c r="D646">
        <v>79.912757873999993</v>
      </c>
      <c r="E646">
        <v>40</v>
      </c>
      <c r="F646">
        <v>38.360393524000003</v>
      </c>
      <c r="G646">
        <v>1371.6685791</v>
      </c>
      <c r="H646">
        <v>1361.1010742000001</v>
      </c>
      <c r="I646">
        <v>1296.7449951000001</v>
      </c>
      <c r="J646">
        <v>1281.1313477000001</v>
      </c>
      <c r="K646">
        <v>1650</v>
      </c>
      <c r="L646">
        <v>0</v>
      </c>
      <c r="M646">
        <v>0</v>
      </c>
      <c r="N646">
        <v>1650</v>
      </c>
    </row>
    <row r="647" spans="1:14" x14ac:dyDescent="0.25">
      <c r="A647">
        <v>384.406184</v>
      </c>
      <c r="B647" s="1">
        <f>DATE(2011,5,20) + TIME(9,44,54)</f>
        <v>40683.406180555554</v>
      </c>
      <c r="C647">
        <v>80</v>
      </c>
      <c r="D647">
        <v>79.912757873999993</v>
      </c>
      <c r="E647">
        <v>40</v>
      </c>
      <c r="F647">
        <v>38.325374603</v>
      </c>
      <c r="G647">
        <v>1371.6114502</v>
      </c>
      <c r="H647">
        <v>1361.0535889</v>
      </c>
      <c r="I647">
        <v>1296.7376709</v>
      </c>
      <c r="J647">
        <v>1281.1206055</v>
      </c>
      <c r="K647">
        <v>1650</v>
      </c>
      <c r="L647">
        <v>0</v>
      </c>
      <c r="M647">
        <v>0</v>
      </c>
      <c r="N647">
        <v>1650</v>
      </c>
    </row>
    <row r="648" spans="1:14" x14ac:dyDescent="0.25">
      <c r="A648">
        <v>384.91404499999999</v>
      </c>
      <c r="B648" s="1">
        <f>DATE(2011,5,20) + TIME(21,56,13)</f>
        <v>40683.914039351854</v>
      </c>
      <c r="C648">
        <v>80</v>
      </c>
      <c r="D648">
        <v>79.912750243999994</v>
      </c>
      <c r="E648">
        <v>40</v>
      </c>
      <c r="F648">
        <v>38.289806366000001</v>
      </c>
      <c r="G648">
        <v>1371.5543213000001</v>
      </c>
      <c r="H648">
        <v>1361.0063477000001</v>
      </c>
      <c r="I648">
        <v>1296.7302245999999</v>
      </c>
      <c r="J648">
        <v>1281.1096190999999</v>
      </c>
      <c r="K648">
        <v>1650</v>
      </c>
      <c r="L648">
        <v>0</v>
      </c>
      <c r="M648">
        <v>0</v>
      </c>
      <c r="N648">
        <v>1650</v>
      </c>
    </row>
    <row r="649" spans="1:14" x14ac:dyDescent="0.25">
      <c r="A649">
        <v>385.43328600000001</v>
      </c>
      <c r="B649" s="1">
        <f>DATE(2011,5,21) + TIME(10,23,55)</f>
        <v>40684.433275462965</v>
      </c>
      <c r="C649">
        <v>80</v>
      </c>
      <c r="D649">
        <v>79.912750243999994</v>
      </c>
      <c r="E649">
        <v>40</v>
      </c>
      <c r="F649">
        <v>38.253662108999997</v>
      </c>
      <c r="G649">
        <v>1371.4971923999999</v>
      </c>
      <c r="H649">
        <v>1360.9589844</v>
      </c>
      <c r="I649">
        <v>1296.7225341999999</v>
      </c>
      <c r="J649">
        <v>1281.0983887</v>
      </c>
      <c r="K649">
        <v>1650</v>
      </c>
      <c r="L649">
        <v>0</v>
      </c>
      <c r="M649">
        <v>0</v>
      </c>
      <c r="N649">
        <v>1650</v>
      </c>
    </row>
    <row r="650" spans="1:14" x14ac:dyDescent="0.25">
      <c r="A650">
        <v>385.96141599999999</v>
      </c>
      <c r="B650" s="1">
        <f>DATE(2011,5,21) + TIME(23,4,26)</f>
        <v>40684.961412037039</v>
      </c>
      <c r="C650">
        <v>80</v>
      </c>
      <c r="D650">
        <v>79.912742614999999</v>
      </c>
      <c r="E650">
        <v>40</v>
      </c>
      <c r="F650">
        <v>38.217048644999998</v>
      </c>
      <c r="G650">
        <v>1371.4399414</v>
      </c>
      <c r="H650">
        <v>1360.911499</v>
      </c>
      <c r="I650">
        <v>1296.7145995999999</v>
      </c>
      <c r="J650">
        <v>1281.0866699000001</v>
      </c>
      <c r="K650">
        <v>1650</v>
      </c>
      <c r="L650">
        <v>0</v>
      </c>
      <c r="M650">
        <v>0</v>
      </c>
      <c r="N650">
        <v>1650</v>
      </c>
    </row>
    <row r="651" spans="1:14" x14ac:dyDescent="0.25">
      <c r="A651">
        <v>386.49972200000002</v>
      </c>
      <c r="B651" s="1">
        <f>DATE(2011,5,22) + TIME(11,59,35)</f>
        <v>40685.499710648146</v>
      </c>
      <c r="C651">
        <v>80</v>
      </c>
      <c r="D651">
        <v>79.912727356000005</v>
      </c>
      <c r="E651">
        <v>40</v>
      </c>
      <c r="F651">
        <v>38.179912567000002</v>
      </c>
      <c r="G651">
        <v>1371.3829346</v>
      </c>
      <c r="H651">
        <v>1360.8643798999999</v>
      </c>
      <c r="I651">
        <v>1296.7064209</v>
      </c>
      <c r="J651">
        <v>1281.074707</v>
      </c>
      <c r="K651">
        <v>1650</v>
      </c>
      <c r="L651">
        <v>0</v>
      </c>
      <c r="M651">
        <v>0</v>
      </c>
      <c r="N651">
        <v>1650</v>
      </c>
    </row>
    <row r="652" spans="1:14" x14ac:dyDescent="0.25">
      <c r="A652">
        <v>387.04954099999998</v>
      </c>
      <c r="B652" s="1">
        <f>DATE(2011,5,23) + TIME(1,11,20)</f>
        <v>40686.049537037034</v>
      </c>
      <c r="C652">
        <v>80</v>
      </c>
      <c r="D652">
        <v>79.912719726999995</v>
      </c>
      <c r="E652">
        <v>40</v>
      </c>
      <c r="F652">
        <v>38.142185210999997</v>
      </c>
      <c r="G652">
        <v>1371.3259277</v>
      </c>
      <c r="H652">
        <v>1360.8171387</v>
      </c>
      <c r="I652">
        <v>1296.6979980000001</v>
      </c>
      <c r="J652">
        <v>1281.0625</v>
      </c>
      <c r="K652">
        <v>1650</v>
      </c>
      <c r="L652">
        <v>0</v>
      </c>
      <c r="M652">
        <v>0</v>
      </c>
      <c r="N652">
        <v>1650</v>
      </c>
    </row>
    <row r="653" spans="1:14" x14ac:dyDescent="0.25">
      <c r="A653">
        <v>387.612324</v>
      </c>
      <c r="B653" s="1">
        <f>DATE(2011,5,23) + TIME(14,41,44)</f>
        <v>40686.612314814818</v>
      </c>
      <c r="C653">
        <v>80</v>
      </c>
      <c r="D653">
        <v>79.912704468000001</v>
      </c>
      <c r="E653">
        <v>40</v>
      </c>
      <c r="F653">
        <v>38.103790283000002</v>
      </c>
      <c r="G653">
        <v>1371.2689209</v>
      </c>
      <c r="H653">
        <v>1360.7700195</v>
      </c>
      <c r="I653">
        <v>1296.6894531</v>
      </c>
      <c r="J653">
        <v>1281.0498047000001</v>
      </c>
      <c r="K653">
        <v>1650</v>
      </c>
      <c r="L653">
        <v>0</v>
      </c>
      <c r="M653">
        <v>0</v>
      </c>
      <c r="N653">
        <v>1650</v>
      </c>
    </row>
    <row r="654" spans="1:14" x14ac:dyDescent="0.25">
      <c r="A654">
        <v>388.18966399999999</v>
      </c>
      <c r="B654" s="1">
        <f>DATE(2011,5,24) + TIME(4,33,6)</f>
        <v>40687.189652777779</v>
      </c>
      <c r="C654">
        <v>80</v>
      </c>
      <c r="D654">
        <v>79.912689209000007</v>
      </c>
      <c r="E654">
        <v>40</v>
      </c>
      <c r="F654">
        <v>38.064643859999997</v>
      </c>
      <c r="G654">
        <v>1371.2116699000001</v>
      </c>
      <c r="H654">
        <v>1360.7227783000001</v>
      </c>
      <c r="I654">
        <v>1296.6805420000001</v>
      </c>
      <c r="J654">
        <v>1281.0367432</v>
      </c>
      <c r="K654">
        <v>1650</v>
      </c>
      <c r="L654">
        <v>0</v>
      </c>
      <c r="M654">
        <v>0</v>
      </c>
      <c r="N654">
        <v>1650</v>
      </c>
    </row>
    <row r="655" spans="1:14" x14ac:dyDescent="0.25">
      <c r="A655">
        <v>388.78332399999999</v>
      </c>
      <c r="B655" s="1">
        <f>DATE(2011,5,24) + TIME(18,47,59)</f>
        <v>40687.783321759256</v>
      </c>
      <c r="C655">
        <v>80</v>
      </c>
      <c r="D655">
        <v>79.912673949999999</v>
      </c>
      <c r="E655">
        <v>40</v>
      </c>
      <c r="F655">
        <v>38.024650573999999</v>
      </c>
      <c r="G655">
        <v>1371.1541748</v>
      </c>
      <c r="H655">
        <v>1360.675293</v>
      </c>
      <c r="I655">
        <v>1296.6712646000001</v>
      </c>
      <c r="J655">
        <v>1281.0230713000001</v>
      </c>
      <c r="K655">
        <v>1650</v>
      </c>
      <c r="L655">
        <v>0</v>
      </c>
      <c r="M655">
        <v>0</v>
      </c>
      <c r="N655">
        <v>1650</v>
      </c>
    </row>
    <row r="656" spans="1:14" x14ac:dyDescent="0.25">
      <c r="A656">
        <v>389.39506299999999</v>
      </c>
      <c r="B656" s="1">
        <f>DATE(2011,5,25) + TIME(9,28,53)</f>
        <v>40688.395057870373</v>
      </c>
      <c r="C656">
        <v>80</v>
      </c>
      <c r="D656">
        <v>79.912658691000004</v>
      </c>
      <c r="E656">
        <v>40</v>
      </c>
      <c r="F656">
        <v>37.983703613000003</v>
      </c>
      <c r="G656">
        <v>1371.0961914</v>
      </c>
      <c r="H656">
        <v>1360.6273193</v>
      </c>
      <c r="I656">
        <v>1296.6617432</v>
      </c>
      <c r="J656">
        <v>1281.0090332</v>
      </c>
      <c r="K656">
        <v>1650</v>
      </c>
      <c r="L656">
        <v>0</v>
      </c>
      <c r="M656">
        <v>0</v>
      </c>
      <c r="N656">
        <v>1650</v>
      </c>
    </row>
    <row r="657" spans="1:14" x14ac:dyDescent="0.25">
      <c r="A657">
        <v>390.01197100000002</v>
      </c>
      <c r="B657" s="1">
        <f>DATE(2011,5,26) + TIME(0,17,14)</f>
        <v>40689.011967592596</v>
      </c>
      <c r="C657">
        <v>80</v>
      </c>
      <c r="D657">
        <v>79.912643433</v>
      </c>
      <c r="E657">
        <v>40</v>
      </c>
      <c r="F657">
        <v>37.942359924000002</v>
      </c>
      <c r="G657">
        <v>1371.0375977000001</v>
      </c>
      <c r="H657">
        <v>1360.5789795000001</v>
      </c>
      <c r="I657">
        <v>1296.6517334</v>
      </c>
      <c r="J657">
        <v>1280.9943848</v>
      </c>
      <c r="K657">
        <v>1650</v>
      </c>
      <c r="L657">
        <v>0</v>
      </c>
      <c r="M657">
        <v>0</v>
      </c>
      <c r="N657">
        <v>1650</v>
      </c>
    </row>
    <row r="658" spans="1:14" x14ac:dyDescent="0.25">
      <c r="A658">
        <v>390.63091100000003</v>
      </c>
      <c r="B658" s="1">
        <f>DATE(2011,5,26) + TIME(15,8,30)</f>
        <v>40689.630902777775</v>
      </c>
      <c r="C658">
        <v>80</v>
      </c>
      <c r="D658">
        <v>79.912628174000005</v>
      </c>
      <c r="E658">
        <v>40</v>
      </c>
      <c r="F658">
        <v>37.900833130000002</v>
      </c>
      <c r="G658">
        <v>1370.9797363</v>
      </c>
      <c r="H658">
        <v>1360.53125</v>
      </c>
      <c r="I658">
        <v>1296.6414795000001</v>
      </c>
      <c r="J658">
        <v>1280.9794922000001</v>
      </c>
      <c r="K658">
        <v>1650</v>
      </c>
      <c r="L658">
        <v>0</v>
      </c>
      <c r="M658">
        <v>0</v>
      </c>
      <c r="N658">
        <v>1650</v>
      </c>
    </row>
    <row r="659" spans="1:14" x14ac:dyDescent="0.25">
      <c r="A659">
        <v>391.25307700000002</v>
      </c>
      <c r="B659" s="1">
        <f>DATE(2011,5,27) + TIME(6,4,25)</f>
        <v>40690.253067129626</v>
      </c>
      <c r="C659">
        <v>80</v>
      </c>
      <c r="D659">
        <v>79.912605286000002</v>
      </c>
      <c r="E659">
        <v>40</v>
      </c>
      <c r="F659">
        <v>37.859138489000003</v>
      </c>
      <c r="G659">
        <v>1370.9228516000001</v>
      </c>
      <c r="H659">
        <v>1360.4842529</v>
      </c>
      <c r="I659">
        <v>1296.6311035000001</v>
      </c>
      <c r="J659">
        <v>1280.9642334</v>
      </c>
      <c r="K659">
        <v>1650</v>
      </c>
      <c r="L659">
        <v>0</v>
      </c>
      <c r="M659">
        <v>0</v>
      </c>
      <c r="N659">
        <v>1650</v>
      </c>
    </row>
    <row r="660" spans="1:14" x14ac:dyDescent="0.25">
      <c r="A660">
        <v>391.87998499999998</v>
      </c>
      <c r="B660" s="1">
        <f>DATE(2011,5,27) + TIME(21,7,10)</f>
        <v>40690.879976851851</v>
      </c>
      <c r="C660">
        <v>80</v>
      </c>
      <c r="D660">
        <v>79.912590026999993</v>
      </c>
      <c r="E660">
        <v>40</v>
      </c>
      <c r="F660">
        <v>37.817241668999998</v>
      </c>
      <c r="G660">
        <v>1370.8665771000001</v>
      </c>
      <c r="H660">
        <v>1360.4379882999999</v>
      </c>
      <c r="I660">
        <v>1296.6206055</v>
      </c>
      <c r="J660">
        <v>1280.9487305</v>
      </c>
      <c r="K660">
        <v>1650</v>
      </c>
      <c r="L660">
        <v>0</v>
      </c>
      <c r="M660">
        <v>0</v>
      </c>
      <c r="N660">
        <v>1650</v>
      </c>
    </row>
    <row r="661" spans="1:14" x14ac:dyDescent="0.25">
      <c r="A661">
        <v>392.51305300000001</v>
      </c>
      <c r="B661" s="1">
        <f>DATE(2011,5,28) + TIME(12,18,47)</f>
        <v>40691.513043981482</v>
      </c>
      <c r="C661">
        <v>80</v>
      </c>
      <c r="D661">
        <v>79.912574767999999</v>
      </c>
      <c r="E661">
        <v>40</v>
      </c>
      <c r="F661">
        <v>37.775100707999997</v>
      </c>
      <c r="G661">
        <v>1370.8111572</v>
      </c>
      <c r="H661">
        <v>1360.3922118999999</v>
      </c>
      <c r="I661">
        <v>1296.6099853999999</v>
      </c>
      <c r="J661">
        <v>1280.9329834</v>
      </c>
      <c r="K661">
        <v>1650</v>
      </c>
      <c r="L661">
        <v>0</v>
      </c>
      <c r="M661">
        <v>0</v>
      </c>
      <c r="N661">
        <v>1650</v>
      </c>
    </row>
    <row r="662" spans="1:14" x14ac:dyDescent="0.25">
      <c r="A662">
        <v>393.15354300000001</v>
      </c>
      <c r="B662" s="1">
        <f>DATE(2011,5,29) + TIME(3,41,6)</f>
        <v>40692.153541666667</v>
      </c>
      <c r="C662">
        <v>80</v>
      </c>
      <c r="D662">
        <v>79.912559509000005</v>
      </c>
      <c r="E662">
        <v>40</v>
      </c>
      <c r="F662">
        <v>37.732646942000002</v>
      </c>
      <c r="G662">
        <v>1370.7561035000001</v>
      </c>
      <c r="H662">
        <v>1360.3468018000001</v>
      </c>
      <c r="I662">
        <v>1296.5991211</v>
      </c>
      <c r="J662">
        <v>1280.9168701000001</v>
      </c>
      <c r="K662">
        <v>1650</v>
      </c>
      <c r="L662">
        <v>0</v>
      </c>
      <c r="M662">
        <v>0</v>
      </c>
      <c r="N662">
        <v>1650</v>
      </c>
    </row>
    <row r="663" spans="1:14" x14ac:dyDescent="0.25">
      <c r="A663">
        <v>393.80289800000003</v>
      </c>
      <c r="B663" s="1">
        <f>DATE(2011,5,29) + TIME(19,16,10)</f>
        <v>40692.802893518521</v>
      </c>
      <c r="C663">
        <v>80</v>
      </c>
      <c r="D663">
        <v>79.912551879999995</v>
      </c>
      <c r="E663">
        <v>40</v>
      </c>
      <c r="F663">
        <v>37.689815521</v>
      </c>
      <c r="G663">
        <v>1370.7014160000001</v>
      </c>
      <c r="H663">
        <v>1360.3017577999999</v>
      </c>
      <c r="I663">
        <v>1296.5880127</v>
      </c>
      <c r="J663">
        <v>1280.9003906</v>
      </c>
      <c r="K663">
        <v>1650</v>
      </c>
      <c r="L663">
        <v>0</v>
      </c>
      <c r="M663">
        <v>0</v>
      </c>
      <c r="N663">
        <v>1650</v>
      </c>
    </row>
    <row r="664" spans="1:14" x14ac:dyDescent="0.25">
      <c r="A664">
        <v>394.46262999999999</v>
      </c>
      <c r="B664" s="1">
        <f>DATE(2011,5,30) + TIME(11,6,11)</f>
        <v>40693.462627314817</v>
      </c>
      <c r="C664">
        <v>80</v>
      </c>
      <c r="D664">
        <v>79.912536621000001</v>
      </c>
      <c r="E664">
        <v>40</v>
      </c>
      <c r="F664">
        <v>37.646514893000003</v>
      </c>
      <c r="G664">
        <v>1370.6469727000001</v>
      </c>
      <c r="H664">
        <v>1360.2568358999999</v>
      </c>
      <c r="I664">
        <v>1296.5765381000001</v>
      </c>
      <c r="J664">
        <v>1280.8833007999999</v>
      </c>
      <c r="K664">
        <v>1650</v>
      </c>
      <c r="L664">
        <v>0</v>
      </c>
      <c r="M664">
        <v>0</v>
      </c>
      <c r="N664">
        <v>1650</v>
      </c>
    </row>
    <row r="665" spans="1:14" x14ac:dyDescent="0.25">
      <c r="A665">
        <v>395.134319</v>
      </c>
      <c r="B665" s="1">
        <f>DATE(2011,5,31) + TIME(3,13,25)</f>
        <v>40694.134317129632</v>
      </c>
      <c r="C665">
        <v>80</v>
      </c>
      <c r="D665">
        <v>79.912521362000007</v>
      </c>
      <c r="E665">
        <v>40</v>
      </c>
      <c r="F665">
        <v>37.602661132999998</v>
      </c>
      <c r="G665">
        <v>1370.5926514</v>
      </c>
      <c r="H665">
        <v>1360.2121582</v>
      </c>
      <c r="I665">
        <v>1296.5648193</v>
      </c>
      <c r="J665">
        <v>1280.8658447</v>
      </c>
      <c r="K665">
        <v>1650</v>
      </c>
      <c r="L665">
        <v>0</v>
      </c>
      <c r="M665">
        <v>0</v>
      </c>
      <c r="N665">
        <v>1650</v>
      </c>
    </row>
    <row r="666" spans="1:14" x14ac:dyDescent="0.25">
      <c r="A666">
        <v>395.81966699999998</v>
      </c>
      <c r="B666" s="1">
        <f>DATE(2011,5,31) + TIME(19,40,19)</f>
        <v>40694.819664351853</v>
      </c>
      <c r="C666">
        <v>80</v>
      </c>
      <c r="D666">
        <v>79.912513732999997</v>
      </c>
      <c r="E666">
        <v>40</v>
      </c>
      <c r="F666">
        <v>37.558147429999998</v>
      </c>
      <c r="G666">
        <v>1370.5383300999999</v>
      </c>
      <c r="H666">
        <v>1360.1673584</v>
      </c>
      <c r="I666">
        <v>1296.5527344</v>
      </c>
      <c r="J666">
        <v>1280.8477783000001</v>
      </c>
      <c r="K666">
        <v>1650</v>
      </c>
      <c r="L666">
        <v>0</v>
      </c>
      <c r="M666">
        <v>0</v>
      </c>
      <c r="N666">
        <v>1650</v>
      </c>
    </row>
    <row r="667" spans="1:14" x14ac:dyDescent="0.25">
      <c r="A667">
        <v>396</v>
      </c>
      <c r="B667" s="1">
        <f>DATE(2011,6,1) + TIME(0,0,0)</f>
        <v>40695</v>
      </c>
      <c r="C667">
        <v>80</v>
      </c>
      <c r="D667">
        <v>79.912498474000003</v>
      </c>
      <c r="E667">
        <v>40</v>
      </c>
      <c r="F667">
        <v>37.542358397999998</v>
      </c>
      <c r="G667">
        <v>1370.4838867000001</v>
      </c>
      <c r="H667">
        <v>1360.1226807</v>
      </c>
      <c r="I667">
        <v>1296.5374756000001</v>
      </c>
      <c r="J667">
        <v>1280.8321533000001</v>
      </c>
      <c r="K667">
        <v>1650</v>
      </c>
      <c r="L667">
        <v>0</v>
      </c>
      <c r="M667">
        <v>0</v>
      </c>
      <c r="N667">
        <v>1650</v>
      </c>
    </row>
    <row r="668" spans="1:14" x14ac:dyDescent="0.25">
      <c r="A668">
        <v>396.70085399999999</v>
      </c>
      <c r="B668" s="1">
        <f>DATE(2011,6,1) + TIME(16,49,13)</f>
        <v>40695.700844907406</v>
      </c>
      <c r="C668">
        <v>80</v>
      </c>
      <c r="D668">
        <v>79.912490844999994</v>
      </c>
      <c r="E668">
        <v>40</v>
      </c>
      <c r="F668">
        <v>37.498497008999998</v>
      </c>
      <c r="G668">
        <v>1370.4694824000001</v>
      </c>
      <c r="H668">
        <v>1360.1107178</v>
      </c>
      <c r="I668">
        <v>1296.5371094</v>
      </c>
      <c r="J668">
        <v>1280.8237305</v>
      </c>
      <c r="K668">
        <v>1650</v>
      </c>
      <c r="L668">
        <v>0</v>
      </c>
      <c r="M668">
        <v>0</v>
      </c>
      <c r="N668">
        <v>1650</v>
      </c>
    </row>
    <row r="669" spans="1:14" x14ac:dyDescent="0.25">
      <c r="A669">
        <v>397.424173</v>
      </c>
      <c r="B669" s="1">
        <f>DATE(2011,6,2) + TIME(10,10,48)</f>
        <v>40696.424166666664</v>
      </c>
      <c r="C669">
        <v>80</v>
      </c>
      <c r="D669">
        <v>79.912483214999995</v>
      </c>
      <c r="E669">
        <v>40</v>
      </c>
      <c r="F669">
        <v>37.453075409</v>
      </c>
      <c r="G669">
        <v>1370.4152832</v>
      </c>
      <c r="H669">
        <v>1360.0660399999999</v>
      </c>
      <c r="I669">
        <v>1296.5240478999999</v>
      </c>
      <c r="J669">
        <v>1280.8044434000001</v>
      </c>
      <c r="K669">
        <v>1650</v>
      </c>
      <c r="L669">
        <v>0</v>
      </c>
      <c r="M669">
        <v>0</v>
      </c>
      <c r="N669">
        <v>1650</v>
      </c>
    </row>
    <row r="670" spans="1:14" x14ac:dyDescent="0.25">
      <c r="A670">
        <v>398.16769499999998</v>
      </c>
      <c r="B670" s="1">
        <f>DATE(2011,6,3) + TIME(4,1,28)</f>
        <v>40697.167685185188</v>
      </c>
      <c r="C670">
        <v>80</v>
      </c>
      <c r="D670">
        <v>79.912483214999995</v>
      </c>
      <c r="E670">
        <v>40</v>
      </c>
      <c r="F670">
        <v>37.406261444000002</v>
      </c>
      <c r="G670">
        <v>1370.3599853999999</v>
      </c>
      <c r="H670">
        <v>1360.0206298999999</v>
      </c>
      <c r="I670">
        <v>1296.5104980000001</v>
      </c>
      <c r="J670">
        <v>1280.7841797000001</v>
      </c>
      <c r="K670">
        <v>1650</v>
      </c>
      <c r="L670">
        <v>0</v>
      </c>
      <c r="M670">
        <v>0</v>
      </c>
      <c r="N670">
        <v>1650</v>
      </c>
    </row>
    <row r="671" spans="1:14" x14ac:dyDescent="0.25">
      <c r="A671">
        <v>398.92791799999998</v>
      </c>
      <c r="B671" s="1">
        <f>DATE(2011,6,3) + TIME(22,16,12)</f>
        <v>40697.927916666667</v>
      </c>
      <c r="C671">
        <v>80</v>
      </c>
      <c r="D671">
        <v>79.912475585999999</v>
      </c>
      <c r="E671">
        <v>40</v>
      </c>
      <c r="F671">
        <v>37.358264923</v>
      </c>
      <c r="G671">
        <v>1370.3041992000001</v>
      </c>
      <c r="H671">
        <v>1359.9746094</v>
      </c>
      <c r="I671">
        <v>1296.4963379000001</v>
      </c>
      <c r="J671">
        <v>1280.7629394999999</v>
      </c>
      <c r="K671">
        <v>1650</v>
      </c>
      <c r="L671">
        <v>0</v>
      </c>
      <c r="M671">
        <v>0</v>
      </c>
      <c r="N671">
        <v>1650</v>
      </c>
    </row>
    <row r="672" spans="1:14" x14ac:dyDescent="0.25">
      <c r="A672">
        <v>399.70021000000003</v>
      </c>
      <c r="B672" s="1">
        <f>DATE(2011,6,4) + TIME(16,48,18)</f>
        <v>40698.700208333335</v>
      </c>
      <c r="C672">
        <v>80</v>
      </c>
      <c r="D672">
        <v>79.912467957000004</v>
      </c>
      <c r="E672">
        <v>40</v>
      </c>
      <c r="F672">
        <v>37.309352875000002</v>
      </c>
      <c r="G672">
        <v>1370.2481689000001</v>
      </c>
      <c r="H672">
        <v>1359.9284668</v>
      </c>
      <c r="I672">
        <v>1296.4816894999999</v>
      </c>
      <c r="J672">
        <v>1280.7409668</v>
      </c>
      <c r="K672">
        <v>1650</v>
      </c>
      <c r="L672">
        <v>0</v>
      </c>
      <c r="M672">
        <v>0</v>
      </c>
      <c r="N672">
        <v>1650</v>
      </c>
    </row>
    <row r="673" spans="1:14" x14ac:dyDescent="0.25">
      <c r="A673">
        <v>400.47897799999998</v>
      </c>
      <c r="B673" s="1">
        <f>DATE(2011,6,5) + TIME(11,29,43)</f>
        <v>40699.47896990741</v>
      </c>
      <c r="C673">
        <v>80</v>
      </c>
      <c r="D673">
        <v>79.912467957000004</v>
      </c>
      <c r="E673">
        <v>40</v>
      </c>
      <c r="F673">
        <v>37.259834290000001</v>
      </c>
      <c r="G673">
        <v>1370.1922606999999</v>
      </c>
      <c r="H673">
        <v>1359.8824463000001</v>
      </c>
      <c r="I673">
        <v>1296.4665527</v>
      </c>
      <c r="J673">
        <v>1280.7181396000001</v>
      </c>
      <c r="K673">
        <v>1650</v>
      </c>
      <c r="L673">
        <v>0</v>
      </c>
      <c r="M673">
        <v>0</v>
      </c>
      <c r="N673">
        <v>1650</v>
      </c>
    </row>
    <row r="674" spans="1:14" x14ac:dyDescent="0.25">
      <c r="A674">
        <v>401.26351699999998</v>
      </c>
      <c r="B674" s="1">
        <f>DATE(2011,6,6) + TIME(6,19,27)</f>
        <v>40700.263506944444</v>
      </c>
      <c r="C674">
        <v>80</v>
      </c>
      <c r="D674">
        <v>79.912460327000005</v>
      </c>
      <c r="E674">
        <v>40</v>
      </c>
      <c r="F674">
        <v>37.209850310999997</v>
      </c>
      <c r="G674">
        <v>1370.1368408000001</v>
      </c>
      <c r="H674">
        <v>1359.8367920000001</v>
      </c>
      <c r="I674">
        <v>1296.4510498</v>
      </c>
      <c r="J674">
        <v>1280.6948242000001</v>
      </c>
      <c r="K674">
        <v>1650</v>
      </c>
      <c r="L674">
        <v>0</v>
      </c>
      <c r="M674">
        <v>0</v>
      </c>
      <c r="N674">
        <v>1650</v>
      </c>
    </row>
    <row r="675" spans="1:14" x14ac:dyDescent="0.25">
      <c r="A675">
        <v>402.051447</v>
      </c>
      <c r="B675" s="1">
        <f>DATE(2011,6,7) + TIME(1,14,5)</f>
        <v>40701.051446759258</v>
      </c>
      <c r="C675">
        <v>80</v>
      </c>
      <c r="D675">
        <v>79.912460327000005</v>
      </c>
      <c r="E675">
        <v>40</v>
      </c>
      <c r="F675">
        <v>37.159561156999999</v>
      </c>
      <c r="G675">
        <v>1370.0820312000001</v>
      </c>
      <c r="H675">
        <v>1359.791626</v>
      </c>
      <c r="I675">
        <v>1296.4351807</v>
      </c>
      <c r="J675">
        <v>1280.6708983999999</v>
      </c>
      <c r="K675">
        <v>1650</v>
      </c>
      <c r="L675">
        <v>0</v>
      </c>
      <c r="M675">
        <v>0</v>
      </c>
      <c r="N675">
        <v>1650</v>
      </c>
    </row>
    <row r="676" spans="1:14" x14ac:dyDescent="0.25">
      <c r="A676">
        <v>402.84474</v>
      </c>
      <c r="B676" s="1">
        <f>DATE(2011,6,7) + TIME(20,16,25)</f>
        <v>40701.844733796293</v>
      </c>
      <c r="C676">
        <v>80</v>
      </c>
      <c r="D676">
        <v>79.912452697999996</v>
      </c>
      <c r="E676">
        <v>40</v>
      </c>
      <c r="F676">
        <v>37.108963013</v>
      </c>
      <c r="G676">
        <v>1370.027832</v>
      </c>
      <c r="H676">
        <v>1359.7470702999999</v>
      </c>
      <c r="I676">
        <v>1296.4190673999999</v>
      </c>
      <c r="J676">
        <v>1280.6463623</v>
      </c>
      <c r="K676">
        <v>1650</v>
      </c>
      <c r="L676">
        <v>0</v>
      </c>
      <c r="M676">
        <v>0</v>
      </c>
      <c r="N676">
        <v>1650</v>
      </c>
    </row>
    <row r="677" spans="1:14" x14ac:dyDescent="0.25">
      <c r="A677">
        <v>403.64518700000002</v>
      </c>
      <c r="B677" s="1">
        <f>DATE(2011,6,8) + TIME(15,29,4)</f>
        <v>40702.645185185182</v>
      </c>
      <c r="C677">
        <v>80</v>
      </c>
      <c r="D677">
        <v>79.912452697999996</v>
      </c>
      <c r="E677">
        <v>40</v>
      </c>
      <c r="F677">
        <v>37.057991028000004</v>
      </c>
      <c r="G677">
        <v>1369.9741211</v>
      </c>
      <c r="H677">
        <v>1359.7027588000001</v>
      </c>
      <c r="I677">
        <v>1296.4027100000001</v>
      </c>
      <c r="J677">
        <v>1280.6213379000001</v>
      </c>
      <c r="K677">
        <v>1650</v>
      </c>
      <c r="L677">
        <v>0</v>
      </c>
      <c r="M677">
        <v>0</v>
      </c>
      <c r="N677">
        <v>1650</v>
      </c>
    </row>
    <row r="678" spans="1:14" x14ac:dyDescent="0.25">
      <c r="A678">
        <v>404.45443699999998</v>
      </c>
      <c r="B678" s="1">
        <f>DATE(2011,6,9) + TIME(10,54,23)</f>
        <v>40703.454432870371</v>
      </c>
      <c r="C678">
        <v>80</v>
      </c>
      <c r="D678">
        <v>79.912452697999996</v>
      </c>
      <c r="E678">
        <v>40</v>
      </c>
      <c r="F678">
        <v>37.006584167</v>
      </c>
      <c r="G678">
        <v>1369.9208983999999</v>
      </c>
      <c r="H678">
        <v>1359.6589355000001</v>
      </c>
      <c r="I678">
        <v>1296.3858643000001</v>
      </c>
      <c r="J678">
        <v>1280.5955810999999</v>
      </c>
      <c r="K678">
        <v>1650</v>
      </c>
      <c r="L678">
        <v>0</v>
      </c>
      <c r="M678">
        <v>0</v>
      </c>
      <c r="N678">
        <v>1650</v>
      </c>
    </row>
    <row r="679" spans="1:14" x14ac:dyDescent="0.25">
      <c r="A679">
        <v>405.27434399999999</v>
      </c>
      <c r="B679" s="1">
        <f>DATE(2011,6,10) + TIME(6,35,3)</f>
        <v>40704.274340277778</v>
      </c>
      <c r="C679">
        <v>80</v>
      </c>
      <c r="D679">
        <v>79.912460327000005</v>
      </c>
      <c r="E679">
        <v>40</v>
      </c>
      <c r="F679">
        <v>36.954639434999997</v>
      </c>
      <c r="G679">
        <v>1369.8679199000001</v>
      </c>
      <c r="H679">
        <v>1359.6153564000001</v>
      </c>
      <c r="I679">
        <v>1296.3685303</v>
      </c>
      <c r="J679">
        <v>1280.5689697</v>
      </c>
      <c r="K679">
        <v>1650</v>
      </c>
      <c r="L679">
        <v>0</v>
      </c>
      <c r="M679">
        <v>0</v>
      </c>
      <c r="N679">
        <v>1650</v>
      </c>
    </row>
    <row r="680" spans="1:14" x14ac:dyDescent="0.25">
      <c r="A680">
        <v>406.106853</v>
      </c>
      <c r="B680" s="1">
        <f>DATE(2011,6,11) + TIME(2,33,52)</f>
        <v>40705.106851851851</v>
      </c>
      <c r="C680">
        <v>80</v>
      </c>
      <c r="D680">
        <v>79.912460327000005</v>
      </c>
      <c r="E680">
        <v>40</v>
      </c>
      <c r="F680">
        <v>36.902050017999997</v>
      </c>
      <c r="G680">
        <v>1369.8151855000001</v>
      </c>
      <c r="H680">
        <v>1359.5717772999999</v>
      </c>
      <c r="I680">
        <v>1296.3508300999999</v>
      </c>
      <c r="J680">
        <v>1280.541626</v>
      </c>
      <c r="K680">
        <v>1650</v>
      </c>
      <c r="L680">
        <v>0</v>
      </c>
      <c r="M680">
        <v>0</v>
      </c>
      <c r="N680">
        <v>1650</v>
      </c>
    </row>
    <row r="681" spans="1:14" x14ac:dyDescent="0.25">
      <c r="A681">
        <v>406.954005</v>
      </c>
      <c r="B681" s="1">
        <f>DATE(2011,6,11) + TIME(22,53,46)</f>
        <v>40705.954004629632</v>
      </c>
      <c r="C681">
        <v>80</v>
      </c>
      <c r="D681">
        <v>79.912467957000004</v>
      </c>
      <c r="E681">
        <v>40</v>
      </c>
      <c r="F681">
        <v>36.848693848000003</v>
      </c>
      <c r="G681">
        <v>1369.7624512</v>
      </c>
      <c r="H681">
        <v>1359.5283202999999</v>
      </c>
      <c r="I681">
        <v>1296.3325195</v>
      </c>
      <c r="J681">
        <v>1280.5133057</v>
      </c>
      <c r="K681">
        <v>1650</v>
      </c>
      <c r="L681">
        <v>0</v>
      </c>
      <c r="M681">
        <v>0</v>
      </c>
      <c r="N681">
        <v>1650</v>
      </c>
    </row>
    <row r="682" spans="1:14" x14ac:dyDescent="0.25">
      <c r="A682">
        <v>407.81798700000002</v>
      </c>
      <c r="B682" s="1">
        <f>DATE(2011,6,12) + TIME(19,37,54)</f>
        <v>40706.817986111113</v>
      </c>
      <c r="C682">
        <v>80</v>
      </c>
      <c r="D682">
        <v>79.912475585999999</v>
      </c>
      <c r="E682">
        <v>40</v>
      </c>
      <c r="F682">
        <v>36.794437408</v>
      </c>
      <c r="G682">
        <v>1369.7095947</v>
      </c>
      <c r="H682">
        <v>1359.4847411999999</v>
      </c>
      <c r="I682">
        <v>1296.3135986</v>
      </c>
      <c r="J682">
        <v>1280.4840088000001</v>
      </c>
      <c r="K682">
        <v>1650</v>
      </c>
      <c r="L682">
        <v>0</v>
      </c>
      <c r="M682">
        <v>0</v>
      </c>
      <c r="N682">
        <v>1650</v>
      </c>
    </row>
    <row r="683" spans="1:14" x14ac:dyDescent="0.25">
      <c r="A683">
        <v>408.70117299999998</v>
      </c>
      <c r="B683" s="1">
        <f>DATE(2011,6,13) + TIME(16,49,41)</f>
        <v>40707.701168981483</v>
      </c>
      <c r="C683">
        <v>80</v>
      </c>
      <c r="D683">
        <v>79.912483214999995</v>
      </c>
      <c r="E683">
        <v>40</v>
      </c>
      <c r="F683">
        <v>36.739135742000002</v>
      </c>
      <c r="G683">
        <v>1369.6564940999999</v>
      </c>
      <c r="H683">
        <v>1359.440918</v>
      </c>
      <c r="I683">
        <v>1296.2940673999999</v>
      </c>
      <c r="J683">
        <v>1280.4536132999999</v>
      </c>
      <c r="K683">
        <v>1650</v>
      </c>
      <c r="L683">
        <v>0</v>
      </c>
      <c r="M683">
        <v>0</v>
      </c>
      <c r="N683">
        <v>1650</v>
      </c>
    </row>
    <row r="684" spans="1:14" x14ac:dyDescent="0.25">
      <c r="A684">
        <v>409.60613699999999</v>
      </c>
      <c r="B684" s="1">
        <f>DATE(2011,6,14) + TIME(14,32,50)</f>
        <v>40708.606134259258</v>
      </c>
      <c r="C684">
        <v>80</v>
      </c>
      <c r="D684">
        <v>79.912490844999994</v>
      </c>
      <c r="E684">
        <v>40</v>
      </c>
      <c r="F684">
        <v>36.682628631999997</v>
      </c>
      <c r="G684">
        <v>1369.6031493999999</v>
      </c>
      <c r="H684">
        <v>1359.3969727000001</v>
      </c>
      <c r="I684">
        <v>1296.2738036999999</v>
      </c>
      <c r="J684">
        <v>1280.421875</v>
      </c>
      <c r="K684">
        <v>1650</v>
      </c>
      <c r="L684">
        <v>0</v>
      </c>
      <c r="M684">
        <v>0</v>
      </c>
      <c r="N684">
        <v>1650</v>
      </c>
    </row>
    <row r="685" spans="1:14" x14ac:dyDescent="0.25">
      <c r="A685">
        <v>410.53571799999997</v>
      </c>
      <c r="B685" s="1">
        <f>DATE(2011,6,15) + TIME(12,51,26)</f>
        <v>40709.535717592589</v>
      </c>
      <c r="C685">
        <v>80</v>
      </c>
      <c r="D685">
        <v>79.912506104000002</v>
      </c>
      <c r="E685">
        <v>40</v>
      </c>
      <c r="F685">
        <v>36.624744415000002</v>
      </c>
      <c r="G685">
        <v>1369.5493164</v>
      </c>
      <c r="H685">
        <v>1359.3525391000001</v>
      </c>
      <c r="I685">
        <v>1296.2525635</v>
      </c>
      <c r="J685">
        <v>1280.3887939000001</v>
      </c>
      <c r="K685">
        <v>1650</v>
      </c>
      <c r="L685">
        <v>0</v>
      </c>
      <c r="M685">
        <v>0</v>
      </c>
      <c r="N685">
        <v>1650</v>
      </c>
    </row>
    <row r="686" spans="1:14" x14ac:dyDescent="0.25">
      <c r="A686">
        <v>411.480253</v>
      </c>
      <c r="B686" s="1">
        <f>DATE(2011,6,16) + TIME(11,31,33)</f>
        <v>40710.480243055557</v>
      </c>
      <c r="C686">
        <v>80</v>
      </c>
      <c r="D686">
        <v>79.912513732999997</v>
      </c>
      <c r="E686">
        <v>40</v>
      </c>
      <c r="F686">
        <v>36.565753936999997</v>
      </c>
      <c r="G686">
        <v>1369.4948730000001</v>
      </c>
      <c r="H686">
        <v>1359.3074951000001</v>
      </c>
      <c r="I686">
        <v>1296.2305908000001</v>
      </c>
      <c r="J686">
        <v>1280.3542480000001</v>
      </c>
      <c r="K686">
        <v>1650</v>
      </c>
      <c r="L686">
        <v>0</v>
      </c>
      <c r="M686">
        <v>0</v>
      </c>
      <c r="N686">
        <v>1650</v>
      </c>
    </row>
    <row r="687" spans="1:14" x14ac:dyDescent="0.25">
      <c r="A687">
        <v>412.43242400000003</v>
      </c>
      <c r="B687" s="1">
        <f>DATE(2011,6,17) + TIME(10,22,41)</f>
        <v>40711.43241898148</v>
      </c>
      <c r="C687">
        <v>80</v>
      </c>
      <c r="D687">
        <v>79.912528992000006</v>
      </c>
      <c r="E687">
        <v>40</v>
      </c>
      <c r="F687">
        <v>36.505970001000001</v>
      </c>
      <c r="G687">
        <v>1369.4404297000001</v>
      </c>
      <c r="H687">
        <v>1359.2625731999999</v>
      </c>
      <c r="I687">
        <v>1296.2077637</v>
      </c>
      <c r="J687">
        <v>1280.3184814000001</v>
      </c>
      <c r="K687">
        <v>1650</v>
      </c>
      <c r="L687">
        <v>0</v>
      </c>
      <c r="M687">
        <v>0</v>
      </c>
      <c r="N687">
        <v>1650</v>
      </c>
    </row>
    <row r="688" spans="1:14" x14ac:dyDescent="0.25">
      <c r="A688">
        <v>413.39464400000003</v>
      </c>
      <c r="B688" s="1">
        <f>DATE(2011,6,18) + TIME(9,28,17)</f>
        <v>40712.394641203704</v>
      </c>
      <c r="C688">
        <v>80</v>
      </c>
      <c r="D688">
        <v>79.912544249999996</v>
      </c>
      <c r="E688">
        <v>40</v>
      </c>
      <c r="F688">
        <v>36.445423126000001</v>
      </c>
      <c r="G688">
        <v>1369.3864745999999</v>
      </c>
      <c r="H688">
        <v>1359.2178954999999</v>
      </c>
      <c r="I688">
        <v>1296.1843262</v>
      </c>
      <c r="J688">
        <v>1280.2816161999999</v>
      </c>
      <c r="K688">
        <v>1650</v>
      </c>
      <c r="L688">
        <v>0</v>
      </c>
      <c r="M688">
        <v>0</v>
      </c>
      <c r="N688">
        <v>1650</v>
      </c>
    </row>
    <row r="689" spans="1:14" x14ac:dyDescent="0.25">
      <c r="A689">
        <v>414.36525499999999</v>
      </c>
      <c r="B689" s="1">
        <f>DATE(2011,6,19) + TIME(8,45,58)</f>
        <v>40713.365254629629</v>
      </c>
      <c r="C689">
        <v>80</v>
      </c>
      <c r="D689">
        <v>79.912559509000005</v>
      </c>
      <c r="E689">
        <v>40</v>
      </c>
      <c r="F689">
        <v>36.384201050000001</v>
      </c>
      <c r="G689">
        <v>1369.3327637</v>
      </c>
      <c r="H689">
        <v>1359.1734618999999</v>
      </c>
      <c r="I689">
        <v>1296.1602783000001</v>
      </c>
      <c r="J689">
        <v>1280.2436522999999</v>
      </c>
      <c r="K689">
        <v>1650</v>
      </c>
      <c r="L689">
        <v>0</v>
      </c>
      <c r="M689">
        <v>0</v>
      </c>
      <c r="N689">
        <v>1650</v>
      </c>
    </row>
    <row r="690" spans="1:14" x14ac:dyDescent="0.25">
      <c r="A690">
        <v>415.34141499999998</v>
      </c>
      <c r="B690" s="1">
        <f>DATE(2011,6,20) + TIME(8,11,38)</f>
        <v>40714.341412037036</v>
      </c>
      <c r="C690">
        <v>80</v>
      </c>
      <c r="D690">
        <v>79.912574767999999</v>
      </c>
      <c r="E690">
        <v>40</v>
      </c>
      <c r="F690">
        <v>36.322437286000003</v>
      </c>
      <c r="G690">
        <v>1369.2792969</v>
      </c>
      <c r="H690">
        <v>1359.1293945</v>
      </c>
      <c r="I690">
        <v>1296.1357422000001</v>
      </c>
      <c r="J690">
        <v>1280.2044678</v>
      </c>
      <c r="K690">
        <v>1650</v>
      </c>
      <c r="L690">
        <v>0</v>
      </c>
      <c r="M690">
        <v>0</v>
      </c>
      <c r="N690">
        <v>1650</v>
      </c>
    </row>
    <row r="691" spans="1:14" x14ac:dyDescent="0.25">
      <c r="A691">
        <v>416.32572599999997</v>
      </c>
      <c r="B691" s="1">
        <f>DATE(2011,6,21) + TIME(7,49,2)</f>
        <v>40715.32571759259</v>
      </c>
      <c r="C691">
        <v>80</v>
      </c>
      <c r="D691">
        <v>79.912597656000003</v>
      </c>
      <c r="E691">
        <v>40</v>
      </c>
      <c r="F691">
        <v>36.260086059999999</v>
      </c>
      <c r="G691">
        <v>1369.2264404</v>
      </c>
      <c r="H691">
        <v>1359.0855713000001</v>
      </c>
      <c r="I691">
        <v>1296.1105957</v>
      </c>
      <c r="J691">
        <v>1280.1644286999999</v>
      </c>
      <c r="K691">
        <v>1650</v>
      </c>
      <c r="L691">
        <v>0</v>
      </c>
      <c r="M691">
        <v>0</v>
      </c>
      <c r="N691">
        <v>1650</v>
      </c>
    </row>
    <row r="692" spans="1:14" x14ac:dyDescent="0.25">
      <c r="A692">
        <v>417.32008200000001</v>
      </c>
      <c r="B692" s="1">
        <f>DATE(2011,6,22) + TIME(7,40,55)</f>
        <v>40716.320081018515</v>
      </c>
      <c r="C692">
        <v>80</v>
      </c>
      <c r="D692">
        <v>79.912612914999997</v>
      </c>
      <c r="E692">
        <v>40</v>
      </c>
      <c r="F692">
        <v>36.197074890000003</v>
      </c>
      <c r="G692">
        <v>1369.1739502</v>
      </c>
      <c r="H692">
        <v>1359.0421143000001</v>
      </c>
      <c r="I692">
        <v>1296.0848389</v>
      </c>
      <c r="J692">
        <v>1280.1231689000001</v>
      </c>
      <c r="K692">
        <v>1650</v>
      </c>
      <c r="L692">
        <v>0</v>
      </c>
      <c r="M692">
        <v>0</v>
      </c>
      <c r="N692">
        <v>1650</v>
      </c>
    </row>
    <row r="693" spans="1:14" x14ac:dyDescent="0.25">
      <c r="A693">
        <v>418.32681400000001</v>
      </c>
      <c r="B693" s="1">
        <f>DATE(2011,6,23) + TIME(7,50,36)</f>
        <v>40717.326805555553</v>
      </c>
      <c r="C693">
        <v>80</v>
      </c>
      <c r="D693">
        <v>79.912635803000001</v>
      </c>
      <c r="E693">
        <v>40</v>
      </c>
      <c r="F693">
        <v>36.133281707999998</v>
      </c>
      <c r="G693">
        <v>1369.121582</v>
      </c>
      <c r="H693">
        <v>1358.9987793</v>
      </c>
      <c r="I693">
        <v>1296.0583495999999</v>
      </c>
      <c r="J693">
        <v>1280.0806885</v>
      </c>
      <c r="K693">
        <v>1650</v>
      </c>
      <c r="L693">
        <v>0</v>
      </c>
      <c r="M693">
        <v>0</v>
      </c>
      <c r="N693">
        <v>1650</v>
      </c>
    </row>
    <row r="694" spans="1:14" x14ac:dyDescent="0.25">
      <c r="A694">
        <v>419.34834599999999</v>
      </c>
      <c r="B694" s="1">
        <f>DATE(2011,6,24) + TIME(8,21,37)</f>
        <v>40718.348344907405</v>
      </c>
      <c r="C694">
        <v>80</v>
      </c>
      <c r="D694">
        <v>79.912658691000004</v>
      </c>
      <c r="E694">
        <v>40</v>
      </c>
      <c r="F694">
        <v>36.068569183000001</v>
      </c>
      <c r="G694">
        <v>1369.0694579999999</v>
      </c>
      <c r="H694">
        <v>1358.9555664</v>
      </c>
      <c r="I694">
        <v>1296.03125</v>
      </c>
      <c r="J694">
        <v>1280.0367432</v>
      </c>
      <c r="K694">
        <v>1650</v>
      </c>
      <c r="L694">
        <v>0</v>
      </c>
      <c r="M694">
        <v>0</v>
      </c>
      <c r="N694">
        <v>1650</v>
      </c>
    </row>
    <row r="695" spans="1:14" x14ac:dyDescent="0.25">
      <c r="A695">
        <v>420.38721399999997</v>
      </c>
      <c r="B695" s="1">
        <f>DATE(2011,6,25) + TIME(9,17,35)</f>
        <v>40719.38721064815</v>
      </c>
      <c r="C695">
        <v>80</v>
      </c>
      <c r="D695">
        <v>79.912681579999997</v>
      </c>
      <c r="E695">
        <v>40</v>
      </c>
      <c r="F695">
        <v>36.002780913999999</v>
      </c>
      <c r="G695">
        <v>1369.0172118999999</v>
      </c>
      <c r="H695">
        <v>1358.9122314000001</v>
      </c>
      <c r="I695">
        <v>1296.0031738</v>
      </c>
      <c r="J695">
        <v>1279.9914550999999</v>
      </c>
      <c r="K695">
        <v>1650</v>
      </c>
      <c r="L695">
        <v>0</v>
      </c>
      <c r="M695">
        <v>0</v>
      </c>
      <c r="N695">
        <v>1650</v>
      </c>
    </row>
    <row r="696" spans="1:14" x14ac:dyDescent="0.25">
      <c r="A696">
        <v>421.446124</v>
      </c>
      <c r="B696" s="1">
        <f>DATE(2011,6,26) + TIME(10,42,25)</f>
        <v>40720.446122685185</v>
      </c>
      <c r="C696">
        <v>80</v>
      </c>
      <c r="D696">
        <v>79.912712096999996</v>
      </c>
      <c r="E696">
        <v>40</v>
      </c>
      <c r="F696">
        <v>35.935749053999999</v>
      </c>
      <c r="G696">
        <v>1368.9649658000001</v>
      </c>
      <c r="H696">
        <v>1358.8688964999999</v>
      </c>
      <c r="I696">
        <v>1295.9743652</v>
      </c>
      <c r="J696">
        <v>1279.9444579999999</v>
      </c>
      <c r="K696">
        <v>1650</v>
      </c>
      <c r="L696">
        <v>0</v>
      </c>
      <c r="M696">
        <v>0</v>
      </c>
      <c r="N696">
        <v>1650</v>
      </c>
    </row>
    <row r="697" spans="1:14" x14ac:dyDescent="0.25">
      <c r="A697">
        <v>422.52254099999999</v>
      </c>
      <c r="B697" s="1">
        <f>DATE(2011,6,27) + TIME(12,32,27)</f>
        <v>40721.522534722222</v>
      </c>
      <c r="C697">
        <v>80</v>
      </c>
      <c r="D697">
        <v>79.912742614999999</v>
      </c>
      <c r="E697">
        <v>40</v>
      </c>
      <c r="F697">
        <v>35.867473601999997</v>
      </c>
      <c r="G697">
        <v>1368.9124756000001</v>
      </c>
      <c r="H697">
        <v>1358.8251952999999</v>
      </c>
      <c r="I697">
        <v>1295.9443358999999</v>
      </c>
      <c r="J697">
        <v>1279.8956298999999</v>
      </c>
      <c r="K697">
        <v>1650</v>
      </c>
      <c r="L697">
        <v>0</v>
      </c>
      <c r="M697">
        <v>0</v>
      </c>
      <c r="N697">
        <v>1650</v>
      </c>
    </row>
    <row r="698" spans="1:14" x14ac:dyDescent="0.25">
      <c r="A698">
        <v>423.61920099999998</v>
      </c>
      <c r="B698" s="1">
        <f>DATE(2011,6,28) + TIME(14,51,39)</f>
        <v>40722.619201388887</v>
      </c>
      <c r="C698">
        <v>80</v>
      </c>
      <c r="D698">
        <v>79.912765503000003</v>
      </c>
      <c r="E698">
        <v>40</v>
      </c>
      <c r="F698">
        <v>35.797840118000003</v>
      </c>
      <c r="G698">
        <v>1368.8597411999999</v>
      </c>
      <c r="H698">
        <v>1358.7814940999999</v>
      </c>
      <c r="I698">
        <v>1295.9134521000001</v>
      </c>
      <c r="J698">
        <v>1279.8449707</v>
      </c>
      <c r="K698">
        <v>1650</v>
      </c>
      <c r="L698">
        <v>0</v>
      </c>
      <c r="M698">
        <v>0</v>
      </c>
      <c r="N698">
        <v>1650</v>
      </c>
    </row>
    <row r="699" spans="1:14" x14ac:dyDescent="0.25">
      <c r="A699">
        <v>424.73901499999999</v>
      </c>
      <c r="B699" s="1">
        <f>DATE(2011,6,29) + TIME(17,44,10)</f>
        <v>40723.739004629628</v>
      </c>
      <c r="C699">
        <v>80</v>
      </c>
      <c r="D699">
        <v>79.912803650000001</v>
      </c>
      <c r="E699">
        <v>40</v>
      </c>
      <c r="F699">
        <v>35.726688385000003</v>
      </c>
      <c r="G699">
        <v>1368.8068848</v>
      </c>
      <c r="H699">
        <v>1358.7375488</v>
      </c>
      <c r="I699">
        <v>1295.8815918</v>
      </c>
      <c r="J699">
        <v>1279.7924805</v>
      </c>
      <c r="K699">
        <v>1650</v>
      </c>
      <c r="L699">
        <v>0</v>
      </c>
      <c r="M699">
        <v>0</v>
      </c>
      <c r="N699">
        <v>1650</v>
      </c>
    </row>
    <row r="700" spans="1:14" x14ac:dyDescent="0.25">
      <c r="A700">
        <v>425.86985099999998</v>
      </c>
      <c r="B700" s="1">
        <f>DATE(2011,6,30) + TIME(20,52,35)</f>
        <v>40724.869849537034</v>
      </c>
      <c r="C700">
        <v>80</v>
      </c>
      <c r="D700">
        <v>79.912834167</v>
      </c>
      <c r="E700">
        <v>40</v>
      </c>
      <c r="F700">
        <v>35.654357910000002</v>
      </c>
      <c r="G700">
        <v>1368.7536620999999</v>
      </c>
      <c r="H700">
        <v>1358.6932373</v>
      </c>
      <c r="I700">
        <v>1295.8483887</v>
      </c>
      <c r="J700">
        <v>1279.7379149999999</v>
      </c>
      <c r="K700">
        <v>1650</v>
      </c>
      <c r="L700">
        <v>0</v>
      </c>
      <c r="M700">
        <v>0</v>
      </c>
      <c r="N700">
        <v>1650</v>
      </c>
    </row>
    <row r="701" spans="1:14" x14ac:dyDescent="0.25">
      <c r="A701">
        <v>426</v>
      </c>
      <c r="B701" s="1">
        <f>DATE(2011,7,1) + TIME(0,0,0)</f>
        <v>40725</v>
      </c>
      <c r="C701">
        <v>80</v>
      </c>
      <c r="D701">
        <v>79.912826538000004</v>
      </c>
      <c r="E701">
        <v>40</v>
      </c>
      <c r="F701">
        <v>35.640094757</v>
      </c>
      <c r="G701">
        <v>1368.7017822</v>
      </c>
      <c r="H701">
        <v>1358.6501464999999</v>
      </c>
      <c r="I701">
        <v>1295.8131103999999</v>
      </c>
      <c r="J701">
        <v>1279.6967772999999</v>
      </c>
      <c r="K701">
        <v>1650</v>
      </c>
      <c r="L701">
        <v>0</v>
      </c>
      <c r="M701">
        <v>0</v>
      </c>
      <c r="N701">
        <v>1650</v>
      </c>
    </row>
    <row r="702" spans="1:14" x14ac:dyDescent="0.25">
      <c r="A702">
        <v>427.13865500000003</v>
      </c>
      <c r="B702" s="1">
        <f>DATE(2011,7,2) + TIME(3,19,39)</f>
        <v>40726.138645833336</v>
      </c>
      <c r="C702">
        <v>80</v>
      </c>
      <c r="D702">
        <v>79.912864685000002</v>
      </c>
      <c r="E702">
        <v>40</v>
      </c>
      <c r="F702">
        <v>35.569488524999997</v>
      </c>
      <c r="G702">
        <v>1368.6943358999999</v>
      </c>
      <c r="H702">
        <v>1358.6437988</v>
      </c>
      <c r="I702">
        <v>1295.8103027</v>
      </c>
      <c r="J702">
        <v>1279.6739502</v>
      </c>
      <c r="K702">
        <v>1650</v>
      </c>
      <c r="L702">
        <v>0</v>
      </c>
      <c r="M702">
        <v>0</v>
      </c>
      <c r="N702">
        <v>1650</v>
      </c>
    </row>
    <row r="703" spans="1:14" x14ac:dyDescent="0.25">
      <c r="A703">
        <v>428.28910000000002</v>
      </c>
      <c r="B703" s="1">
        <f>DATE(2011,7,3) + TIME(6,56,18)</f>
        <v>40727.289097222223</v>
      </c>
      <c r="C703">
        <v>80</v>
      </c>
      <c r="D703">
        <v>79.912902832</v>
      </c>
      <c r="E703">
        <v>40</v>
      </c>
      <c r="F703">
        <v>35.496658324999999</v>
      </c>
      <c r="G703">
        <v>1368.6419678</v>
      </c>
      <c r="H703">
        <v>1358.6002197</v>
      </c>
      <c r="I703">
        <v>1295.7756348</v>
      </c>
      <c r="J703">
        <v>1279.6168213000001</v>
      </c>
      <c r="K703">
        <v>1650</v>
      </c>
      <c r="L703">
        <v>0</v>
      </c>
      <c r="M703">
        <v>0</v>
      </c>
      <c r="N703">
        <v>1650</v>
      </c>
    </row>
    <row r="704" spans="1:14" x14ac:dyDescent="0.25">
      <c r="A704">
        <v>429.45284299999997</v>
      </c>
      <c r="B704" s="1">
        <f>DATE(2011,7,4) + TIME(10,52,5)</f>
        <v>40728.452835648146</v>
      </c>
      <c r="C704">
        <v>80</v>
      </c>
      <c r="D704">
        <v>79.912940978999998</v>
      </c>
      <c r="E704">
        <v>40</v>
      </c>
      <c r="F704">
        <v>35.422119141000003</v>
      </c>
      <c r="G704">
        <v>1368.5895995999999</v>
      </c>
      <c r="H704">
        <v>1358.5566406</v>
      </c>
      <c r="I704">
        <v>1295.7401123</v>
      </c>
      <c r="J704">
        <v>1279.5576172000001</v>
      </c>
      <c r="K704">
        <v>1650</v>
      </c>
      <c r="L704">
        <v>0</v>
      </c>
      <c r="M704">
        <v>0</v>
      </c>
      <c r="N704">
        <v>1650</v>
      </c>
    </row>
    <row r="705" spans="1:14" x14ac:dyDescent="0.25">
      <c r="A705">
        <v>430.63270499999999</v>
      </c>
      <c r="B705" s="1">
        <f>DATE(2011,7,5) + TIME(15,11,5)</f>
        <v>40729.632696759261</v>
      </c>
      <c r="C705">
        <v>80</v>
      </c>
      <c r="D705">
        <v>79.912979125999996</v>
      </c>
      <c r="E705">
        <v>40</v>
      </c>
      <c r="F705">
        <v>35.346069335999999</v>
      </c>
      <c r="G705">
        <v>1368.5373535000001</v>
      </c>
      <c r="H705">
        <v>1358.5129394999999</v>
      </c>
      <c r="I705">
        <v>1295.7036132999999</v>
      </c>
      <c r="J705">
        <v>1279.4964600000001</v>
      </c>
      <c r="K705">
        <v>1650</v>
      </c>
      <c r="L705">
        <v>0</v>
      </c>
      <c r="M705">
        <v>0</v>
      </c>
      <c r="N705">
        <v>1650</v>
      </c>
    </row>
    <row r="706" spans="1:14" x14ac:dyDescent="0.25">
      <c r="A706">
        <v>431.83019200000001</v>
      </c>
      <c r="B706" s="1">
        <f>DATE(2011,7,6) + TIME(19,55,28)</f>
        <v>40730.830185185187</v>
      </c>
      <c r="C706">
        <v>80</v>
      </c>
      <c r="D706">
        <v>79.913024902000004</v>
      </c>
      <c r="E706">
        <v>40</v>
      </c>
      <c r="F706">
        <v>35.268566131999997</v>
      </c>
      <c r="G706">
        <v>1368.4851074000001</v>
      </c>
      <c r="H706">
        <v>1358.4693603999999</v>
      </c>
      <c r="I706">
        <v>1295.6661377</v>
      </c>
      <c r="J706">
        <v>1279.4332274999999</v>
      </c>
      <c r="K706">
        <v>1650</v>
      </c>
      <c r="L706">
        <v>0</v>
      </c>
      <c r="M706">
        <v>0</v>
      </c>
      <c r="N706">
        <v>1650</v>
      </c>
    </row>
    <row r="707" spans="1:14" x14ac:dyDescent="0.25">
      <c r="A707">
        <v>433.03879599999999</v>
      </c>
      <c r="B707" s="1">
        <f>DATE(2011,7,8) + TIME(0,55,51)</f>
        <v>40732.038784722223</v>
      </c>
      <c r="C707">
        <v>80</v>
      </c>
      <c r="D707">
        <v>79.913063049000002</v>
      </c>
      <c r="E707">
        <v>40</v>
      </c>
      <c r="F707">
        <v>35.189857482999997</v>
      </c>
      <c r="G707">
        <v>1368.4327393000001</v>
      </c>
      <c r="H707">
        <v>1358.4256591999999</v>
      </c>
      <c r="I707">
        <v>1295.6275635</v>
      </c>
      <c r="J707">
        <v>1279.3680420000001</v>
      </c>
      <c r="K707">
        <v>1650</v>
      </c>
      <c r="L707">
        <v>0</v>
      </c>
      <c r="M707">
        <v>0</v>
      </c>
      <c r="N707">
        <v>1650</v>
      </c>
    </row>
    <row r="708" spans="1:14" x14ac:dyDescent="0.25">
      <c r="A708">
        <v>434.25987400000002</v>
      </c>
      <c r="B708" s="1">
        <f>DATE(2011,7,9) + TIME(6,14,13)</f>
        <v>40733.259872685187</v>
      </c>
      <c r="C708">
        <v>80</v>
      </c>
      <c r="D708">
        <v>79.913108825999998</v>
      </c>
      <c r="E708">
        <v>40</v>
      </c>
      <c r="F708">
        <v>35.110023499</v>
      </c>
      <c r="G708">
        <v>1368.3806152</v>
      </c>
      <c r="H708">
        <v>1358.3820800999999</v>
      </c>
      <c r="I708">
        <v>1295.5881348</v>
      </c>
      <c r="J708">
        <v>1279.3011475000001</v>
      </c>
      <c r="K708">
        <v>1650</v>
      </c>
      <c r="L708">
        <v>0</v>
      </c>
      <c r="M708">
        <v>0</v>
      </c>
      <c r="N708">
        <v>1650</v>
      </c>
    </row>
    <row r="709" spans="1:14" x14ac:dyDescent="0.25">
      <c r="A709">
        <v>435.49579299999999</v>
      </c>
      <c r="B709" s="1">
        <f>DATE(2011,7,10) + TIME(11,53,56)</f>
        <v>40734.495787037034</v>
      </c>
      <c r="C709">
        <v>80</v>
      </c>
      <c r="D709">
        <v>79.913146972999996</v>
      </c>
      <c r="E709">
        <v>40</v>
      </c>
      <c r="F709">
        <v>35.029018401999998</v>
      </c>
      <c r="G709">
        <v>1368.3286132999999</v>
      </c>
      <c r="H709">
        <v>1358.338501</v>
      </c>
      <c r="I709">
        <v>1295.5477295000001</v>
      </c>
      <c r="J709">
        <v>1279.2321777</v>
      </c>
      <c r="K709">
        <v>1650</v>
      </c>
      <c r="L709">
        <v>0</v>
      </c>
      <c r="M709">
        <v>0</v>
      </c>
      <c r="N709">
        <v>1650</v>
      </c>
    </row>
    <row r="710" spans="1:14" x14ac:dyDescent="0.25">
      <c r="A710">
        <v>436.74944199999999</v>
      </c>
      <c r="B710" s="1">
        <f>DATE(2011,7,11) + TIME(17,59,11)</f>
        <v>40735.749432870369</v>
      </c>
      <c r="C710">
        <v>80</v>
      </c>
      <c r="D710">
        <v>79.913200377999999</v>
      </c>
      <c r="E710">
        <v>40</v>
      </c>
      <c r="F710">
        <v>34.946735382</v>
      </c>
      <c r="G710">
        <v>1368.2767334</v>
      </c>
      <c r="H710">
        <v>1358.2950439000001</v>
      </c>
      <c r="I710">
        <v>1295.5064697</v>
      </c>
      <c r="J710">
        <v>1279.1613769999999</v>
      </c>
      <c r="K710">
        <v>1650</v>
      </c>
      <c r="L710">
        <v>0</v>
      </c>
      <c r="M710">
        <v>0</v>
      </c>
      <c r="N710">
        <v>1650</v>
      </c>
    </row>
    <row r="711" spans="1:14" x14ac:dyDescent="0.25">
      <c r="A711">
        <v>438.02388200000001</v>
      </c>
      <c r="B711" s="1">
        <f>DATE(2011,7,13) + TIME(0,34,23)</f>
        <v>40737.023877314816</v>
      </c>
      <c r="C711">
        <v>80</v>
      </c>
      <c r="D711">
        <v>79.913246154999996</v>
      </c>
      <c r="E711">
        <v>40</v>
      </c>
      <c r="F711">
        <v>34.863021850999999</v>
      </c>
      <c r="G711">
        <v>1368.2247314000001</v>
      </c>
      <c r="H711">
        <v>1358.2514647999999</v>
      </c>
      <c r="I711">
        <v>1295.4641113</v>
      </c>
      <c r="J711">
        <v>1279.0883789</v>
      </c>
      <c r="K711">
        <v>1650</v>
      </c>
      <c r="L711">
        <v>0</v>
      </c>
      <c r="M711">
        <v>0</v>
      </c>
      <c r="N711">
        <v>1650</v>
      </c>
    </row>
    <row r="712" spans="1:14" x14ac:dyDescent="0.25">
      <c r="A712">
        <v>439.32243099999999</v>
      </c>
      <c r="B712" s="1">
        <f>DATE(2011,7,14) + TIME(7,44,18)</f>
        <v>40738.322430555556</v>
      </c>
      <c r="C712">
        <v>80</v>
      </c>
      <c r="D712">
        <v>79.913291931000003</v>
      </c>
      <c r="E712">
        <v>40</v>
      </c>
      <c r="F712">
        <v>34.777694701999998</v>
      </c>
      <c r="G712">
        <v>1368.1726074000001</v>
      </c>
      <c r="H712">
        <v>1358.2076416</v>
      </c>
      <c r="I712">
        <v>1295.4206543</v>
      </c>
      <c r="J712">
        <v>1279.0129394999999</v>
      </c>
      <c r="K712">
        <v>1650</v>
      </c>
      <c r="L712">
        <v>0</v>
      </c>
      <c r="M712">
        <v>0</v>
      </c>
      <c r="N712">
        <v>1650</v>
      </c>
    </row>
    <row r="713" spans="1:14" x14ac:dyDescent="0.25">
      <c r="A713">
        <v>440.630133</v>
      </c>
      <c r="B713" s="1">
        <f>DATE(2011,7,15) + TIME(15,7,23)</f>
        <v>40739.630127314813</v>
      </c>
      <c r="C713">
        <v>80</v>
      </c>
      <c r="D713">
        <v>79.913345336999996</v>
      </c>
      <c r="E713">
        <v>40</v>
      </c>
      <c r="F713">
        <v>34.691165924000003</v>
      </c>
      <c r="G713">
        <v>1368.1201172000001</v>
      </c>
      <c r="H713">
        <v>1358.1635742000001</v>
      </c>
      <c r="I713">
        <v>1295.3758545000001</v>
      </c>
      <c r="J713">
        <v>1278.9351807</v>
      </c>
      <c r="K713">
        <v>1650</v>
      </c>
      <c r="L713">
        <v>0</v>
      </c>
      <c r="M713">
        <v>0</v>
      </c>
      <c r="N713">
        <v>1650</v>
      </c>
    </row>
    <row r="714" spans="1:14" x14ac:dyDescent="0.25">
      <c r="A714">
        <v>441.94693799999999</v>
      </c>
      <c r="B714" s="1">
        <f>DATE(2011,7,16) + TIME(22,43,35)</f>
        <v>40740.946932870371</v>
      </c>
      <c r="C714">
        <v>80</v>
      </c>
      <c r="D714">
        <v>79.913398743000002</v>
      </c>
      <c r="E714">
        <v>40</v>
      </c>
      <c r="F714">
        <v>34.603649138999998</v>
      </c>
      <c r="G714">
        <v>1368.0678711</v>
      </c>
      <c r="H714">
        <v>1358.119751</v>
      </c>
      <c r="I714">
        <v>1295.3302002</v>
      </c>
      <c r="J714">
        <v>1278.8555908000001</v>
      </c>
      <c r="K714">
        <v>1650</v>
      </c>
      <c r="L714">
        <v>0</v>
      </c>
      <c r="M714">
        <v>0</v>
      </c>
      <c r="N714">
        <v>1650</v>
      </c>
    </row>
    <row r="715" spans="1:14" x14ac:dyDescent="0.25">
      <c r="A715">
        <v>443.27562699999999</v>
      </c>
      <c r="B715" s="1">
        <f>DATE(2011,7,18) + TIME(6,36,54)</f>
        <v>40742.275625000002</v>
      </c>
      <c r="C715">
        <v>80</v>
      </c>
      <c r="D715">
        <v>79.913452148000005</v>
      </c>
      <c r="E715">
        <v>40</v>
      </c>
      <c r="F715">
        <v>34.515178679999998</v>
      </c>
      <c r="G715">
        <v>1368.0159911999999</v>
      </c>
      <c r="H715">
        <v>1358.0760498</v>
      </c>
      <c r="I715">
        <v>1295.2839355000001</v>
      </c>
      <c r="J715">
        <v>1278.7742920000001</v>
      </c>
      <c r="K715">
        <v>1650</v>
      </c>
      <c r="L715">
        <v>0</v>
      </c>
      <c r="M715">
        <v>0</v>
      </c>
      <c r="N715">
        <v>1650</v>
      </c>
    </row>
    <row r="716" spans="1:14" x14ac:dyDescent="0.25">
      <c r="A716">
        <v>444.619305</v>
      </c>
      <c r="B716" s="1">
        <f>DATE(2011,7,19) + TIME(14,51,47)</f>
        <v>40743.619293981479</v>
      </c>
      <c r="C716">
        <v>80</v>
      </c>
      <c r="D716">
        <v>79.913505553999997</v>
      </c>
      <c r="E716">
        <v>40</v>
      </c>
      <c r="F716">
        <v>34.425685883</v>
      </c>
      <c r="G716">
        <v>1367.9642334</v>
      </c>
      <c r="H716">
        <v>1358.0324707</v>
      </c>
      <c r="I716">
        <v>1295.2368164</v>
      </c>
      <c r="J716">
        <v>1278.6910399999999</v>
      </c>
      <c r="K716">
        <v>1650</v>
      </c>
      <c r="L716">
        <v>0</v>
      </c>
      <c r="M716">
        <v>0</v>
      </c>
      <c r="N716">
        <v>1650</v>
      </c>
    </row>
    <row r="717" spans="1:14" x14ac:dyDescent="0.25">
      <c r="A717">
        <v>445.98119500000001</v>
      </c>
      <c r="B717" s="1">
        <f>DATE(2011,7,20) + TIME(23,32,55)</f>
        <v>40744.981192129628</v>
      </c>
      <c r="C717">
        <v>80</v>
      </c>
      <c r="D717">
        <v>79.913566588999998</v>
      </c>
      <c r="E717">
        <v>40</v>
      </c>
      <c r="F717">
        <v>34.335044861</v>
      </c>
      <c r="G717">
        <v>1367.9125977000001</v>
      </c>
      <c r="H717">
        <v>1357.9888916</v>
      </c>
      <c r="I717">
        <v>1295.1887207</v>
      </c>
      <c r="J717">
        <v>1278.6057129000001</v>
      </c>
      <c r="K717">
        <v>1650</v>
      </c>
      <c r="L717">
        <v>0</v>
      </c>
      <c r="M717">
        <v>0</v>
      </c>
      <c r="N717">
        <v>1650</v>
      </c>
    </row>
    <row r="718" spans="1:14" x14ac:dyDescent="0.25">
      <c r="A718">
        <v>447.36470500000001</v>
      </c>
      <c r="B718" s="1">
        <f>DATE(2011,7,22) + TIME(8,45,10)</f>
        <v>40746.364699074074</v>
      </c>
      <c r="C718">
        <v>80</v>
      </c>
      <c r="D718">
        <v>79.913619995000005</v>
      </c>
      <c r="E718">
        <v>40</v>
      </c>
      <c r="F718">
        <v>34.243099213000001</v>
      </c>
      <c r="G718">
        <v>1367.8608397999999</v>
      </c>
      <c r="H718">
        <v>1357.9453125</v>
      </c>
      <c r="I718">
        <v>1295.1397704999999</v>
      </c>
      <c r="J718">
        <v>1278.5181885</v>
      </c>
      <c r="K718">
        <v>1650</v>
      </c>
      <c r="L718">
        <v>0</v>
      </c>
      <c r="M718">
        <v>0</v>
      </c>
      <c r="N718">
        <v>1650</v>
      </c>
    </row>
    <row r="719" spans="1:14" x14ac:dyDescent="0.25">
      <c r="A719">
        <v>448.77343100000002</v>
      </c>
      <c r="B719" s="1">
        <f>DATE(2011,7,23) + TIME(18,33,44)</f>
        <v>40747.773425925923</v>
      </c>
      <c r="C719">
        <v>80</v>
      </c>
      <c r="D719">
        <v>79.913681030000006</v>
      </c>
      <c r="E719">
        <v>40</v>
      </c>
      <c r="F719">
        <v>34.149677277000002</v>
      </c>
      <c r="G719">
        <v>1367.8089600000001</v>
      </c>
      <c r="H719">
        <v>1357.9013672000001</v>
      </c>
      <c r="I719">
        <v>1295.0897216999999</v>
      </c>
      <c r="J719">
        <v>1278.4282227000001</v>
      </c>
      <c r="K719">
        <v>1650</v>
      </c>
      <c r="L719">
        <v>0</v>
      </c>
      <c r="M719">
        <v>0</v>
      </c>
      <c r="N719">
        <v>1650</v>
      </c>
    </row>
    <row r="720" spans="1:14" x14ac:dyDescent="0.25">
      <c r="A720">
        <v>450.20067999999998</v>
      </c>
      <c r="B720" s="1">
        <f>DATE(2011,7,25) + TIME(4,48,58)</f>
        <v>40749.200671296298</v>
      </c>
      <c r="C720">
        <v>80</v>
      </c>
      <c r="D720">
        <v>79.913742064999994</v>
      </c>
      <c r="E720">
        <v>40</v>
      </c>
      <c r="F720">
        <v>34.054946899000001</v>
      </c>
      <c r="G720">
        <v>1367.7567139</v>
      </c>
      <c r="H720">
        <v>1357.8571777</v>
      </c>
      <c r="I720">
        <v>1295.0384521000001</v>
      </c>
      <c r="J720">
        <v>1278.3356934000001</v>
      </c>
      <c r="K720">
        <v>1650</v>
      </c>
      <c r="L720">
        <v>0</v>
      </c>
      <c r="M720">
        <v>0</v>
      </c>
      <c r="N720">
        <v>1650</v>
      </c>
    </row>
    <row r="721" spans="1:14" x14ac:dyDescent="0.25">
      <c r="A721">
        <v>451.64289300000002</v>
      </c>
      <c r="B721" s="1">
        <f>DATE(2011,7,26) + TIME(15,25,45)</f>
        <v>40750.642881944441</v>
      </c>
      <c r="C721">
        <v>80</v>
      </c>
      <c r="D721">
        <v>79.913810729999994</v>
      </c>
      <c r="E721">
        <v>40</v>
      </c>
      <c r="F721">
        <v>33.959148407000001</v>
      </c>
      <c r="G721">
        <v>1367.7044678</v>
      </c>
      <c r="H721">
        <v>1357.8128661999999</v>
      </c>
      <c r="I721">
        <v>1294.9862060999999</v>
      </c>
      <c r="J721">
        <v>1278.2410889</v>
      </c>
      <c r="K721">
        <v>1650</v>
      </c>
      <c r="L721">
        <v>0</v>
      </c>
      <c r="M721">
        <v>0</v>
      </c>
      <c r="N721">
        <v>1650</v>
      </c>
    </row>
    <row r="722" spans="1:14" x14ac:dyDescent="0.25">
      <c r="A722">
        <v>453.10416199999997</v>
      </c>
      <c r="B722" s="1">
        <f>DATE(2011,7,28) + TIME(2,29,59)</f>
        <v>40752.104155092595</v>
      </c>
      <c r="C722">
        <v>80</v>
      </c>
      <c r="D722">
        <v>79.913871764999996</v>
      </c>
      <c r="E722">
        <v>40</v>
      </c>
      <c r="F722">
        <v>33.862308501999998</v>
      </c>
      <c r="G722">
        <v>1367.6522216999999</v>
      </c>
      <c r="H722">
        <v>1357.7686768000001</v>
      </c>
      <c r="I722">
        <v>1294.9332274999999</v>
      </c>
      <c r="J722">
        <v>1278.1442870999999</v>
      </c>
      <c r="K722">
        <v>1650</v>
      </c>
      <c r="L722">
        <v>0</v>
      </c>
      <c r="M722">
        <v>0</v>
      </c>
      <c r="N722">
        <v>1650</v>
      </c>
    </row>
    <row r="723" spans="1:14" x14ac:dyDescent="0.25">
      <c r="A723">
        <v>454.586142</v>
      </c>
      <c r="B723" s="1">
        <f>DATE(2011,7,29) + TIME(14,4,2)</f>
        <v>40753.586134259262</v>
      </c>
      <c r="C723">
        <v>80</v>
      </c>
      <c r="D723">
        <v>79.913940429999997</v>
      </c>
      <c r="E723">
        <v>40</v>
      </c>
      <c r="F723">
        <v>33.764415741000001</v>
      </c>
      <c r="G723">
        <v>1367.5998535000001</v>
      </c>
      <c r="H723">
        <v>1357.7242432</v>
      </c>
      <c r="I723">
        <v>1294.8795166</v>
      </c>
      <c r="J723">
        <v>1278.0454102000001</v>
      </c>
      <c r="K723">
        <v>1650</v>
      </c>
      <c r="L723">
        <v>0</v>
      </c>
      <c r="M723">
        <v>0</v>
      </c>
      <c r="N723">
        <v>1650</v>
      </c>
    </row>
    <row r="724" spans="1:14" x14ac:dyDescent="0.25">
      <c r="A724">
        <v>456.07907599999999</v>
      </c>
      <c r="B724" s="1">
        <f>DATE(2011,7,31) + TIME(1,53,52)</f>
        <v>40755.079074074078</v>
      </c>
      <c r="C724">
        <v>80</v>
      </c>
      <c r="D724">
        <v>79.914009093999994</v>
      </c>
      <c r="E724">
        <v>40</v>
      </c>
      <c r="F724">
        <v>33.665802002</v>
      </c>
      <c r="G724">
        <v>1367.5473632999999</v>
      </c>
      <c r="H724">
        <v>1357.6796875</v>
      </c>
      <c r="I724">
        <v>1294.8248291</v>
      </c>
      <c r="J724">
        <v>1277.9444579999999</v>
      </c>
      <c r="K724">
        <v>1650</v>
      </c>
      <c r="L724">
        <v>0</v>
      </c>
      <c r="M724">
        <v>0</v>
      </c>
      <c r="N724">
        <v>1650</v>
      </c>
    </row>
    <row r="725" spans="1:14" x14ac:dyDescent="0.25">
      <c r="A725">
        <v>457</v>
      </c>
      <c r="B725" s="1">
        <f>DATE(2011,8,1) + TIME(0,0,0)</f>
        <v>40756</v>
      </c>
      <c r="C725">
        <v>80</v>
      </c>
      <c r="D725">
        <v>79.914039611999996</v>
      </c>
      <c r="E725">
        <v>40</v>
      </c>
      <c r="F725">
        <v>33.589191436999997</v>
      </c>
      <c r="G725">
        <v>1367.4948730000001</v>
      </c>
      <c r="H725">
        <v>1357.6350098</v>
      </c>
      <c r="I725">
        <v>1294.7705077999999</v>
      </c>
      <c r="J725">
        <v>1277.8509521000001</v>
      </c>
      <c r="K725">
        <v>1650</v>
      </c>
      <c r="L725">
        <v>0</v>
      </c>
      <c r="M725">
        <v>0</v>
      </c>
      <c r="N725">
        <v>1650</v>
      </c>
    </row>
    <row r="726" spans="1:14" x14ac:dyDescent="0.25">
      <c r="A726">
        <v>458.50174399999997</v>
      </c>
      <c r="B726" s="1">
        <f>DATE(2011,8,2) + TIME(12,2,30)</f>
        <v>40757.501736111109</v>
      </c>
      <c r="C726">
        <v>80</v>
      </c>
      <c r="D726">
        <v>79.914115906000006</v>
      </c>
      <c r="E726">
        <v>40</v>
      </c>
      <c r="F726">
        <v>33.498706818000002</v>
      </c>
      <c r="G726">
        <v>1367.4630127</v>
      </c>
      <c r="H726">
        <v>1357.6077881000001</v>
      </c>
      <c r="I726">
        <v>1294.7346190999999</v>
      </c>
      <c r="J726">
        <v>1277.7738036999999</v>
      </c>
      <c r="K726">
        <v>1650</v>
      </c>
      <c r="L726">
        <v>0</v>
      </c>
      <c r="M726">
        <v>0</v>
      </c>
      <c r="N726">
        <v>1650</v>
      </c>
    </row>
    <row r="727" spans="1:14" x14ac:dyDescent="0.25">
      <c r="A727">
        <v>460.02483699999999</v>
      </c>
      <c r="B727" s="1">
        <f>DATE(2011,8,4) + TIME(0,35,45)</f>
        <v>40759.024826388886</v>
      </c>
      <c r="C727">
        <v>80</v>
      </c>
      <c r="D727">
        <v>79.914192200000002</v>
      </c>
      <c r="E727">
        <v>40</v>
      </c>
      <c r="F727">
        <v>33.403308868000003</v>
      </c>
      <c r="G727">
        <v>1367.4113769999999</v>
      </c>
      <c r="H727">
        <v>1357.5638428</v>
      </c>
      <c r="I727">
        <v>1294.6799315999999</v>
      </c>
      <c r="J727">
        <v>1277.671875</v>
      </c>
      <c r="K727">
        <v>1650</v>
      </c>
      <c r="L727">
        <v>0</v>
      </c>
      <c r="M727">
        <v>0</v>
      </c>
      <c r="N727">
        <v>1650</v>
      </c>
    </row>
    <row r="728" spans="1:14" x14ac:dyDescent="0.25">
      <c r="A728">
        <v>461.56536699999998</v>
      </c>
      <c r="B728" s="1">
        <f>DATE(2011,8,5) + TIME(13,34,7)</f>
        <v>40760.565358796295</v>
      </c>
      <c r="C728">
        <v>80</v>
      </c>
      <c r="D728">
        <v>79.914268493999998</v>
      </c>
      <c r="E728">
        <v>40</v>
      </c>
      <c r="F728">
        <v>33.305404662999997</v>
      </c>
      <c r="G728">
        <v>1367.3596190999999</v>
      </c>
      <c r="H728">
        <v>1357.5196533000001</v>
      </c>
      <c r="I728">
        <v>1294.6242675999999</v>
      </c>
      <c r="J728">
        <v>1277.5668945</v>
      </c>
      <c r="K728">
        <v>1650</v>
      </c>
      <c r="L728">
        <v>0</v>
      </c>
      <c r="M728">
        <v>0</v>
      </c>
      <c r="N728">
        <v>1650</v>
      </c>
    </row>
    <row r="729" spans="1:14" x14ac:dyDescent="0.25">
      <c r="A729">
        <v>463.12712699999997</v>
      </c>
      <c r="B729" s="1">
        <f>DATE(2011,8,7) + TIME(3,3,3)</f>
        <v>40762.127118055556</v>
      </c>
      <c r="C729">
        <v>80</v>
      </c>
      <c r="D729">
        <v>79.914344787999994</v>
      </c>
      <c r="E729">
        <v>40</v>
      </c>
      <c r="F729">
        <v>33.206119536999999</v>
      </c>
      <c r="G729">
        <v>1367.3076172000001</v>
      </c>
      <c r="H729">
        <v>1357.4752197</v>
      </c>
      <c r="I729">
        <v>1294.5681152</v>
      </c>
      <c r="J729">
        <v>1277.4595947</v>
      </c>
      <c r="K729">
        <v>1650</v>
      </c>
      <c r="L729">
        <v>0</v>
      </c>
      <c r="M729">
        <v>0</v>
      </c>
      <c r="N729">
        <v>1650</v>
      </c>
    </row>
    <row r="730" spans="1:14" x14ac:dyDescent="0.25">
      <c r="A730">
        <v>464.71408600000001</v>
      </c>
      <c r="B730" s="1">
        <f>DATE(2011,8,8) + TIME(17,8,17)</f>
        <v>40763.714085648149</v>
      </c>
      <c r="C730">
        <v>80</v>
      </c>
      <c r="D730">
        <v>79.914421082000004</v>
      </c>
      <c r="E730">
        <v>40</v>
      </c>
      <c r="F730">
        <v>33.105953217</v>
      </c>
      <c r="G730">
        <v>1367.2556152</v>
      </c>
      <c r="H730">
        <v>1357.4306641000001</v>
      </c>
      <c r="I730">
        <v>1294.5113524999999</v>
      </c>
      <c r="J730">
        <v>1277.3503418</v>
      </c>
      <c r="K730">
        <v>1650</v>
      </c>
      <c r="L730">
        <v>0</v>
      </c>
      <c r="M730">
        <v>0</v>
      </c>
      <c r="N730">
        <v>1650</v>
      </c>
    </row>
    <row r="731" spans="1:14" x14ac:dyDescent="0.25">
      <c r="A731">
        <v>466.330445</v>
      </c>
      <c r="B731" s="1">
        <f>DATE(2011,8,10) + TIME(7,55,50)</f>
        <v>40765.330439814818</v>
      </c>
      <c r="C731">
        <v>80</v>
      </c>
      <c r="D731">
        <v>79.914497374999996</v>
      </c>
      <c r="E731">
        <v>40</v>
      </c>
      <c r="F731">
        <v>33.005107879999997</v>
      </c>
      <c r="G731">
        <v>1367.2032471</v>
      </c>
      <c r="H731">
        <v>1357.3858643000001</v>
      </c>
      <c r="I731">
        <v>1294.4541016000001</v>
      </c>
      <c r="J731">
        <v>1277.2390137</v>
      </c>
      <c r="K731">
        <v>1650</v>
      </c>
      <c r="L731">
        <v>0</v>
      </c>
      <c r="M731">
        <v>0</v>
      </c>
      <c r="N731">
        <v>1650</v>
      </c>
    </row>
    <row r="732" spans="1:14" x14ac:dyDescent="0.25">
      <c r="A732">
        <v>467.965709</v>
      </c>
      <c r="B732" s="1">
        <f>DATE(2011,8,11) + TIME(23,10,37)</f>
        <v>40766.96570601852</v>
      </c>
      <c r="C732">
        <v>80</v>
      </c>
      <c r="D732">
        <v>79.914581299000005</v>
      </c>
      <c r="E732">
        <v>40</v>
      </c>
      <c r="F732">
        <v>32.904087066999999</v>
      </c>
      <c r="G732">
        <v>1367.1503906</v>
      </c>
      <c r="H732">
        <v>1357.3404541</v>
      </c>
      <c r="I732">
        <v>1294.3963623</v>
      </c>
      <c r="J732">
        <v>1277.1258545000001</v>
      </c>
      <c r="K732">
        <v>1650</v>
      </c>
      <c r="L732">
        <v>0</v>
      </c>
      <c r="M732">
        <v>0</v>
      </c>
      <c r="N732">
        <v>1650</v>
      </c>
    </row>
    <row r="733" spans="1:14" x14ac:dyDescent="0.25">
      <c r="A733">
        <v>469.61387500000001</v>
      </c>
      <c r="B733" s="1">
        <f>DATE(2011,8,13) + TIME(14,43,58)</f>
        <v>40768.613865740743</v>
      </c>
      <c r="C733">
        <v>80</v>
      </c>
      <c r="D733">
        <v>79.914657593000001</v>
      </c>
      <c r="E733">
        <v>40</v>
      </c>
      <c r="F733">
        <v>32.803508759000003</v>
      </c>
      <c r="G733">
        <v>1367.0974120999999</v>
      </c>
      <c r="H733">
        <v>1357.2950439000001</v>
      </c>
      <c r="I733">
        <v>1294.338501</v>
      </c>
      <c r="J733">
        <v>1277.0115966999999</v>
      </c>
      <c r="K733">
        <v>1650</v>
      </c>
      <c r="L733">
        <v>0</v>
      </c>
      <c r="M733">
        <v>0</v>
      </c>
      <c r="N733">
        <v>1650</v>
      </c>
    </row>
    <row r="734" spans="1:14" x14ac:dyDescent="0.25">
      <c r="A734">
        <v>471.27900099999999</v>
      </c>
      <c r="B734" s="1">
        <f>DATE(2011,8,15) + TIME(6,41,45)</f>
        <v>40770.278993055559</v>
      </c>
      <c r="C734">
        <v>80</v>
      </c>
      <c r="D734">
        <v>79.914741516000007</v>
      </c>
      <c r="E734">
        <v>40</v>
      </c>
      <c r="F734">
        <v>32.703739165999998</v>
      </c>
      <c r="G734">
        <v>1367.0445557</v>
      </c>
      <c r="H734">
        <v>1357.2495117000001</v>
      </c>
      <c r="I734">
        <v>1294.2810059000001</v>
      </c>
      <c r="J734">
        <v>1276.8966064000001</v>
      </c>
      <c r="K734">
        <v>1650</v>
      </c>
      <c r="L734">
        <v>0</v>
      </c>
      <c r="M734">
        <v>0</v>
      </c>
      <c r="N734">
        <v>1650</v>
      </c>
    </row>
    <row r="735" spans="1:14" x14ac:dyDescent="0.25">
      <c r="A735">
        <v>472.96520900000002</v>
      </c>
      <c r="B735" s="1">
        <f>DATE(2011,8,16) + TIME(23,9,54)</f>
        <v>40771.965208333335</v>
      </c>
      <c r="C735">
        <v>80</v>
      </c>
      <c r="D735">
        <v>79.914833068999997</v>
      </c>
      <c r="E735">
        <v>40</v>
      </c>
      <c r="F735">
        <v>32.604999542000002</v>
      </c>
      <c r="G735">
        <v>1366.9916992000001</v>
      </c>
      <c r="H735">
        <v>1357.2039795000001</v>
      </c>
      <c r="I735">
        <v>1294.2237548999999</v>
      </c>
      <c r="J735">
        <v>1276.7811279</v>
      </c>
      <c r="K735">
        <v>1650</v>
      </c>
      <c r="L735">
        <v>0</v>
      </c>
      <c r="M735">
        <v>0</v>
      </c>
      <c r="N735">
        <v>1650</v>
      </c>
    </row>
    <row r="736" spans="1:14" x14ac:dyDescent="0.25">
      <c r="A736">
        <v>474.66787599999998</v>
      </c>
      <c r="B736" s="1">
        <f>DATE(2011,8,18) + TIME(16,1,44)</f>
        <v>40773.667870370373</v>
      </c>
      <c r="C736">
        <v>80</v>
      </c>
      <c r="D736">
        <v>79.914916992000002</v>
      </c>
      <c r="E736">
        <v>40</v>
      </c>
      <c r="F736">
        <v>32.507698058999999</v>
      </c>
      <c r="G736">
        <v>1366.9385986</v>
      </c>
      <c r="H736">
        <v>1357.1582031</v>
      </c>
      <c r="I736">
        <v>1294.1668701000001</v>
      </c>
      <c r="J736">
        <v>1276.6650391000001</v>
      </c>
      <c r="K736">
        <v>1650</v>
      </c>
      <c r="L736">
        <v>0</v>
      </c>
      <c r="M736">
        <v>0</v>
      </c>
      <c r="N736">
        <v>1650</v>
      </c>
    </row>
    <row r="737" spans="1:14" x14ac:dyDescent="0.25">
      <c r="A737">
        <v>476.382361</v>
      </c>
      <c r="B737" s="1">
        <f>DATE(2011,8,20) + TIME(9,10,35)</f>
        <v>40775.382349537038</v>
      </c>
      <c r="C737">
        <v>80</v>
      </c>
      <c r="D737">
        <v>79.915000915999997</v>
      </c>
      <c r="E737">
        <v>40</v>
      </c>
      <c r="F737">
        <v>32.412399292000003</v>
      </c>
      <c r="G737">
        <v>1366.885376</v>
      </c>
      <c r="H737">
        <v>1357.1123047000001</v>
      </c>
      <c r="I737">
        <v>1294.1107178</v>
      </c>
      <c r="J737">
        <v>1276.5490723</v>
      </c>
      <c r="K737">
        <v>1650</v>
      </c>
      <c r="L737">
        <v>0</v>
      </c>
      <c r="M737">
        <v>0</v>
      </c>
      <c r="N737">
        <v>1650</v>
      </c>
    </row>
    <row r="738" spans="1:14" x14ac:dyDescent="0.25">
      <c r="A738">
        <v>478.11292900000001</v>
      </c>
      <c r="B738" s="1">
        <f>DATE(2011,8,22) + TIME(2,42,37)</f>
        <v>40777.112928240742</v>
      </c>
      <c r="C738">
        <v>80</v>
      </c>
      <c r="D738">
        <v>79.915092467999997</v>
      </c>
      <c r="E738">
        <v>40</v>
      </c>
      <c r="F738">
        <v>32.319530487000002</v>
      </c>
      <c r="G738">
        <v>1366.8323975000001</v>
      </c>
      <c r="H738">
        <v>1357.0664062000001</v>
      </c>
      <c r="I738">
        <v>1294.0554199000001</v>
      </c>
      <c r="J738">
        <v>1276.4334716999999</v>
      </c>
      <c r="K738">
        <v>1650</v>
      </c>
      <c r="L738">
        <v>0</v>
      </c>
      <c r="M738">
        <v>0</v>
      </c>
      <c r="N738">
        <v>1650</v>
      </c>
    </row>
    <row r="739" spans="1:14" x14ac:dyDescent="0.25">
      <c r="A739">
        <v>479.86365799999999</v>
      </c>
      <c r="B739" s="1">
        <f>DATE(2011,8,23) + TIME(20,43,40)</f>
        <v>40778.863657407404</v>
      </c>
      <c r="C739">
        <v>80</v>
      </c>
      <c r="D739">
        <v>79.915184021000002</v>
      </c>
      <c r="E739">
        <v>40</v>
      </c>
      <c r="F739">
        <v>32.229457855</v>
      </c>
      <c r="G739">
        <v>1366.7792969</v>
      </c>
      <c r="H739">
        <v>1357.0202637</v>
      </c>
      <c r="I739">
        <v>1294.0010986</v>
      </c>
      <c r="J739">
        <v>1276.3186035000001</v>
      </c>
      <c r="K739">
        <v>1650</v>
      </c>
      <c r="L739">
        <v>0</v>
      </c>
      <c r="M739">
        <v>0</v>
      </c>
      <c r="N739">
        <v>1650</v>
      </c>
    </row>
    <row r="740" spans="1:14" x14ac:dyDescent="0.25">
      <c r="A740">
        <v>481.63881600000002</v>
      </c>
      <c r="B740" s="1">
        <f>DATE(2011,8,25) + TIME(15,19,53)</f>
        <v>40780.638807870368</v>
      </c>
      <c r="C740">
        <v>80</v>
      </c>
      <c r="D740">
        <v>79.915275574000006</v>
      </c>
      <c r="E740">
        <v>40</v>
      </c>
      <c r="F740">
        <v>32.142562865999999</v>
      </c>
      <c r="G740">
        <v>1366.7259521000001</v>
      </c>
      <c r="H740">
        <v>1356.973999</v>
      </c>
      <c r="I740">
        <v>1293.947876</v>
      </c>
      <c r="J740">
        <v>1276.2043457</v>
      </c>
      <c r="K740">
        <v>1650</v>
      </c>
      <c r="L740">
        <v>0</v>
      </c>
      <c r="M740">
        <v>0</v>
      </c>
      <c r="N740">
        <v>1650</v>
      </c>
    </row>
    <row r="741" spans="1:14" x14ac:dyDescent="0.25">
      <c r="A741">
        <v>483.43826799999999</v>
      </c>
      <c r="B741" s="1">
        <f>DATE(2011,8,27) + TIME(10,31,6)</f>
        <v>40782.438263888886</v>
      </c>
      <c r="C741">
        <v>80</v>
      </c>
      <c r="D741">
        <v>79.915367126000007</v>
      </c>
      <c r="E741">
        <v>40</v>
      </c>
      <c r="F741">
        <v>32.059387207</v>
      </c>
      <c r="G741">
        <v>1366.6723632999999</v>
      </c>
      <c r="H741">
        <v>1356.9274902</v>
      </c>
      <c r="I741">
        <v>1293.8957519999999</v>
      </c>
      <c r="J741">
        <v>1276.0909423999999</v>
      </c>
      <c r="K741">
        <v>1650</v>
      </c>
      <c r="L741">
        <v>0</v>
      </c>
      <c r="M741">
        <v>0</v>
      </c>
      <c r="N741">
        <v>1650</v>
      </c>
    </row>
    <row r="742" spans="1:14" x14ac:dyDescent="0.25">
      <c r="A742">
        <v>485.258848</v>
      </c>
      <c r="B742" s="1">
        <f>DATE(2011,8,29) + TIME(6,12,44)</f>
        <v>40784.258842592593</v>
      </c>
      <c r="C742">
        <v>80</v>
      </c>
      <c r="D742">
        <v>79.915466308999996</v>
      </c>
      <c r="E742">
        <v>40</v>
      </c>
      <c r="F742">
        <v>31.980657577999999</v>
      </c>
      <c r="G742">
        <v>1366.6184082</v>
      </c>
      <c r="H742">
        <v>1356.8804932</v>
      </c>
      <c r="I742">
        <v>1293.8450928</v>
      </c>
      <c r="J742">
        <v>1275.9788818</v>
      </c>
      <c r="K742">
        <v>1650</v>
      </c>
      <c r="L742">
        <v>0</v>
      </c>
      <c r="M742">
        <v>0</v>
      </c>
      <c r="N742">
        <v>1650</v>
      </c>
    </row>
    <row r="743" spans="1:14" x14ac:dyDescent="0.25">
      <c r="A743">
        <v>487.09143399999999</v>
      </c>
      <c r="B743" s="1">
        <f>DATE(2011,8,31) + TIME(2,11,39)</f>
        <v>40786.091423611113</v>
      </c>
      <c r="C743">
        <v>80</v>
      </c>
      <c r="D743">
        <v>79.915565490999995</v>
      </c>
      <c r="E743">
        <v>40</v>
      </c>
      <c r="F743">
        <v>31.907341002999999</v>
      </c>
      <c r="G743">
        <v>1366.5642089999999</v>
      </c>
      <c r="H743">
        <v>1356.8332519999999</v>
      </c>
      <c r="I743">
        <v>1293.7960204999999</v>
      </c>
      <c r="J743">
        <v>1275.8687743999999</v>
      </c>
      <c r="K743">
        <v>1650</v>
      </c>
      <c r="L743">
        <v>0</v>
      </c>
      <c r="M743">
        <v>0</v>
      </c>
      <c r="N743">
        <v>1650</v>
      </c>
    </row>
    <row r="744" spans="1:14" x14ac:dyDescent="0.25">
      <c r="A744">
        <v>488</v>
      </c>
      <c r="B744" s="1">
        <f>DATE(2011,9,1) + TIME(0,0,0)</f>
        <v>40787</v>
      </c>
      <c r="C744">
        <v>80</v>
      </c>
      <c r="D744">
        <v>79.915596007999994</v>
      </c>
      <c r="E744">
        <v>40</v>
      </c>
      <c r="F744">
        <v>31.860189437999999</v>
      </c>
      <c r="G744">
        <v>1366.5100098</v>
      </c>
      <c r="H744">
        <v>1356.7857666</v>
      </c>
      <c r="I744">
        <v>1293.7536620999999</v>
      </c>
      <c r="J744">
        <v>1275.7767334</v>
      </c>
      <c r="K744">
        <v>1650</v>
      </c>
      <c r="L744">
        <v>0</v>
      </c>
      <c r="M744">
        <v>0</v>
      </c>
      <c r="N744">
        <v>1650</v>
      </c>
    </row>
    <row r="745" spans="1:14" x14ac:dyDescent="0.25">
      <c r="A745">
        <v>489.84362599999997</v>
      </c>
      <c r="B745" s="1">
        <f>DATE(2011,9,2) + TIME(20,14,49)</f>
        <v>40788.843622685185</v>
      </c>
      <c r="C745">
        <v>80</v>
      </c>
      <c r="D745">
        <v>79.915702820000007</v>
      </c>
      <c r="E745">
        <v>40</v>
      </c>
      <c r="F745">
        <v>31.805198668999999</v>
      </c>
      <c r="G745">
        <v>1366.4832764</v>
      </c>
      <c r="H745">
        <v>1356.7623291</v>
      </c>
      <c r="I745">
        <v>1293.7247314000001</v>
      </c>
      <c r="J745">
        <v>1275.7039795000001</v>
      </c>
      <c r="K745">
        <v>1650</v>
      </c>
      <c r="L745">
        <v>0</v>
      </c>
      <c r="M745">
        <v>0</v>
      </c>
      <c r="N745">
        <v>1650</v>
      </c>
    </row>
    <row r="746" spans="1:14" x14ac:dyDescent="0.25">
      <c r="A746">
        <v>491.71463599999998</v>
      </c>
      <c r="B746" s="1">
        <f>DATE(2011,9,4) + TIME(17,9,4)</f>
        <v>40790.714629629627</v>
      </c>
      <c r="C746">
        <v>80</v>
      </c>
      <c r="D746">
        <v>79.915809631000002</v>
      </c>
      <c r="E746">
        <v>40</v>
      </c>
      <c r="F746">
        <v>31.752794265999999</v>
      </c>
      <c r="G746">
        <v>1366.4295654</v>
      </c>
      <c r="H746">
        <v>1356.715332</v>
      </c>
      <c r="I746">
        <v>1293.6831055</v>
      </c>
      <c r="J746">
        <v>1275.6062012</v>
      </c>
      <c r="K746">
        <v>1650</v>
      </c>
      <c r="L746">
        <v>0</v>
      </c>
      <c r="M746">
        <v>0</v>
      </c>
      <c r="N746">
        <v>1650</v>
      </c>
    </row>
    <row r="747" spans="1:14" x14ac:dyDescent="0.25">
      <c r="A747">
        <v>493.59967799999998</v>
      </c>
      <c r="B747" s="1">
        <f>DATE(2011,9,6) + TIME(14,23,32)</f>
        <v>40792.599675925929</v>
      </c>
      <c r="C747">
        <v>80</v>
      </c>
      <c r="D747">
        <v>79.915908813000001</v>
      </c>
      <c r="E747">
        <v>40</v>
      </c>
      <c r="F747">
        <v>31.706846237000001</v>
      </c>
      <c r="G747">
        <v>1366.3752440999999</v>
      </c>
      <c r="H747">
        <v>1356.6676024999999</v>
      </c>
      <c r="I747">
        <v>1293.6430664</v>
      </c>
      <c r="J747">
        <v>1275.5097656</v>
      </c>
      <c r="K747">
        <v>1650</v>
      </c>
      <c r="L747">
        <v>0</v>
      </c>
      <c r="M747">
        <v>0</v>
      </c>
      <c r="N747">
        <v>1650</v>
      </c>
    </row>
    <row r="748" spans="1:14" x14ac:dyDescent="0.25">
      <c r="A748">
        <v>495.48915199999999</v>
      </c>
      <c r="B748" s="1">
        <f>DATE(2011,9,8) + TIME(11,44,22)</f>
        <v>40794.48914351852</v>
      </c>
      <c r="C748">
        <v>80</v>
      </c>
      <c r="D748">
        <v>79.916015625</v>
      </c>
      <c r="E748">
        <v>40</v>
      </c>
      <c r="F748">
        <v>31.669708252</v>
      </c>
      <c r="G748">
        <v>1366.3208007999999</v>
      </c>
      <c r="H748">
        <v>1356.619751</v>
      </c>
      <c r="I748">
        <v>1293.6054687999999</v>
      </c>
      <c r="J748">
        <v>1275.4171143000001</v>
      </c>
      <c r="K748">
        <v>1650</v>
      </c>
      <c r="L748">
        <v>0</v>
      </c>
      <c r="M748">
        <v>0</v>
      </c>
      <c r="N748">
        <v>1650</v>
      </c>
    </row>
    <row r="749" spans="1:14" x14ac:dyDescent="0.25">
      <c r="A749">
        <v>497.39230500000002</v>
      </c>
      <c r="B749" s="1">
        <f>DATE(2011,9,10) + TIME(9,24,55)</f>
        <v>40796.39230324074</v>
      </c>
      <c r="C749">
        <v>80</v>
      </c>
      <c r="D749">
        <v>79.916114807</v>
      </c>
      <c r="E749">
        <v>40</v>
      </c>
      <c r="F749">
        <v>31.642850876000001</v>
      </c>
      <c r="G749">
        <v>1366.2667236</v>
      </c>
      <c r="H749">
        <v>1356.5721435999999</v>
      </c>
      <c r="I749">
        <v>1293.5709228999999</v>
      </c>
      <c r="J749">
        <v>1275.3294678</v>
      </c>
      <c r="K749">
        <v>1650</v>
      </c>
      <c r="L749">
        <v>0</v>
      </c>
      <c r="M749">
        <v>0</v>
      </c>
      <c r="N749">
        <v>1650</v>
      </c>
    </row>
    <row r="750" spans="1:14" x14ac:dyDescent="0.25">
      <c r="A750">
        <v>499.31442099999998</v>
      </c>
      <c r="B750" s="1">
        <f>DATE(2011,9,12) + TIME(7,32,45)</f>
        <v>40798.314409722225</v>
      </c>
      <c r="C750">
        <v>80</v>
      </c>
      <c r="D750">
        <v>79.916221618999998</v>
      </c>
      <c r="E750">
        <v>40</v>
      </c>
      <c r="F750">
        <v>31.627464293999999</v>
      </c>
      <c r="G750">
        <v>1366.2125243999999</v>
      </c>
      <c r="H750">
        <v>1356.5242920000001</v>
      </c>
      <c r="I750">
        <v>1293.5395507999999</v>
      </c>
      <c r="J750">
        <v>1275.2475586</v>
      </c>
      <c r="K750">
        <v>1650</v>
      </c>
      <c r="L750">
        <v>0</v>
      </c>
      <c r="M750">
        <v>0</v>
      </c>
      <c r="N750">
        <v>1650</v>
      </c>
    </row>
    <row r="751" spans="1:14" x14ac:dyDescent="0.25">
      <c r="A751">
        <v>501.25525399999998</v>
      </c>
      <c r="B751" s="1">
        <f>DATE(2011,9,14) + TIME(6,7,33)</f>
        <v>40800.255243055559</v>
      </c>
      <c r="C751">
        <v>80</v>
      </c>
      <c r="D751">
        <v>79.916328429999993</v>
      </c>
      <c r="E751">
        <v>40</v>
      </c>
      <c r="F751">
        <v>31.624734878999998</v>
      </c>
      <c r="G751">
        <v>1366.1580810999999</v>
      </c>
      <c r="H751">
        <v>1356.4761963000001</v>
      </c>
      <c r="I751">
        <v>1293.5114745999999</v>
      </c>
      <c r="J751">
        <v>1275.1717529</v>
      </c>
      <c r="K751">
        <v>1650</v>
      </c>
      <c r="L751">
        <v>0</v>
      </c>
      <c r="M751">
        <v>0</v>
      </c>
      <c r="N751">
        <v>1650</v>
      </c>
    </row>
    <row r="752" spans="1:14" x14ac:dyDescent="0.25">
      <c r="A752">
        <v>503.21068600000001</v>
      </c>
      <c r="B752" s="1">
        <f>DATE(2011,9,16) + TIME(5,3,23)</f>
        <v>40802.210682870369</v>
      </c>
      <c r="C752">
        <v>80</v>
      </c>
      <c r="D752">
        <v>79.916435242000006</v>
      </c>
      <c r="E752">
        <v>40</v>
      </c>
      <c r="F752">
        <v>31.635852814</v>
      </c>
      <c r="G752">
        <v>1366.1035156</v>
      </c>
      <c r="H752">
        <v>1356.4278564000001</v>
      </c>
      <c r="I752">
        <v>1293.4870605000001</v>
      </c>
      <c r="J752">
        <v>1275.1027832</v>
      </c>
      <c r="K752">
        <v>1650</v>
      </c>
      <c r="L752">
        <v>0</v>
      </c>
      <c r="M752">
        <v>0</v>
      </c>
      <c r="N752">
        <v>1650</v>
      </c>
    </row>
    <row r="753" spans="1:14" x14ac:dyDescent="0.25">
      <c r="A753">
        <v>505.18625700000001</v>
      </c>
      <c r="B753" s="1">
        <f>DATE(2011,9,18) + TIME(4,28,12)</f>
        <v>40804.186249999999</v>
      </c>
      <c r="C753">
        <v>80</v>
      </c>
      <c r="D753">
        <v>79.916542053000001</v>
      </c>
      <c r="E753">
        <v>40</v>
      </c>
      <c r="F753">
        <v>31.661970139000001</v>
      </c>
      <c r="G753">
        <v>1366.0488281</v>
      </c>
      <c r="H753">
        <v>1356.3793945</v>
      </c>
      <c r="I753">
        <v>1293.4664307</v>
      </c>
      <c r="J753">
        <v>1275.0413818</v>
      </c>
      <c r="K753">
        <v>1650</v>
      </c>
      <c r="L753">
        <v>0</v>
      </c>
      <c r="M753">
        <v>0</v>
      </c>
      <c r="N753">
        <v>1650</v>
      </c>
    </row>
    <row r="754" spans="1:14" x14ac:dyDescent="0.25">
      <c r="A754">
        <v>507.18828100000002</v>
      </c>
      <c r="B754" s="1">
        <f>DATE(2011,9,20) + TIME(4,31,7)</f>
        <v>40806.188275462962</v>
      </c>
      <c r="C754">
        <v>80</v>
      </c>
      <c r="D754">
        <v>79.916656493999994</v>
      </c>
      <c r="E754">
        <v>40</v>
      </c>
      <c r="F754">
        <v>31.704334258999999</v>
      </c>
      <c r="G754">
        <v>1365.9938964999999</v>
      </c>
      <c r="H754">
        <v>1356.3305664</v>
      </c>
      <c r="I754">
        <v>1293.449707</v>
      </c>
      <c r="J754">
        <v>1274.9880370999999</v>
      </c>
      <c r="K754">
        <v>1650</v>
      </c>
      <c r="L754">
        <v>0</v>
      </c>
      <c r="M754">
        <v>0</v>
      </c>
      <c r="N754">
        <v>1650</v>
      </c>
    </row>
    <row r="755" spans="1:14" x14ac:dyDescent="0.25">
      <c r="A755">
        <v>509.22339299999999</v>
      </c>
      <c r="B755" s="1">
        <f>DATE(2011,9,22) + TIME(5,21,41)</f>
        <v>40808.223391203705</v>
      </c>
      <c r="C755">
        <v>80</v>
      </c>
      <c r="D755">
        <v>79.916763306000007</v>
      </c>
      <c r="E755">
        <v>40</v>
      </c>
      <c r="F755">
        <v>31.764326096000001</v>
      </c>
      <c r="G755">
        <v>1365.9387207</v>
      </c>
      <c r="H755">
        <v>1356.2813721</v>
      </c>
      <c r="I755">
        <v>1293.4370117000001</v>
      </c>
      <c r="J755">
        <v>1274.9431152</v>
      </c>
      <c r="K755">
        <v>1650</v>
      </c>
      <c r="L755">
        <v>0</v>
      </c>
      <c r="M755">
        <v>0</v>
      </c>
      <c r="N755">
        <v>1650</v>
      </c>
    </row>
    <row r="756" spans="1:14" x14ac:dyDescent="0.25">
      <c r="A756">
        <v>511.27268199999997</v>
      </c>
      <c r="B756" s="1">
        <f>DATE(2011,9,24) + TIME(6,32,39)</f>
        <v>40810.272673611114</v>
      </c>
      <c r="C756">
        <v>80</v>
      </c>
      <c r="D756">
        <v>79.916877747000001</v>
      </c>
      <c r="E756">
        <v>40</v>
      </c>
      <c r="F756">
        <v>31.843105315999999</v>
      </c>
      <c r="G756">
        <v>1365.8828125</v>
      </c>
      <c r="H756">
        <v>1356.2316894999999</v>
      </c>
      <c r="I756">
        <v>1293.4285889</v>
      </c>
      <c r="J756">
        <v>1274.9073486</v>
      </c>
      <c r="K756">
        <v>1650</v>
      </c>
      <c r="L756">
        <v>0</v>
      </c>
      <c r="M756">
        <v>0</v>
      </c>
      <c r="N756">
        <v>1650</v>
      </c>
    </row>
    <row r="757" spans="1:14" x14ac:dyDescent="0.25">
      <c r="A757">
        <v>513.329654</v>
      </c>
      <c r="B757" s="1">
        <f>DATE(2011,9,26) + TIME(7,54,42)</f>
        <v>40812.329652777778</v>
      </c>
      <c r="C757">
        <v>80</v>
      </c>
      <c r="D757">
        <v>79.916992187999995</v>
      </c>
      <c r="E757">
        <v>40</v>
      </c>
      <c r="F757">
        <v>31.941316605000001</v>
      </c>
      <c r="G757">
        <v>1365.8270264</v>
      </c>
      <c r="H757">
        <v>1356.1817627</v>
      </c>
      <c r="I757">
        <v>1293.4245605000001</v>
      </c>
      <c r="J757">
        <v>1274.8817139</v>
      </c>
      <c r="K757">
        <v>1650</v>
      </c>
      <c r="L757">
        <v>0</v>
      </c>
      <c r="M757">
        <v>0</v>
      </c>
      <c r="N757">
        <v>1650</v>
      </c>
    </row>
    <row r="758" spans="1:14" x14ac:dyDescent="0.25">
      <c r="A758">
        <v>515.40233699999999</v>
      </c>
      <c r="B758" s="1">
        <f>DATE(2011,9,28) + TIME(9,39,21)</f>
        <v>40814.402326388888</v>
      </c>
      <c r="C758">
        <v>80</v>
      </c>
      <c r="D758">
        <v>79.917106627999999</v>
      </c>
      <c r="E758">
        <v>40</v>
      </c>
      <c r="F758">
        <v>32.059547424000002</v>
      </c>
      <c r="G758">
        <v>1365.7713623</v>
      </c>
      <c r="H758">
        <v>1356.1320800999999</v>
      </c>
      <c r="I758">
        <v>1293.4250488</v>
      </c>
      <c r="J758">
        <v>1274.8663329999999</v>
      </c>
      <c r="K758">
        <v>1650</v>
      </c>
      <c r="L758">
        <v>0</v>
      </c>
      <c r="M758">
        <v>0</v>
      </c>
      <c r="N758">
        <v>1650</v>
      </c>
    </row>
    <row r="759" spans="1:14" x14ac:dyDescent="0.25">
      <c r="A759">
        <v>517.49646600000005</v>
      </c>
      <c r="B759" s="1">
        <f>DATE(2011,9,30) + TIME(11,54,54)</f>
        <v>40816.496458333335</v>
      </c>
      <c r="C759">
        <v>80</v>
      </c>
      <c r="D759">
        <v>79.917228699000006</v>
      </c>
      <c r="E759">
        <v>40</v>
      </c>
      <c r="F759">
        <v>32.19859314</v>
      </c>
      <c r="G759">
        <v>1365.7158202999999</v>
      </c>
      <c r="H759">
        <v>1356.0822754000001</v>
      </c>
      <c r="I759">
        <v>1293.4299315999999</v>
      </c>
      <c r="J759">
        <v>1274.8616943</v>
      </c>
      <c r="K759">
        <v>1650</v>
      </c>
      <c r="L759">
        <v>0</v>
      </c>
      <c r="M759">
        <v>0</v>
      </c>
      <c r="N759">
        <v>1650</v>
      </c>
    </row>
    <row r="760" spans="1:14" x14ac:dyDescent="0.25">
      <c r="A760">
        <v>518</v>
      </c>
      <c r="B760" s="1">
        <f>DATE(2011,10,1) + TIME(0,0,0)</f>
        <v>40817</v>
      </c>
      <c r="C760">
        <v>80</v>
      </c>
      <c r="D760">
        <v>79.917236328000001</v>
      </c>
      <c r="E760">
        <v>40</v>
      </c>
      <c r="F760">
        <v>32.272693633999999</v>
      </c>
      <c r="G760">
        <v>1365.6606445</v>
      </c>
      <c r="H760">
        <v>1356.0328368999999</v>
      </c>
      <c r="I760">
        <v>1293.4621582</v>
      </c>
      <c r="J760">
        <v>1274.8731689000001</v>
      </c>
      <c r="K760">
        <v>1650</v>
      </c>
      <c r="L760">
        <v>0</v>
      </c>
      <c r="M760">
        <v>0</v>
      </c>
      <c r="N760">
        <v>1650</v>
      </c>
    </row>
    <row r="761" spans="1:14" x14ac:dyDescent="0.25">
      <c r="A761">
        <v>520.10502099999997</v>
      </c>
      <c r="B761" s="1">
        <f>DATE(2011,10,3) + TIME(2,31,13)</f>
        <v>40819.105011574073</v>
      </c>
      <c r="C761">
        <v>80</v>
      </c>
      <c r="D761">
        <v>79.917366028000004</v>
      </c>
      <c r="E761">
        <v>40</v>
      </c>
      <c r="F761">
        <v>32.415050506999997</v>
      </c>
      <c r="G761">
        <v>1365.6464844</v>
      </c>
      <c r="H761">
        <v>1356.0200195</v>
      </c>
      <c r="I761">
        <v>1293.4396973</v>
      </c>
      <c r="J761">
        <v>1274.8720702999999</v>
      </c>
      <c r="K761">
        <v>1650</v>
      </c>
      <c r="L761">
        <v>0</v>
      </c>
      <c r="M761">
        <v>0</v>
      </c>
      <c r="N761">
        <v>1650</v>
      </c>
    </row>
    <row r="762" spans="1:14" x14ac:dyDescent="0.25">
      <c r="A762">
        <v>522.23550999999998</v>
      </c>
      <c r="B762" s="1">
        <f>DATE(2011,10,5) + TIME(5,39,8)</f>
        <v>40821.235509259262</v>
      </c>
      <c r="C762">
        <v>80</v>
      </c>
      <c r="D762">
        <v>79.917488098000007</v>
      </c>
      <c r="E762">
        <v>40</v>
      </c>
      <c r="F762">
        <v>32.593128204000003</v>
      </c>
      <c r="G762">
        <v>1365.5911865</v>
      </c>
      <c r="H762">
        <v>1355.9704589999999</v>
      </c>
      <c r="I762">
        <v>1293.4564209</v>
      </c>
      <c r="J762">
        <v>1274.8918457</v>
      </c>
      <c r="K762">
        <v>1650</v>
      </c>
      <c r="L762">
        <v>0</v>
      </c>
      <c r="M762">
        <v>0</v>
      </c>
      <c r="N762">
        <v>1650</v>
      </c>
    </row>
    <row r="763" spans="1:14" x14ac:dyDescent="0.25">
      <c r="A763">
        <v>524.392335</v>
      </c>
      <c r="B763" s="1">
        <f>DATE(2011,10,7) + TIME(9,24,57)</f>
        <v>40823.392326388886</v>
      </c>
      <c r="C763">
        <v>80</v>
      </c>
      <c r="D763">
        <v>79.917610167999996</v>
      </c>
      <c r="E763">
        <v>40</v>
      </c>
      <c r="F763">
        <v>32.798259735000002</v>
      </c>
      <c r="G763">
        <v>1365.5355225000001</v>
      </c>
      <c r="H763">
        <v>1355.9204102000001</v>
      </c>
      <c r="I763">
        <v>1293.4765625</v>
      </c>
      <c r="J763">
        <v>1274.9229736</v>
      </c>
      <c r="K763">
        <v>1650</v>
      </c>
      <c r="L763">
        <v>0</v>
      </c>
      <c r="M763">
        <v>0</v>
      </c>
      <c r="N763">
        <v>1650</v>
      </c>
    </row>
    <row r="764" spans="1:14" x14ac:dyDescent="0.25">
      <c r="A764">
        <v>526.58106399999997</v>
      </c>
      <c r="B764" s="1">
        <f>DATE(2011,10,9) + TIME(13,56,43)</f>
        <v>40825.581053240741</v>
      </c>
      <c r="C764">
        <v>80</v>
      </c>
      <c r="D764">
        <v>79.917732239000003</v>
      </c>
      <c r="E764">
        <v>40</v>
      </c>
      <c r="F764">
        <v>33.027236938000001</v>
      </c>
      <c r="G764">
        <v>1365.4798584</v>
      </c>
      <c r="H764">
        <v>1355.8702393000001</v>
      </c>
      <c r="I764">
        <v>1293.5007324000001</v>
      </c>
      <c r="J764">
        <v>1274.965332</v>
      </c>
      <c r="K764">
        <v>1650</v>
      </c>
      <c r="L764">
        <v>0</v>
      </c>
      <c r="M764">
        <v>0</v>
      </c>
      <c r="N764">
        <v>1650</v>
      </c>
    </row>
    <row r="765" spans="1:14" x14ac:dyDescent="0.25">
      <c r="A765">
        <v>528.78733599999998</v>
      </c>
      <c r="B765" s="1">
        <f>DATE(2011,10,11) + TIME(18,53,45)</f>
        <v>40827.787326388891</v>
      </c>
      <c r="C765">
        <v>80</v>
      </c>
      <c r="D765">
        <v>79.917861938000001</v>
      </c>
      <c r="E765">
        <v>40</v>
      </c>
      <c r="F765">
        <v>33.278011321999998</v>
      </c>
      <c r="G765">
        <v>1365.4238281</v>
      </c>
      <c r="H765">
        <v>1355.8198242000001</v>
      </c>
      <c r="I765">
        <v>1293.5294189000001</v>
      </c>
      <c r="J765">
        <v>1275.019043</v>
      </c>
      <c r="K765">
        <v>1650</v>
      </c>
      <c r="L765">
        <v>0</v>
      </c>
      <c r="M765">
        <v>0</v>
      </c>
      <c r="N765">
        <v>1650</v>
      </c>
    </row>
    <row r="766" spans="1:14" x14ac:dyDescent="0.25">
      <c r="A766">
        <v>531.007564</v>
      </c>
      <c r="B766" s="1">
        <f>DATE(2011,10,14) + TIME(0,10,53)</f>
        <v>40830.007557870369</v>
      </c>
      <c r="C766">
        <v>80</v>
      </c>
      <c r="D766">
        <v>79.917984008999994</v>
      </c>
      <c r="E766">
        <v>40</v>
      </c>
      <c r="F766">
        <v>33.548374176000003</v>
      </c>
      <c r="G766">
        <v>1365.3680420000001</v>
      </c>
      <c r="H766">
        <v>1355.7695312000001</v>
      </c>
      <c r="I766">
        <v>1293.5623779</v>
      </c>
      <c r="J766">
        <v>1275.0834961</v>
      </c>
      <c r="K766">
        <v>1650</v>
      </c>
      <c r="L766">
        <v>0</v>
      </c>
      <c r="M766">
        <v>0</v>
      </c>
      <c r="N766">
        <v>1650</v>
      </c>
    </row>
    <row r="767" spans="1:14" x14ac:dyDescent="0.25">
      <c r="A767">
        <v>533.24974599999996</v>
      </c>
      <c r="B767" s="1">
        <f>DATE(2011,10,16) + TIME(5,59,38)</f>
        <v>40832.249745370369</v>
      </c>
      <c r="C767">
        <v>80</v>
      </c>
      <c r="D767">
        <v>79.918106078999998</v>
      </c>
      <c r="E767">
        <v>40</v>
      </c>
      <c r="F767">
        <v>33.836688995000003</v>
      </c>
      <c r="G767">
        <v>1365.3125</v>
      </c>
      <c r="H767">
        <v>1355.7194824000001</v>
      </c>
      <c r="I767">
        <v>1293.5993652</v>
      </c>
      <c r="J767">
        <v>1275.1582031</v>
      </c>
      <c r="K767">
        <v>1650</v>
      </c>
      <c r="L767">
        <v>0</v>
      </c>
      <c r="M767">
        <v>0</v>
      </c>
      <c r="N767">
        <v>1650</v>
      </c>
    </row>
    <row r="768" spans="1:14" x14ac:dyDescent="0.25">
      <c r="A768">
        <v>535.52393099999995</v>
      </c>
      <c r="B768" s="1">
        <f>DATE(2011,10,18) + TIME(12,34,27)</f>
        <v>40834.523923611108</v>
      </c>
      <c r="C768">
        <v>80</v>
      </c>
      <c r="D768">
        <v>79.918235779</v>
      </c>
      <c r="E768">
        <v>40</v>
      </c>
      <c r="F768">
        <v>34.142044067</v>
      </c>
      <c r="G768">
        <v>1365.2572021000001</v>
      </c>
      <c r="H768">
        <v>1355.6695557</v>
      </c>
      <c r="I768">
        <v>1293.6403809000001</v>
      </c>
      <c r="J768">
        <v>1275.2429199000001</v>
      </c>
      <c r="K768">
        <v>1650</v>
      </c>
      <c r="L768">
        <v>0</v>
      </c>
      <c r="M768">
        <v>0</v>
      </c>
      <c r="N768">
        <v>1650</v>
      </c>
    </row>
    <row r="769" spans="1:14" x14ac:dyDescent="0.25">
      <c r="A769">
        <v>537.83576500000004</v>
      </c>
      <c r="B769" s="1">
        <f>DATE(2011,10,20) + TIME(20,3,30)</f>
        <v>40836.835763888892</v>
      </c>
      <c r="C769">
        <v>80</v>
      </c>
      <c r="D769">
        <v>79.918365479000002</v>
      </c>
      <c r="E769">
        <v>40</v>
      </c>
      <c r="F769">
        <v>34.463680267000001</v>
      </c>
      <c r="G769">
        <v>1365.2019043</v>
      </c>
      <c r="H769">
        <v>1355.6196289</v>
      </c>
      <c r="I769">
        <v>1293.6856689000001</v>
      </c>
      <c r="J769">
        <v>1275.3375243999999</v>
      </c>
      <c r="K769">
        <v>1650</v>
      </c>
      <c r="L769">
        <v>0</v>
      </c>
      <c r="M769">
        <v>0</v>
      </c>
      <c r="N769">
        <v>1650</v>
      </c>
    </row>
    <row r="770" spans="1:14" x14ac:dyDescent="0.25">
      <c r="A770">
        <v>540.16726100000005</v>
      </c>
      <c r="B770" s="1">
        <f>DATE(2011,10,23) + TIME(4,0,51)</f>
        <v>40839.167256944442</v>
      </c>
      <c r="C770">
        <v>80</v>
      </c>
      <c r="D770">
        <v>79.918495178000001</v>
      </c>
      <c r="E770">
        <v>40</v>
      </c>
      <c r="F770">
        <v>34.799530029000003</v>
      </c>
      <c r="G770">
        <v>1365.1463623</v>
      </c>
      <c r="H770">
        <v>1355.5695800999999</v>
      </c>
      <c r="I770">
        <v>1293.7353516000001</v>
      </c>
      <c r="J770">
        <v>1275.4416504000001</v>
      </c>
      <c r="K770">
        <v>1650</v>
      </c>
      <c r="L770">
        <v>0</v>
      </c>
      <c r="M770">
        <v>0</v>
      </c>
      <c r="N770">
        <v>1650</v>
      </c>
    </row>
    <row r="771" spans="1:14" x14ac:dyDescent="0.25">
      <c r="A771">
        <v>542.530798</v>
      </c>
      <c r="B771" s="1">
        <f>DATE(2011,10,25) + TIME(12,44,20)</f>
        <v>40841.530787037038</v>
      </c>
      <c r="C771">
        <v>80</v>
      </c>
      <c r="D771">
        <v>79.918632506999998</v>
      </c>
      <c r="E771">
        <v>40</v>
      </c>
      <c r="F771">
        <v>35.147232056</v>
      </c>
      <c r="G771">
        <v>1365.0913086</v>
      </c>
      <c r="H771">
        <v>1355.5197754000001</v>
      </c>
      <c r="I771">
        <v>1293.7885742000001</v>
      </c>
      <c r="J771">
        <v>1275.5543213000001</v>
      </c>
      <c r="K771">
        <v>1650</v>
      </c>
      <c r="L771">
        <v>0</v>
      </c>
      <c r="M771">
        <v>0</v>
      </c>
      <c r="N771">
        <v>1650</v>
      </c>
    </row>
    <row r="772" spans="1:14" x14ac:dyDescent="0.25">
      <c r="A772">
        <v>544.91703399999994</v>
      </c>
      <c r="B772" s="1">
        <f>DATE(2011,10,27) + TIME(22,0,31)</f>
        <v>40843.917025462964</v>
      </c>
      <c r="C772">
        <v>80</v>
      </c>
      <c r="D772">
        <v>79.918762207</v>
      </c>
      <c r="E772">
        <v>40</v>
      </c>
      <c r="F772">
        <v>35.504844665999997</v>
      </c>
      <c r="G772">
        <v>1365.0363769999999</v>
      </c>
      <c r="H772">
        <v>1355.4702147999999</v>
      </c>
      <c r="I772">
        <v>1293.8458252</v>
      </c>
      <c r="J772">
        <v>1275.6749268000001</v>
      </c>
      <c r="K772">
        <v>1650</v>
      </c>
      <c r="L772">
        <v>0</v>
      </c>
      <c r="M772">
        <v>0</v>
      </c>
      <c r="N772">
        <v>1650</v>
      </c>
    </row>
    <row r="773" spans="1:14" x14ac:dyDescent="0.25">
      <c r="A773">
        <v>547.31947000000002</v>
      </c>
      <c r="B773" s="1">
        <f>DATE(2011,10,30) + TIME(7,40,2)</f>
        <v>40846.319467592592</v>
      </c>
      <c r="C773">
        <v>80</v>
      </c>
      <c r="D773">
        <v>79.918899535999998</v>
      </c>
      <c r="E773">
        <v>40</v>
      </c>
      <c r="F773">
        <v>35.869434357000003</v>
      </c>
      <c r="G773">
        <v>1364.9819336</v>
      </c>
      <c r="H773">
        <v>1355.4210204999999</v>
      </c>
      <c r="I773">
        <v>1293.9064940999999</v>
      </c>
      <c r="J773">
        <v>1275.8024902</v>
      </c>
      <c r="K773">
        <v>1650</v>
      </c>
      <c r="L773">
        <v>0</v>
      </c>
      <c r="M773">
        <v>0</v>
      </c>
      <c r="N773">
        <v>1650</v>
      </c>
    </row>
    <row r="774" spans="1:14" x14ac:dyDescent="0.25">
      <c r="A774">
        <v>549</v>
      </c>
      <c r="B774" s="1">
        <f>DATE(2011,11,1) + TIME(0,0,0)</f>
        <v>40848</v>
      </c>
      <c r="C774">
        <v>80</v>
      </c>
      <c r="D774">
        <v>79.918983459000003</v>
      </c>
      <c r="E774">
        <v>40</v>
      </c>
      <c r="F774">
        <v>36.192565918</v>
      </c>
      <c r="G774">
        <v>1364.9281006000001</v>
      </c>
      <c r="H774">
        <v>1355.3724365</v>
      </c>
      <c r="I774">
        <v>1293.9760742000001</v>
      </c>
      <c r="J774">
        <v>1275.9296875</v>
      </c>
      <c r="K774">
        <v>1650</v>
      </c>
      <c r="L774">
        <v>0</v>
      </c>
      <c r="M774">
        <v>0</v>
      </c>
      <c r="N774">
        <v>1650</v>
      </c>
    </row>
    <row r="775" spans="1:14" x14ac:dyDescent="0.25">
      <c r="A775">
        <v>549.000001</v>
      </c>
      <c r="B775" s="1">
        <f>DATE(2011,11,1) + TIME(0,0,0)</f>
        <v>40848</v>
      </c>
      <c r="C775">
        <v>80</v>
      </c>
      <c r="D775">
        <v>79.918891907000003</v>
      </c>
      <c r="E775">
        <v>40</v>
      </c>
      <c r="F775">
        <v>36.192646027000002</v>
      </c>
      <c r="G775">
        <v>1354.7731934000001</v>
      </c>
      <c r="H775">
        <v>1346.9235839999999</v>
      </c>
      <c r="I775">
        <v>1312.7109375</v>
      </c>
      <c r="J775">
        <v>1294.6246338000001</v>
      </c>
      <c r="K775">
        <v>0</v>
      </c>
      <c r="L775">
        <v>1650</v>
      </c>
      <c r="M775">
        <v>1650</v>
      </c>
      <c r="N775">
        <v>0</v>
      </c>
    </row>
    <row r="776" spans="1:14" x14ac:dyDescent="0.25">
      <c r="A776">
        <v>549.00000399999999</v>
      </c>
      <c r="B776" s="1">
        <f>DATE(2011,11,1) + TIME(0,0,0)</f>
        <v>40848</v>
      </c>
      <c r="C776">
        <v>80</v>
      </c>
      <c r="D776">
        <v>79.918678283999995</v>
      </c>
      <c r="E776">
        <v>40</v>
      </c>
      <c r="F776">
        <v>36.192863463999998</v>
      </c>
      <c r="G776">
        <v>1353.2592772999999</v>
      </c>
      <c r="H776">
        <v>1345.4089355000001</v>
      </c>
      <c r="I776">
        <v>1314.3841553</v>
      </c>
      <c r="J776">
        <v>1296.3969727000001</v>
      </c>
      <c r="K776">
        <v>0</v>
      </c>
      <c r="L776">
        <v>1650</v>
      </c>
      <c r="M776">
        <v>1650</v>
      </c>
      <c r="N776">
        <v>0</v>
      </c>
    </row>
    <row r="777" spans="1:14" x14ac:dyDescent="0.25">
      <c r="A777">
        <v>549.00001299999997</v>
      </c>
      <c r="B777" s="1">
        <f>DATE(2011,11,1) + TIME(0,0,1)</f>
        <v>40848.000011574077</v>
      </c>
      <c r="C777">
        <v>80</v>
      </c>
      <c r="D777">
        <v>79.918243407999995</v>
      </c>
      <c r="E777">
        <v>40</v>
      </c>
      <c r="F777">
        <v>36.193389893000003</v>
      </c>
      <c r="G777">
        <v>1350.2027588000001</v>
      </c>
      <c r="H777">
        <v>1342.3516846</v>
      </c>
      <c r="I777">
        <v>1318.3937988</v>
      </c>
      <c r="J777">
        <v>1300.5894774999999</v>
      </c>
      <c r="K777">
        <v>0</v>
      </c>
      <c r="L777">
        <v>1650</v>
      </c>
      <c r="M777">
        <v>1650</v>
      </c>
      <c r="N777">
        <v>0</v>
      </c>
    </row>
    <row r="778" spans="1:14" x14ac:dyDescent="0.25">
      <c r="A778">
        <v>549.00004000000001</v>
      </c>
      <c r="B778" s="1">
        <f>DATE(2011,11,1) + TIME(0,0,3)</f>
        <v>40848.000034722223</v>
      </c>
      <c r="C778">
        <v>80</v>
      </c>
      <c r="D778">
        <v>79.917602539000001</v>
      </c>
      <c r="E778">
        <v>40</v>
      </c>
      <c r="F778">
        <v>36.194362640000001</v>
      </c>
      <c r="G778">
        <v>1345.7348632999999</v>
      </c>
      <c r="H778">
        <v>1337.8861084</v>
      </c>
      <c r="I778">
        <v>1325.7680664</v>
      </c>
      <c r="J778">
        <v>1308.1173096</v>
      </c>
      <c r="K778">
        <v>0</v>
      </c>
      <c r="L778">
        <v>1650</v>
      </c>
      <c r="M778">
        <v>1650</v>
      </c>
      <c r="N778">
        <v>0</v>
      </c>
    </row>
    <row r="779" spans="1:14" x14ac:dyDescent="0.25">
      <c r="A779">
        <v>549.00012100000004</v>
      </c>
      <c r="B779" s="1">
        <f>DATE(2011,11,1) + TIME(0,0,10)</f>
        <v>40848.000115740739</v>
      </c>
      <c r="C779">
        <v>80</v>
      </c>
      <c r="D779">
        <v>79.916877747000001</v>
      </c>
      <c r="E779">
        <v>40</v>
      </c>
      <c r="F779">
        <v>36.195781707999998</v>
      </c>
      <c r="G779">
        <v>1340.7591553</v>
      </c>
      <c r="H779">
        <v>1332.9163818</v>
      </c>
      <c r="I779">
        <v>1335.5952147999999</v>
      </c>
      <c r="J779">
        <v>1317.9779053</v>
      </c>
      <c r="K779">
        <v>0</v>
      </c>
      <c r="L779">
        <v>1650</v>
      </c>
      <c r="M779">
        <v>1650</v>
      </c>
      <c r="N779">
        <v>0</v>
      </c>
    </row>
    <row r="780" spans="1:14" x14ac:dyDescent="0.25">
      <c r="A780">
        <v>549.00036399999999</v>
      </c>
      <c r="B780" s="1">
        <f>DATE(2011,11,1) + TIME(0,0,31)</f>
        <v>40848.000358796293</v>
      </c>
      <c r="C780">
        <v>80</v>
      </c>
      <c r="D780">
        <v>79.916107178000004</v>
      </c>
      <c r="E780">
        <v>40</v>
      </c>
      <c r="F780">
        <v>36.197803497000002</v>
      </c>
      <c r="G780">
        <v>1335.7434082</v>
      </c>
      <c r="H780">
        <v>1327.902832</v>
      </c>
      <c r="I780">
        <v>1346.1679687999999</v>
      </c>
      <c r="J780">
        <v>1328.5598144999999</v>
      </c>
      <c r="K780">
        <v>0</v>
      </c>
      <c r="L780">
        <v>1650</v>
      </c>
      <c r="M780">
        <v>1650</v>
      </c>
      <c r="N780">
        <v>0</v>
      </c>
    </row>
    <row r="781" spans="1:14" x14ac:dyDescent="0.25">
      <c r="A781">
        <v>549.00109299999997</v>
      </c>
      <c r="B781" s="1">
        <f>DATE(2011,11,1) + TIME(0,1,34)</f>
        <v>40848.001087962963</v>
      </c>
      <c r="C781">
        <v>80</v>
      </c>
      <c r="D781">
        <v>79.915199279999996</v>
      </c>
      <c r="E781">
        <v>40</v>
      </c>
      <c r="F781">
        <v>36.201393127000003</v>
      </c>
      <c r="G781">
        <v>1330.6196289</v>
      </c>
      <c r="H781">
        <v>1322.730957</v>
      </c>
      <c r="I781">
        <v>1356.9423827999999</v>
      </c>
      <c r="J781">
        <v>1339.3503418</v>
      </c>
      <c r="K781">
        <v>0</v>
      </c>
      <c r="L781">
        <v>1650</v>
      </c>
      <c r="M781">
        <v>1650</v>
      </c>
      <c r="N781">
        <v>0</v>
      </c>
    </row>
    <row r="782" spans="1:14" x14ac:dyDescent="0.25">
      <c r="A782">
        <v>549.00328000000002</v>
      </c>
      <c r="B782" s="1">
        <f>DATE(2011,11,1) + TIME(0,4,43)</f>
        <v>40848.003275462965</v>
      </c>
      <c r="C782">
        <v>80</v>
      </c>
      <c r="D782">
        <v>79.913856506000002</v>
      </c>
      <c r="E782">
        <v>40</v>
      </c>
      <c r="F782">
        <v>36.2096138</v>
      </c>
      <c r="G782">
        <v>1325.1743164</v>
      </c>
      <c r="H782">
        <v>1317.1480713000001</v>
      </c>
      <c r="I782">
        <v>1367.5913086</v>
      </c>
      <c r="J782">
        <v>1349.9605713000001</v>
      </c>
      <c r="K782">
        <v>0</v>
      </c>
      <c r="L782">
        <v>1650</v>
      </c>
      <c r="M782">
        <v>1650</v>
      </c>
      <c r="N782">
        <v>0</v>
      </c>
    </row>
    <row r="783" spans="1:14" x14ac:dyDescent="0.25">
      <c r="A783">
        <v>549.00984100000005</v>
      </c>
      <c r="B783" s="1">
        <f>DATE(2011,11,1) + TIME(0,14,10)</f>
        <v>40848.009837962964</v>
      </c>
      <c r="C783">
        <v>80</v>
      </c>
      <c r="D783">
        <v>79.911369324000006</v>
      </c>
      <c r="E783">
        <v>40</v>
      </c>
      <c r="F783">
        <v>36.231597899999997</v>
      </c>
      <c r="G783">
        <v>1319.7569579999999</v>
      </c>
      <c r="H783">
        <v>1311.6002197</v>
      </c>
      <c r="I783">
        <v>1376.7220459</v>
      </c>
      <c r="J783">
        <v>1358.9855957</v>
      </c>
      <c r="K783">
        <v>0</v>
      </c>
      <c r="L783">
        <v>1650</v>
      </c>
      <c r="M783">
        <v>1650</v>
      </c>
      <c r="N783">
        <v>0</v>
      </c>
    </row>
    <row r="784" spans="1:14" x14ac:dyDescent="0.25">
      <c r="A784">
        <v>549.02952400000004</v>
      </c>
      <c r="B784" s="1">
        <f>DATE(2011,11,1) + TIME(0,42,30)</f>
        <v>40848.029513888891</v>
      </c>
      <c r="C784">
        <v>80</v>
      </c>
      <c r="D784">
        <v>79.905662536999998</v>
      </c>
      <c r="E784">
        <v>40</v>
      </c>
      <c r="F784">
        <v>36.294349670000003</v>
      </c>
      <c r="G784">
        <v>1315.5360106999999</v>
      </c>
      <c r="H784">
        <v>1307.3264160000001</v>
      </c>
      <c r="I784">
        <v>1382.4849853999999</v>
      </c>
      <c r="J784">
        <v>1364.6647949000001</v>
      </c>
      <c r="K784">
        <v>0</v>
      </c>
      <c r="L784">
        <v>1650</v>
      </c>
      <c r="M784">
        <v>1650</v>
      </c>
      <c r="N784">
        <v>0</v>
      </c>
    </row>
    <row r="785" spans="1:14" x14ac:dyDescent="0.25">
      <c r="A785">
        <v>549.088573</v>
      </c>
      <c r="B785" s="1">
        <f>DATE(2011,11,1) + TIME(2,7,32)</f>
        <v>40848.088564814818</v>
      </c>
      <c r="C785">
        <v>80</v>
      </c>
      <c r="D785">
        <v>79.890541076999995</v>
      </c>
      <c r="E785">
        <v>40</v>
      </c>
      <c r="F785">
        <v>36.472114562999998</v>
      </c>
      <c r="G785">
        <v>1313.348999</v>
      </c>
      <c r="H785">
        <v>1305.1268310999999</v>
      </c>
      <c r="I785">
        <v>1384.5144043</v>
      </c>
      <c r="J785">
        <v>1366.7232666</v>
      </c>
      <c r="K785">
        <v>0</v>
      </c>
      <c r="L785">
        <v>1650</v>
      </c>
      <c r="M785">
        <v>1650</v>
      </c>
      <c r="N785">
        <v>0</v>
      </c>
    </row>
    <row r="786" spans="1:14" x14ac:dyDescent="0.25">
      <c r="A786">
        <v>549.18645800000002</v>
      </c>
      <c r="B786" s="1">
        <f>DATE(2011,11,1) + TIME(4,28,29)</f>
        <v>40848.18644675926</v>
      </c>
      <c r="C786">
        <v>80</v>
      </c>
      <c r="D786">
        <v>79.866920471</v>
      </c>
      <c r="E786">
        <v>40</v>
      </c>
      <c r="F786">
        <v>36.743228911999999</v>
      </c>
      <c r="G786">
        <v>1312.7773437999999</v>
      </c>
      <c r="H786">
        <v>1304.5524902</v>
      </c>
      <c r="I786">
        <v>1384.5717772999999</v>
      </c>
      <c r="J786">
        <v>1366.8912353999999</v>
      </c>
      <c r="K786">
        <v>0</v>
      </c>
      <c r="L786">
        <v>1650</v>
      </c>
      <c r="M786">
        <v>1650</v>
      </c>
      <c r="N786">
        <v>0</v>
      </c>
    </row>
    <row r="787" spans="1:14" x14ac:dyDescent="0.25">
      <c r="A787">
        <v>549.29003699999998</v>
      </c>
      <c r="B787" s="1">
        <f>DATE(2011,11,1) + TIME(6,57,39)</f>
        <v>40848.290034722224</v>
      </c>
      <c r="C787">
        <v>80</v>
      </c>
      <c r="D787">
        <v>79.842597960999996</v>
      </c>
      <c r="E787">
        <v>40</v>
      </c>
      <c r="F787">
        <v>37.006263732999997</v>
      </c>
      <c r="G787">
        <v>1312.6606445</v>
      </c>
      <c r="H787">
        <v>1304.4349365</v>
      </c>
      <c r="I787">
        <v>1384.3432617000001</v>
      </c>
      <c r="J787">
        <v>1366.7746582</v>
      </c>
      <c r="K787">
        <v>0</v>
      </c>
      <c r="L787">
        <v>1650</v>
      </c>
      <c r="M787">
        <v>1650</v>
      </c>
      <c r="N787">
        <v>0</v>
      </c>
    </row>
    <row r="788" spans="1:14" x14ac:dyDescent="0.25">
      <c r="A788">
        <v>549.40001600000005</v>
      </c>
      <c r="B788" s="1">
        <f>DATE(2011,11,1) + TIME(9,36,1)</f>
        <v>40848.400011574071</v>
      </c>
      <c r="C788">
        <v>80</v>
      </c>
      <c r="D788">
        <v>79.817413329999994</v>
      </c>
      <c r="E788">
        <v>40</v>
      </c>
      <c r="F788">
        <v>37.261089325</v>
      </c>
      <c r="G788">
        <v>1312.6312256000001</v>
      </c>
      <c r="H788">
        <v>1304.4049072</v>
      </c>
      <c r="I788">
        <v>1384.1072998</v>
      </c>
      <c r="J788">
        <v>1366.6474608999999</v>
      </c>
      <c r="K788">
        <v>0</v>
      </c>
      <c r="L788">
        <v>1650</v>
      </c>
      <c r="M788">
        <v>1650</v>
      </c>
      <c r="N788">
        <v>0</v>
      </c>
    </row>
    <row r="789" spans="1:14" x14ac:dyDescent="0.25">
      <c r="A789">
        <v>549.51736500000004</v>
      </c>
      <c r="B789" s="1">
        <f>DATE(2011,11,1) + TIME(12,25,0)</f>
        <v>40848.517361111109</v>
      </c>
      <c r="C789">
        <v>80</v>
      </c>
      <c r="D789">
        <v>79.791213988999999</v>
      </c>
      <c r="E789">
        <v>40</v>
      </c>
      <c r="F789">
        <v>37.507774353000002</v>
      </c>
      <c r="G789">
        <v>1312.6204834</v>
      </c>
      <c r="H789">
        <v>1304.3935547000001</v>
      </c>
      <c r="I789">
        <v>1383.8834228999999</v>
      </c>
      <c r="J789">
        <v>1366.5284423999999</v>
      </c>
      <c r="K789">
        <v>0</v>
      </c>
      <c r="L789">
        <v>1650</v>
      </c>
      <c r="M789">
        <v>1650</v>
      </c>
      <c r="N789">
        <v>0</v>
      </c>
    </row>
    <row r="790" spans="1:14" x14ac:dyDescent="0.25">
      <c r="A790">
        <v>549.64325899999994</v>
      </c>
      <c r="B790" s="1">
        <f>DATE(2011,11,1) + TIME(15,26,17)</f>
        <v>40848.643252314818</v>
      </c>
      <c r="C790">
        <v>80</v>
      </c>
      <c r="D790">
        <v>79.763832092000001</v>
      </c>
      <c r="E790">
        <v>40</v>
      </c>
      <c r="F790">
        <v>37.746307373</v>
      </c>
      <c r="G790">
        <v>1312.6138916</v>
      </c>
      <c r="H790">
        <v>1304.3862305</v>
      </c>
      <c r="I790">
        <v>1383.6685791</v>
      </c>
      <c r="J790">
        <v>1366.4149170000001</v>
      </c>
      <c r="K790">
        <v>0</v>
      </c>
      <c r="L790">
        <v>1650</v>
      </c>
      <c r="M790">
        <v>1650</v>
      </c>
      <c r="N790">
        <v>0</v>
      </c>
    </row>
    <row r="791" spans="1:14" x14ac:dyDescent="0.25">
      <c r="A791">
        <v>549.77916200000004</v>
      </c>
      <c r="B791" s="1">
        <f>DATE(2011,11,1) + TIME(18,41,59)</f>
        <v>40848.77915509259</v>
      </c>
      <c r="C791">
        <v>80</v>
      </c>
      <c r="D791">
        <v>79.735054016000007</v>
      </c>
      <c r="E791">
        <v>40</v>
      </c>
      <c r="F791">
        <v>37.976634979000004</v>
      </c>
      <c r="G791">
        <v>1312.6080322</v>
      </c>
      <c r="H791">
        <v>1304.3796387</v>
      </c>
      <c r="I791">
        <v>1383.4610596</v>
      </c>
      <c r="J791">
        <v>1366.3045654</v>
      </c>
      <c r="K791">
        <v>0</v>
      </c>
      <c r="L791">
        <v>1650</v>
      </c>
      <c r="M791">
        <v>1650</v>
      </c>
      <c r="N791">
        <v>0</v>
      </c>
    </row>
    <row r="792" spans="1:14" x14ac:dyDescent="0.25">
      <c r="A792">
        <v>549.926917</v>
      </c>
      <c r="B792" s="1">
        <f>DATE(2011,11,1) + TIME(22,14,45)</f>
        <v>40848.92690972222</v>
      </c>
      <c r="C792">
        <v>80</v>
      </c>
      <c r="D792">
        <v>79.704620360999996</v>
      </c>
      <c r="E792">
        <v>40</v>
      </c>
      <c r="F792">
        <v>38.198635101000001</v>
      </c>
      <c r="G792">
        <v>1312.6019286999999</v>
      </c>
      <c r="H792">
        <v>1304.3728027</v>
      </c>
      <c r="I792">
        <v>1383.2596435999999</v>
      </c>
      <c r="J792">
        <v>1366.1968993999999</v>
      </c>
      <c r="K792">
        <v>0</v>
      </c>
      <c r="L792">
        <v>1650</v>
      </c>
      <c r="M792">
        <v>1650</v>
      </c>
      <c r="N792">
        <v>0</v>
      </c>
    </row>
    <row r="793" spans="1:14" x14ac:dyDescent="0.25">
      <c r="A793">
        <v>550.08889299999998</v>
      </c>
      <c r="B793" s="1">
        <f>DATE(2011,11,2) + TIME(2,8,0)</f>
        <v>40849.088888888888</v>
      </c>
      <c r="C793">
        <v>80</v>
      </c>
      <c r="D793">
        <v>79.672195435000006</v>
      </c>
      <c r="E793">
        <v>40</v>
      </c>
      <c r="F793">
        <v>38.412101745999998</v>
      </c>
      <c r="G793">
        <v>1312.5954589999999</v>
      </c>
      <c r="H793">
        <v>1304.3654785000001</v>
      </c>
      <c r="I793">
        <v>1383.0640868999999</v>
      </c>
      <c r="J793">
        <v>1366.0914307</v>
      </c>
      <c r="K793">
        <v>0</v>
      </c>
      <c r="L793">
        <v>1650</v>
      </c>
      <c r="M793">
        <v>1650</v>
      </c>
      <c r="N793">
        <v>0</v>
      </c>
    </row>
    <row r="794" spans="1:14" x14ac:dyDescent="0.25">
      <c r="A794">
        <v>550.26826000000005</v>
      </c>
      <c r="B794" s="1">
        <f>DATE(2011,11,2) + TIME(6,26,17)</f>
        <v>40849.268252314818</v>
      </c>
      <c r="C794">
        <v>80</v>
      </c>
      <c r="D794">
        <v>79.637367248999993</v>
      </c>
      <c r="E794">
        <v>40</v>
      </c>
      <c r="F794">
        <v>38.616794585999997</v>
      </c>
      <c r="G794">
        <v>1312.588501</v>
      </c>
      <c r="H794">
        <v>1304.3575439000001</v>
      </c>
      <c r="I794">
        <v>1382.8740233999999</v>
      </c>
      <c r="J794">
        <v>1365.987793</v>
      </c>
      <c r="K794">
        <v>0</v>
      </c>
      <c r="L794">
        <v>1650</v>
      </c>
      <c r="M794">
        <v>1650</v>
      </c>
      <c r="N794">
        <v>0</v>
      </c>
    </row>
    <row r="795" spans="1:14" x14ac:dyDescent="0.25">
      <c r="A795">
        <v>550.46927000000005</v>
      </c>
      <c r="B795" s="1">
        <f>DATE(2011,11,2) + TIME(11,15,44)</f>
        <v>40849.469259259262</v>
      </c>
      <c r="C795">
        <v>80</v>
      </c>
      <c r="D795">
        <v>79.599555968999994</v>
      </c>
      <c r="E795">
        <v>40</v>
      </c>
      <c r="F795">
        <v>38.812335967999999</v>
      </c>
      <c r="G795">
        <v>1312.5808105000001</v>
      </c>
      <c r="H795">
        <v>1304.3488769999999</v>
      </c>
      <c r="I795">
        <v>1382.6889647999999</v>
      </c>
      <c r="J795">
        <v>1365.8857422000001</v>
      </c>
      <c r="K795">
        <v>0</v>
      </c>
      <c r="L795">
        <v>1650</v>
      </c>
      <c r="M795">
        <v>1650</v>
      </c>
      <c r="N795">
        <v>0</v>
      </c>
    </row>
    <row r="796" spans="1:14" x14ac:dyDescent="0.25">
      <c r="A796">
        <v>550.69785200000001</v>
      </c>
      <c r="B796" s="1">
        <f>DATE(2011,11,2) + TIME(16,44,54)</f>
        <v>40849.697847222225</v>
      </c>
      <c r="C796">
        <v>80</v>
      </c>
      <c r="D796">
        <v>79.558013915999993</v>
      </c>
      <c r="E796">
        <v>40</v>
      </c>
      <c r="F796">
        <v>38.998180388999998</v>
      </c>
      <c r="G796">
        <v>1312.5722656</v>
      </c>
      <c r="H796">
        <v>1304.3392334</v>
      </c>
      <c r="I796">
        <v>1382.5089111</v>
      </c>
      <c r="J796">
        <v>1365.7851562000001</v>
      </c>
      <c r="K796">
        <v>0</v>
      </c>
      <c r="L796">
        <v>1650</v>
      </c>
      <c r="M796">
        <v>1650</v>
      </c>
      <c r="N796">
        <v>0</v>
      </c>
    </row>
    <row r="797" spans="1:14" x14ac:dyDescent="0.25">
      <c r="A797">
        <v>550.96257800000001</v>
      </c>
      <c r="B797" s="1">
        <f>DATE(2011,11,2) + TIME(23,6,6)</f>
        <v>40849.962569444448</v>
      </c>
      <c r="C797">
        <v>80</v>
      </c>
      <c r="D797">
        <v>79.511680603000002</v>
      </c>
      <c r="E797">
        <v>40</v>
      </c>
      <c r="F797">
        <v>39.173595427999999</v>
      </c>
      <c r="G797">
        <v>1312.5627440999999</v>
      </c>
      <c r="H797">
        <v>1304.3283690999999</v>
      </c>
      <c r="I797">
        <v>1382.3332519999999</v>
      </c>
      <c r="J797">
        <v>1365.6853027</v>
      </c>
      <c r="K797">
        <v>0</v>
      </c>
      <c r="L797">
        <v>1650</v>
      </c>
      <c r="M797">
        <v>1650</v>
      </c>
      <c r="N797">
        <v>0</v>
      </c>
    </row>
    <row r="798" spans="1:14" x14ac:dyDescent="0.25">
      <c r="A798">
        <v>551.27641700000004</v>
      </c>
      <c r="B798" s="1">
        <f>DATE(2011,11,3) + TIME(6,38,2)</f>
        <v>40850.276412037034</v>
      </c>
      <c r="C798">
        <v>80</v>
      </c>
      <c r="D798">
        <v>79.459022521999998</v>
      </c>
      <c r="E798">
        <v>40</v>
      </c>
      <c r="F798">
        <v>39.337543488000001</v>
      </c>
      <c r="G798">
        <v>1312.5517577999999</v>
      </c>
      <c r="H798">
        <v>1304.3157959</v>
      </c>
      <c r="I798">
        <v>1382.1618652</v>
      </c>
      <c r="J798">
        <v>1365.5861815999999</v>
      </c>
      <c r="K798">
        <v>0</v>
      </c>
      <c r="L798">
        <v>1650</v>
      </c>
      <c r="M798">
        <v>1650</v>
      </c>
      <c r="N798">
        <v>0</v>
      </c>
    </row>
    <row r="799" spans="1:14" x14ac:dyDescent="0.25">
      <c r="A799">
        <v>551.46692099999996</v>
      </c>
      <c r="B799" s="1">
        <f>DATE(2011,11,3) + TIME(11,12,22)</f>
        <v>40850.466921296298</v>
      </c>
      <c r="C799">
        <v>80</v>
      </c>
      <c r="D799">
        <v>79.424507141000007</v>
      </c>
      <c r="E799">
        <v>40</v>
      </c>
      <c r="F799">
        <v>39.423141479000002</v>
      </c>
      <c r="G799">
        <v>1312.5383300999999</v>
      </c>
      <c r="H799">
        <v>1304.3020019999999</v>
      </c>
      <c r="I799">
        <v>1382.0584716999999</v>
      </c>
      <c r="J799">
        <v>1365.520874</v>
      </c>
      <c r="K799">
        <v>0</v>
      </c>
      <c r="L799">
        <v>1650</v>
      </c>
      <c r="M799">
        <v>1650</v>
      </c>
      <c r="N799">
        <v>0</v>
      </c>
    </row>
    <row r="800" spans="1:14" x14ac:dyDescent="0.25">
      <c r="A800">
        <v>551.84792900000002</v>
      </c>
      <c r="B800" s="1">
        <f>DATE(2011,11,3) + TIME(20,21,1)</f>
        <v>40850.847928240742</v>
      </c>
      <c r="C800">
        <v>80</v>
      </c>
      <c r="D800">
        <v>79.364402771000002</v>
      </c>
      <c r="E800">
        <v>40</v>
      </c>
      <c r="F800">
        <v>39.552410125999998</v>
      </c>
      <c r="G800">
        <v>1312.5310059000001</v>
      </c>
      <c r="H800">
        <v>1304.2923584</v>
      </c>
      <c r="I800">
        <v>1381.9190673999999</v>
      </c>
      <c r="J800">
        <v>1365.4405518000001</v>
      </c>
      <c r="K800">
        <v>0</v>
      </c>
      <c r="L800">
        <v>1650</v>
      </c>
      <c r="M800">
        <v>1650</v>
      </c>
      <c r="N800">
        <v>0</v>
      </c>
    </row>
    <row r="801" spans="1:14" x14ac:dyDescent="0.25">
      <c r="A801">
        <v>552.23193400000002</v>
      </c>
      <c r="B801" s="1">
        <f>DATE(2011,11,4) + TIME(5,33,59)</f>
        <v>40851.231932870367</v>
      </c>
      <c r="C801">
        <v>80</v>
      </c>
      <c r="D801">
        <v>79.303680420000006</v>
      </c>
      <c r="E801">
        <v>40</v>
      </c>
      <c r="F801">
        <v>39.650669098000002</v>
      </c>
      <c r="G801">
        <v>1312.5155029</v>
      </c>
      <c r="H801">
        <v>1304.2752685999999</v>
      </c>
      <c r="I801">
        <v>1381.7907714999999</v>
      </c>
      <c r="J801">
        <v>1365.3596190999999</v>
      </c>
      <c r="K801">
        <v>0</v>
      </c>
      <c r="L801">
        <v>1650</v>
      </c>
      <c r="M801">
        <v>1650</v>
      </c>
      <c r="N801">
        <v>0</v>
      </c>
    </row>
    <row r="802" spans="1:14" x14ac:dyDescent="0.25">
      <c r="A802">
        <v>552.63264900000001</v>
      </c>
      <c r="B802" s="1">
        <f>DATE(2011,11,4) + TIME(15,11,0)</f>
        <v>40851.632638888892</v>
      </c>
      <c r="C802">
        <v>80</v>
      </c>
      <c r="D802">
        <v>79.240890503000003</v>
      </c>
      <c r="E802">
        <v>40</v>
      </c>
      <c r="F802">
        <v>39.727252960000001</v>
      </c>
      <c r="G802">
        <v>1312.4998779</v>
      </c>
      <c r="H802">
        <v>1304.2579346</v>
      </c>
      <c r="I802">
        <v>1381.6805420000001</v>
      </c>
      <c r="J802">
        <v>1365.2880858999999</v>
      </c>
      <c r="K802">
        <v>0</v>
      </c>
      <c r="L802">
        <v>1650</v>
      </c>
      <c r="M802">
        <v>1650</v>
      </c>
      <c r="N802">
        <v>0</v>
      </c>
    </row>
    <row r="803" spans="1:14" x14ac:dyDescent="0.25">
      <c r="A803">
        <v>553.05541400000004</v>
      </c>
      <c r="B803" s="1">
        <f>DATE(2011,11,5) + TIME(1,19,47)</f>
        <v>40852.055405092593</v>
      </c>
      <c r="C803">
        <v>80</v>
      </c>
      <c r="D803">
        <v>79.175491332999997</v>
      </c>
      <c r="E803">
        <v>40</v>
      </c>
      <c r="F803">
        <v>39.786827086999999</v>
      </c>
      <c r="G803">
        <v>1312.4837646000001</v>
      </c>
      <c r="H803">
        <v>1304.2398682</v>
      </c>
      <c r="I803">
        <v>1381.5837402</v>
      </c>
      <c r="J803">
        <v>1365.2236327999999</v>
      </c>
      <c r="K803">
        <v>0</v>
      </c>
      <c r="L803">
        <v>1650</v>
      </c>
      <c r="M803">
        <v>1650</v>
      </c>
      <c r="N803">
        <v>0</v>
      </c>
    </row>
    <row r="804" spans="1:14" x14ac:dyDescent="0.25">
      <c r="A804">
        <v>553.50736700000004</v>
      </c>
      <c r="B804" s="1">
        <f>DATE(2011,11,5) + TIME(12,10,36)</f>
        <v>40852.507361111115</v>
      </c>
      <c r="C804">
        <v>80</v>
      </c>
      <c r="D804">
        <v>79.106712341000005</v>
      </c>
      <c r="E804">
        <v>40</v>
      </c>
      <c r="F804">
        <v>39.833011626999998</v>
      </c>
      <c r="G804">
        <v>1312.4669189000001</v>
      </c>
      <c r="H804">
        <v>1304.2209473</v>
      </c>
      <c r="I804">
        <v>1381.4973144999999</v>
      </c>
      <c r="J804">
        <v>1365.1643065999999</v>
      </c>
      <c r="K804">
        <v>0</v>
      </c>
      <c r="L804">
        <v>1650</v>
      </c>
      <c r="M804">
        <v>1650</v>
      </c>
      <c r="N804">
        <v>0</v>
      </c>
    </row>
    <row r="805" spans="1:14" x14ac:dyDescent="0.25">
      <c r="A805">
        <v>553.99710200000004</v>
      </c>
      <c r="B805" s="1">
        <f>DATE(2011,11,5) + TIME(23,55,49)</f>
        <v>40852.997094907405</v>
      </c>
      <c r="C805">
        <v>80</v>
      </c>
      <c r="D805">
        <v>79.033645629999995</v>
      </c>
      <c r="E805">
        <v>40</v>
      </c>
      <c r="F805">
        <v>39.868549346999998</v>
      </c>
      <c r="G805">
        <v>1312.4490966999999</v>
      </c>
      <c r="H805">
        <v>1304.2008057</v>
      </c>
      <c r="I805">
        <v>1381.4189452999999</v>
      </c>
      <c r="J805">
        <v>1365.1090088000001</v>
      </c>
      <c r="K805">
        <v>0</v>
      </c>
      <c r="L805">
        <v>1650</v>
      </c>
      <c r="M805">
        <v>1650</v>
      </c>
      <c r="N805">
        <v>0</v>
      </c>
    </row>
    <row r="806" spans="1:14" x14ac:dyDescent="0.25">
      <c r="A806">
        <v>554.53560000000004</v>
      </c>
      <c r="B806" s="1">
        <f>DATE(2011,11,6) + TIME(12,51,15)</f>
        <v>40853.535590277781</v>
      </c>
      <c r="C806">
        <v>80</v>
      </c>
      <c r="D806">
        <v>78.955139160000002</v>
      </c>
      <c r="E806">
        <v>40</v>
      </c>
      <c r="F806">
        <v>39.895584106000001</v>
      </c>
      <c r="G806">
        <v>1312.4296875</v>
      </c>
      <c r="H806">
        <v>1304.1789550999999</v>
      </c>
      <c r="I806">
        <v>1381.3463135</v>
      </c>
      <c r="J806">
        <v>1365.0563964999999</v>
      </c>
      <c r="K806">
        <v>0</v>
      </c>
      <c r="L806">
        <v>1650</v>
      </c>
      <c r="M806">
        <v>1650</v>
      </c>
      <c r="N806">
        <v>0</v>
      </c>
    </row>
    <row r="807" spans="1:14" x14ac:dyDescent="0.25">
      <c r="A807">
        <v>555.13477699999999</v>
      </c>
      <c r="B807" s="1">
        <f>DATE(2011,11,7) + TIME(3,14,4)</f>
        <v>40854.134768518517</v>
      </c>
      <c r="C807">
        <v>80</v>
      </c>
      <c r="D807">
        <v>78.869956970000004</v>
      </c>
      <c r="E807">
        <v>40</v>
      </c>
      <c r="F807">
        <v>39.915760040000002</v>
      </c>
      <c r="G807">
        <v>1312.4085693</v>
      </c>
      <c r="H807">
        <v>1304.1551514</v>
      </c>
      <c r="I807">
        <v>1381.2779541</v>
      </c>
      <c r="J807">
        <v>1365.0054932</v>
      </c>
      <c r="K807">
        <v>0</v>
      </c>
      <c r="L807">
        <v>1650</v>
      </c>
      <c r="M807">
        <v>1650</v>
      </c>
      <c r="N807">
        <v>0</v>
      </c>
    </row>
    <row r="808" spans="1:14" x14ac:dyDescent="0.25">
      <c r="A808">
        <v>555.79686500000003</v>
      </c>
      <c r="B808" s="1">
        <f>DATE(2011,11,7) + TIME(19,7,29)</f>
        <v>40854.796863425923</v>
      </c>
      <c r="C808">
        <v>80</v>
      </c>
      <c r="D808">
        <v>78.777778624999996</v>
      </c>
      <c r="E808">
        <v>40</v>
      </c>
      <c r="F808">
        <v>39.930282593000001</v>
      </c>
      <c r="G808">
        <v>1312.3851318</v>
      </c>
      <c r="H808">
        <v>1304.1286620999999</v>
      </c>
      <c r="I808">
        <v>1381.2122803</v>
      </c>
      <c r="J808">
        <v>1364.9554443</v>
      </c>
      <c r="K808">
        <v>0</v>
      </c>
      <c r="L808">
        <v>1650</v>
      </c>
      <c r="M808">
        <v>1650</v>
      </c>
      <c r="N808">
        <v>0</v>
      </c>
    </row>
    <row r="809" spans="1:14" x14ac:dyDescent="0.25">
      <c r="A809">
        <v>556.527151</v>
      </c>
      <c r="B809" s="1">
        <f>DATE(2011,11,8) + TIME(12,39,5)</f>
        <v>40855.527141203704</v>
      </c>
      <c r="C809">
        <v>80</v>
      </c>
      <c r="D809">
        <v>78.678039550999998</v>
      </c>
      <c r="E809">
        <v>40</v>
      </c>
      <c r="F809">
        <v>39.940425873000002</v>
      </c>
      <c r="G809">
        <v>1312.3592529</v>
      </c>
      <c r="H809">
        <v>1304.0993652</v>
      </c>
      <c r="I809">
        <v>1381.1492920000001</v>
      </c>
      <c r="J809">
        <v>1364.9063721</v>
      </c>
      <c r="K809">
        <v>0</v>
      </c>
      <c r="L809">
        <v>1650</v>
      </c>
      <c r="M809">
        <v>1650</v>
      </c>
      <c r="N809">
        <v>0</v>
      </c>
    </row>
    <row r="810" spans="1:14" x14ac:dyDescent="0.25">
      <c r="A810">
        <v>557.26720699999998</v>
      </c>
      <c r="B810" s="1">
        <f>DATE(2011,11,9) + TIME(6,24,46)</f>
        <v>40856.267199074071</v>
      </c>
      <c r="C810">
        <v>80</v>
      </c>
      <c r="D810">
        <v>78.575607300000001</v>
      </c>
      <c r="E810">
        <v>40</v>
      </c>
      <c r="F810">
        <v>39.94695282</v>
      </c>
      <c r="G810">
        <v>1312.3305664</v>
      </c>
      <c r="H810">
        <v>1304.0672606999999</v>
      </c>
      <c r="I810">
        <v>1381.0883789</v>
      </c>
      <c r="J810">
        <v>1364.8581543</v>
      </c>
      <c r="K810">
        <v>0</v>
      </c>
      <c r="L810">
        <v>1650</v>
      </c>
      <c r="M810">
        <v>1650</v>
      </c>
      <c r="N810">
        <v>0</v>
      </c>
    </row>
    <row r="811" spans="1:14" x14ac:dyDescent="0.25">
      <c r="A811">
        <v>558.02434400000004</v>
      </c>
      <c r="B811" s="1">
        <f>DATE(2011,11,10) + TIME(0,35,3)</f>
        <v>40857.024340277778</v>
      </c>
      <c r="C811">
        <v>80</v>
      </c>
      <c r="D811">
        <v>78.470932007000002</v>
      </c>
      <c r="E811">
        <v>40</v>
      </c>
      <c r="F811">
        <v>39.951206206999998</v>
      </c>
      <c r="G811">
        <v>1312.3013916</v>
      </c>
      <c r="H811">
        <v>1304.0345459</v>
      </c>
      <c r="I811">
        <v>1381.0332031</v>
      </c>
      <c r="J811">
        <v>1364.8140868999999</v>
      </c>
      <c r="K811">
        <v>0</v>
      </c>
      <c r="L811">
        <v>1650</v>
      </c>
      <c r="M811">
        <v>1650</v>
      </c>
      <c r="N811">
        <v>0</v>
      </c>
    </row>
    <row r="812" spans="1:14" x14ac:dyDescent="0.25">
      <c r="A812">
        <v>558.80551300000002</v>
      </c>
      <c r="B812" s="1">
        <f>DATE(2011,11,10) + TIME(19,19,56)</f>
        <v>40857.805509259262</v>
      </c>
      <c r="C812">
        <v>80</v>
      </c>
      <c r="D812">
        <v>78.363975525000001</v>
      </c>
      <c r="E812">
        <v>40</v>
      </c>
      <c r="F812">
        <v>39.954010009999998</v>
      </c>
      <c r="G812">
        <v>1312.2717285000001</v>
      </c>
      <c r="H812">
        <v>1304.0008545000001</v>
      </c>
      <c r="I812">
        <v>1380.9821777</v>
      </c>
      <c r="J812">
        <v>1364.7731934000001</v>
      </c>
      <c r="K812">
        <v>0</v>
      </c>
      <c r="L812">
        <v>1650</v>
      </c>
      <c r="M812">
        <v>1650</v>
      </c>
      <c r="N812">
        <v>0</v>
      </c>
    </row>
    <row r="813" spans="1:14" x14ac:dyDescent="0.25">
      <c r="A813">
        <v>559.61793399999999</v>
      </c>
      <c r="B813" s="1">
        <f>DATE(2011,11,11) + TIME(14,49,49)</f>
        <v>40858.617928240739</v>
      </c>
      <c r="C813">
        <v>80</v>
      </c>
      <c r="D813">
        <v>78.254394531000003</v>
      </c>
      <c r="E813">
        <v>40</v>
      </c>
      <c r="F813">
        <v>39.955875397</v>
      </c>
      <c r="G813">
        <v>1312.2409668</v>
      </c>
      <c r="H813">
        <v>1303.9660644999999</v>
      </c>
      <c r="I813">
        <v>1380.9342041</v>
      </c>
      <c r="J813">
        <v>1364.7344971</v>
      </c>
      <c r="K813">
        <v>0</v>
      </c>
      <c r="L813">
        <v>1650</v>
      </c>
      <c r="M813">
        <v>1650</v>
      </c>
      <c r="N813">
        <v>0</v>
      </c>
    </row>
    <row r="814" spans="1:14" x14ac:dyDescent="0.25">
      <c r="A814">
        <v>560.46953299999996</v>
      </c>
      <c r="B814" s="1">
        <f>DATE(2011,11,12) + TIME(11,16,7)</f>
        <v>40859.469525462962</v>
      </c>
      <c r="C814">
        <v>80</v>
      </c>
      <c r="D814">
        <v>78.141632079999994</v>
      </c>
      <c r="E814">
        <v>40</v>
      </c>
      <c r="F814">
        <v>39.957138061999999</v>
      </c>
      <c r="G814">
        <v>1312.2089844</v>
      </c>
      <c r="H814">
        <v>1303.9295654</v>
      </c>
      <c r="I814">
        <v>1380.8885498</v>
      </c>
      <c r="J814">
        <v>1364.6976318</v>
      </c>
      <c r="K814">
        <v>0</v>
      </c>
      <c r="L814">
        <v>1650</v>
      </c>
      <c r="M814">
        <v>1650</v>
      </c>
      <c r="N814">
        <v>0</v>
      </c>
    </row>
    <row r="815" spans="1:14" x14ac:dyDescent="0.25">
      <c r="A815">
        <v>561.36934499999995</v>
      </c>
      <c r="B815" s="1">
        <f>DATE(2011,11,13) + TIME(8,51,51)</f>
        <v>40860.369340277779</v>
      </c>
      <c r="C815">
        <v>80</v>
      </c>
      <c r="D815">
        <v>78.024948120000005</v>
      </c>
      <c r="E815">
        <v>40</v>
      </c>
      <c r="F815">
        <v>39.958003998000002</v>
      </c>
      <c r="G815">
        <v>1312.1754149999999</v>
      </c>
      <c r="H815">
        <v>1303.8911132999999</v>
      </c>
      <c r="I815">
        <v>1380.8444824000001</v>
      </c>
      <c r="J815">
        <v>1364.6619873</v>
      </c>
      <c r="K815">
        <v>0</v>
      </c>
      <c r="L815">
        <v>1650</v>
      </c>
      <c r="M815">
        <v>1650</v>
      </c>
      <c r="N815">
        <v>0</v>
      </c>
    </row>
    <row r="816" spans="1:14" x14ac:dyDescent="0.25">
      <c r="A816">
        <v>562.32779300000004</v>
      </c>
      <c r="B816" s="1">
        <f>DATE(2011,11,14) + TIME(7,52,1)</f>
        <v>40861.327789351853</v>
      </c>
      <c r="C816">
        <v>80</v>
      </c>
      <c r="D816">
        <v>77.903427124000004</v>
      </c>
      <c r="E816">
        <v>40</v>
      </c>
      <c r="F816">
        <v>39.958610534999998</v>
      </c>
      <c r="G816">
        <v>1312.1396483999999</v>
      </c>
      <c r="H816">
        <v>1303.8502197</v>
      </c>
      <c r="I816">
        <v>1380.8015137</v>
      </c>
      <c r="J816">
        <v>1364.6271973</v>
      </c>
      <c r="K816">
        <v>0</v>
      </c>
      <c r="L816">
        <v>1650</v>
      </c>
      <c r="M816">
        <v>1650</v>
      </c>
      <c r="N816">
        <v>0</v>
      </c>
    </row>
    <row r="817" spans="1:14" x14ac:dyDescent="0.25">
      <c r="A817">
        <v>563.31476099999998</v>
      </c>
      <c r="B817" s="1">
        <f>DATE(2011,11,15) + TIME(7,33,15)</f>
        <v>40862.314756944441</v>
      </c>
      <c r="C817">
        <v>80</v>
      </c>
      <c r="D817">
        <v>77.778984070000007</v>
      </c>
      <c r="E817">
        <v>40</v>
      </c>
      <c r="F817">
        <v>39.959030151</v>
      </c>
      <c r="G817">
        <v>1312.1013184000001</v>
      </c>
      <c r="H817">
        <v>1303.8063964999999</v>
      </c>
      <c r="I817">
        <v>1380.7592772999999</v>
      </c>
      <c r="J817">
        <v>1364.5928954999999</v>
      </c>
      <c r="K817">
        <v>0</v>
      </c>
      <c r="L817">
        <v>1650</v>
      </c>
      <c r="M817">
        <v>1650</v>
      </c>
      <c r="N817">
        <v>0</v>
      </c>
    </row>
    <row r="818" spans="1:14" x14ac:dyDescent="0.25">
      <c r="A818">
        <v>564.31825700000002</v>
      </c>
      <c r="B818" s="1">
        <f>DATE(2011,11,16) + TIME(7,38,17)</f>
        <v>40863.318252314813</v>
      </c>
      <c r="C818">
        <v>80</v>
      </c>
      <c r="D818">
        <v>77.653030396000005</v>
      </c>
      <c r="E818">
        <v>40</v>
      </c>
      <c r="F818">
        <v>39.959331511999999</v>
      </c>
      <c r="G818">
        <v>1312.0615233999999</v>
      </c>
      <c r="H818">
        <v>1303.7607422000001</v>
      </c>
      <c r="I818">
        <v>1380.7189940999999</v>
      </c>
      <c r="J818">
        <v>1364.5601807</v>
      </c>
      <c r="K818">
        <v>0</v>
      </c>
      <c r="L818">
        <v>1650</v>
      </c>
      <c r="M818">
        <v>1650</v>
      </c>
      <c r="N818">
        <v>0</v>
      </c>
    </row>
    <row r="819" spans="1:14" x14ac:dyDescent="0.25">
      <c r="A819">
        <v>565.34584800000005</v>
      </c>
      <c r="B819" s="1">
        <f>DATE(2011,11,17) + TIME(8,18,1)</f>
        <v>40864.34584490741</v>
      </c>
      <c r="C819">
        <v>80</v>
      </c>
      <c r="D819">
        <v>77.525688170999999</v>
      </c>
      <c r="E819">
        <v>40</v>
      </c>
      <c r="F819">
        <v>39.959552764999998</v>
      </c>
      <c r="G819">
        <v>1312.020874</v>
      </c>
      <c r="H819">
        <v>1303.7137451000001</v>
      </c>
      <c r="I819">
        <v>1380.6809082</v>
      </c>
      <c r="J819">
        <v>1364.5294189000001</v>
      </c>
      <c r="K819">
        <v>0</v>
      </c>
      <c r="L819">
        <v>1650</v>
      </c>
      <c r="M819">
        <v>1650</v>
      </c>
      <c r="N819">
        <v>0</v>
      </c>
    </row>
    <row r="820" spans="1:14" x14ac:dyDescent="0.25">
      <c r="A820">
        <v>566.40515300000004</v>
      </c>
      <c r="B820" s="1">
        <f>DATE(2011,11,18) + TIME(9,43,25)</f>
        <v>40865.405150462961</v>
      </c>
      <c r="C820">
        <v>80</v>
      </c>
      <c r="D820">
        <v>77.396652222</v>
      </c>
      <c r="E820">
        <v>40</v>
      </c>
      <c r="F820">
        <v>39.959720611999998</v>
      </c>
      <c r="G820">
        <v>1311.9788818</v>
      </c>
      <c r="H820">
        <v>1303.6651611</v>
      </c>
      <c r="I820">
        <v>1380.6446533000001</v>
      </c>
      <c r="J820">
        <v>1364.5</v>
      </c>
      <c r="K820">
        <v>0</v>
      </c>
      <c r="L820">
        <v>1650</v>
      </c>
      <c r="M820">
        <v>1650</v>
      </c>
      <c r="N820">
        <v>0</v>
      </c>
    </row>
    <row r="821" spans="1:14" x14ac:dyDescent="0.25">
      <c r="A821">
        <v>567.50437299999999</v>
      </c>
      <c r="B821" s="1">
        <f>DATE(2011,11,19) + TIME(12,6,17)</f>
        <v>40866.504363425927</v>
      </c>
      <c r="C821">
        <v>80</v>
      </c>
      <c r="D821">
        <v>77.265388489000003</v>
      </c>
      <c r="E821">
        <v>40</v>
      </c>
      <c r="F821">
        <v>39.959857941000003</v>
      </c>
      <c r="G821">
        <v>1311.9351807</v>
      </c>
      <c r="H821">
        <v>1303.6143798999999</v>
      </c>
      <c r="I821">
        <v>1380.6097411999999</v>
      </c>
      <c r="J821">
        <v>1364.4718018000001</v>
      </c>
      <c r="K821">
        <v>0</v>
      </c>
      <c r="L821">
        <v>1650</v>
      </c>
      <c r="M821">
        <v>1650</v>
      </c>
      <c r="N821">
        <v>0</v>
      </c>
    </row>
    <row r="822" spans="1:14" x14ac:dyDescent="0.25">
      <c r="A822">
        <v>568.65267600000004</v>
      </c>
      <c r="B822" s="1">
        <f>DATE(2011,11,20) + TIME(15,39,51)</f>
        <v>40867.652673611112</v>
      </c>
      <c r="C822">
        <v>80</v>
      </c>
      <c r="D822">
        <v>77.131179810000006</v>
      </c>
      <c r="E822">
        <v>40</v>
      </c>
      <c r="F822">
        <v>39.959968566999997</v>
      </c>
      <c r="G822">
        <v>1311.8894043</v>
      </c>
      <c r="H822">
        <v>1303.5609131000001</v>
      </c>
      <c r="I822">
        <v>1380.5758057</v>
      </c>
      <c r="J822">
        <v>1364.4443358999999</v>
      </c>
      <c r="K822">
        <v>0</v>
      </c>
      <c r="L822">
        <v>1650</v>
      </c>
      <c r="M822">
        <v>1650</v>
      </c>
      <c r="N822">
        <v>0</v>
      </c>
    </row>
    <row r="823" spans="1:14" x14ac:dyDescent="0.25">
      <c r="A823">
        <v>569.86066800000003</v>
      </c>
      <c r="B823" s="1">
        <f>DATE(2011,11,21) + TIME(20,39,21)</f>
        <v>40868.860659722224</v>
      </c>
      <c r="C823">
        <v>80</v>
      </c>
      <c r="D823">
        <v>76.993171692000004</v>
      </c>
      <c r="E823">
        <v>40</v>
      </c>
      <c r="F823">
        <v>39.960063933999997</v>
      </c>
      <c r="G823">
        <v>1311.8410644999999</v>
      </c>
      <c r="H823">
        <v>1303.5042725000001</v>
      </c>
      <c r="I823">
        <v>1380.5426024999999</v>
      </c>
      <c r="J823">
        <v>1364.4174805</v>
      </c>
      <c r="K823">
        <v>0</v>
      </c>
      <c r="L823">
        <v>1650</v>
      </c>
      <c r="M823">
        <v>1650</v>
      </c>
      <c r="N823">
        <v>0</v>
      </c>
    </row>
    <row r="824" spans="1:14" x14ac:dyDescent="0.25">
      <c r="A824">
        <v>571.10750700000006</v>
      </c>
      <c r="B824" s="1">
        <f>DATE(2011,11,23) + TIME(2,34,48)</f>
        <v>40870.107499999998</v>
      </c>
      <c r="C824">
        <v>80</v>
      </c>
      <c r="D824">
        <v>76.852249146000005</v>
      </c>
      <c r="E824">
        <v>40</v>
      </c>
      <c r="F824">
        <v>39.960147857999999</v>
      </c>
      <c r="G824">
        <v>1311.7895507999999</v>
      </c>
      <c r="H824">
        <v>1303.4439697</v>
      </c>
      <c r="I824">
        <v>1380.5097656</v>
      </c>
      <c r="J824">
        <v>1364.3909911999999</v>
      </c>
      <c r="K824">
        <v>0</v>
      </c>
      <c r="L824">
        <v>1650</v>
      </c>
      <c r="M824">
        <v>1650</v>
      </c>
      <c r="N824">
        <v>0</v>
      </c>
    </row>
    <row r="825" spans="1:14" x14ac:dyDescent="0.25">
      <c r="A825">
        <v>572.37219100000004</v>
      </c>
      <c r="B825" s="1">
        <f>DATE(2011,11,24) + TIME(8,55,57)</f>
        <v>40871.372187499997</v>
      </c>
      <c r="C825">
        <v>80</v>
      </c>
      <c r="D825">
        <v>76.710037231000001</v>
      </c>
      <c r="E825">
        <v>40</v>
      </c>
      <c r="F825">
        <v>39.960220337000003</v>
      </c>
      <c r="G825">
        <v>1311.7357178</v>
      </c>
      <c r="H825">
        <v>1303.3804932</v>
      </c>
      <c r="I825">
        <v>1380.4780272999999</v>
      </c>
      <c r="J825">
        <v>1364.3653564000001</v>
      </c>
      <c r="K825">
        <v>0</v>
      </c>
      <c r="L825">
        <v>1650</v>
      </c>
      <c r="M825">
        <v>1650</v>
      </c>
      <c r="N825">
        <v>0</v>
      </c>
    </row>
    <row r="826" spans="1:14" x14ac:dyDescent="0.25">
      <c r="A826">
        <v>573.66296799999998</v>
      </c>
      <c r="B826" s="1">
        <f>DATE(2011,11,25) + TIME(15,54,40)</f>
        <v>40872.662962962961</v>
      </c>
      <c r="C826">
        <v>80</v>
      </c>
      <c r="D826">
        <v>76.566909789999997</v>
      </c>
      <c r="E826">
        <v>40</v>
      </c>
      <c r="F826">
        <v>39.960285186999997</v>
      </c>
      <c r="G826">
        <v>1311.6802978999999</v>
      </c>
      <c r="H826">
        <v>1303.3150635</v>
      </c>
      <c r="I826">
        <v>1380.4477539</v>
      </c>
      <c r="J826">
        <v>1364.3408202999999</v>
      </c>
      <c r="K826">
        <v>0</v>
      </c>
      <c r="L826">
        <v>1650</v>
      </c>
      <c r="M826">
        <v>1650</v>
      </c>
      <c r="N826">
        <v>0</v>
      </c>
    </row>
    <row r="827" spans="1:14" x14ac:dyDescent="0.25">
      <c r="A827">
        <v>574.98802000000001</v>
      </c>
      <c r="B827" s="1">
        <f>DATE(2011,11,26) + TIME(23,42,44)</f>
        <v>40873.988009259258</v>
      </c>
      <c r="C827">
        <v>80</v>
      </c>
      <c r="D827">
        <v>76.422637938999998</v>
      </c>
      <c r="E827">
        <v>40</v>
      </c>
      <c r="F827">
        <v>39.960350036999998</v>
      </c>
      <c r="G827">
        <v>1311.6230469</v>
      </c>
      <c r="H827">
        <v>1303.2468262</v>
      </c>
      <c r="I827">
        <v>1380.4185791</v>
      </c>
      <c r="J827">
        <v>1364.3173827999999</v>
      </c>
      <c r="K827">
        <v>0</v>
      </c>
      <c r="L827">
        <v>1650</v>
      </c>
      <c r="M827">
        <v>1650</v>
      </c>
      <c r="N827">
        <v>0</v>
      </c>
    </row>
    <row r="828" spans="1:14" x14ac:dyDescent="0.25">
      <c r="A828">
        <v>576.35610899999995</v>
      </c>
      <c r="B828" s="1">
        <f>DATE(2011,11,28) + TIME(8,32,47)</f>
        <v>40875.356099537035</v>
      </c>
      <c r="C828">
        <v>80</v>
      </c>
      <c r="D828">
        <v>76.276695251000007</v>
      </c>
      <c r="E828">
        <v>40</v>
      </c>
      <c r="F828">
        <v>39.960411071999999</v>
      </c>
      <c r="G828">
        <v>1311.5633545000001</v>
      </c>
      <c r="H828">
        <v>1303.1755370999999</v>
      </c>
      <c r="I828">
        <v>1380.3903809000001</v>
      </c>
      <c r="J828">
        <v>1364.2946777</v>
      </c>
      <c r="K828">
        <v>0</v>
      </c>
      <c r="L828">
        <v>1650</v>
      </c>
      <c r="M828">
        <v>1650</v>
      </c>
      <c r="N828">
        <v>0</v>
      </c>
    </row>
    <row r="829" spans="1:14" x14ac:dyDescent="0.25">
      <c r="A829">
        <v>577.77694499999996</v>
      </c>
      <c r="B829" s="1">
        <f>DATE(2011,11,29) + TIME(18,38,48)</f>
        <v>40876.776944444442</v>
      </c>
      <c r="C829">
        <v>80</v>
      </c>
      <c r="D829">
        <v>76.128402710000003</v>
      </c>
      <c r="E829">
        <v>40</v>
      </c>
      <c r="F829">
        <v>39.960472107000001</v>
      </c>
      <c r="G829">
        <v>1311.5008545000001</v>
      </c>
      <c r="H829">
        <v>1303.1004639</v>
      </c>
      <c r="I829">
        <v>1380.3629149999999</v>
      </c>
      <c r="J829">
        <v>1364.2724608999999</v>
      </c>
      <c r="K829">
        <v>0</v>
      </c>
      <c r="L829">
        <v>1650</v>
      </c>
      <c r="M829">
        <v>1650</v>
      </c>
      <c r="N829">
        <v>0</v>
      </c>
    </row>
    <row r="830" spans="1:14" x14ac:dyDescent="0.25">
      <c r="A830">
        <v>579</v>
      </c>
      <c r="B830" s="1">
        <f>DATE(2011,12,1) + TIME(0,0,0)</f>
        <v>40878</v>
      </c>
      <c r="C830">
        <v>80</v>
      </c>
      <c r="D830">
        <v>75.990600585999999</v>
      </c>
      <c r="E830">
        <v>40</v>
      </c>
      <c r="F830">
        <v>39.960521698000001</v>
      </c>
      <c r="G830">
        <v>1311.4346923999999</v>
      </c>
      <c r="H830">
        <v>1303.0218506000001</v>
      </c>
      <c r="I830">
        <v>1380.3358154</v>
      </c>
      <c r="J830">
        <v>1364.2504882999999</v>
      </c>
      <c r="K830">
        <v>0</v>
      </c>
      <c r="L830">
        <v>1650</v>
      </c>
      <c r="M830">
        <v>1650</v>
      </c>
      <c r="N830">
        <v>0</v>
      </c>
    </row>
    <row r="831" spans="1:14" x14ac:dyDescent="0.25">
      <c r="A831">
        <v>580.48465699999997</v>
      </c>
      <c r="B831" s="1">
        <f>DATE(2011,12,2) + TIME(11,37,54)</f>
        <v>40879.484652777777</v>
      </c>
      <c r="C831">
        <v>80</v>
      </c>
      <c r="D831">
        <v>75.845542907999999</v>
      </c>
      <c r="E831">
        <v>40</v>
      </c>
      <c r="F831">
        <v>39.960582733000003</v>
      </c>
      <c r="G831">
        <v>1311.3767089999999</v>
      </c>
      <c r="H831">
        <v>1302.9500731999999</v>
      </c>
      <c r="I831">
        <v>1380.3139647999999</v>
      </c>
      <c r="J831">
        <v>1364.2329102000001</v>
      </c>
      <c r="K831">
        <v>0</v>
      </c>
      <c r="L831">
        <v>1650</v>
      </c>
      <c r="M831">
        <v>1650</v>
      </c>
      <c r="N831">
        <v>0</v>
      </c>
    </row>
    <row r="832" spans="1:14" x14ac:dyDescent="0.25">
      <c r="A832">
        <v>582.01811699999996</v>
      </c>
      <c r="B832" s="1">
        <f>DATE(2011,12,4) + TIME(0,26,5)</f>
        <v>40881.018113425926</v>
      </c>
      <c r="C832">
        <v>80</v>
      </c>
      <c r="D832">
        <v>75.695350646999998</v>
      </c>
      <c r="E832">
        <v>40</v>
      </c>
      <c r="F832">
        <v>39.960643767999997</v>
      </c>
      <c r="G832">
        <v>1311.3057861</v>
      </c>
      <c r="H832">
        <v>1302.8642577999999</v>
      </c>
      <c r="I832">
        <v>1380.2884521000001</v>
      </c>
      <c r="J832">
        <v>1364.2122803</v>
      </c>
      <c r="K832">
        <v>0</v>
      </c>
      <c r="L832">
        <v>1650</v>
      </c>
      <c r="M832">
        <v>1650</v>
      </c>
      <c r="N832">
        <v>0</v>
      </c>
    </row>
    <row r="833" spans="1:14" x14ac:dyDescent="0.25">
      <c r="A833">
        <v>583.57998599999996</v>
      </c>
      <c r="B833" s="1">
        <f>DATE(2011,12,5) + TIME(13,55,10)</f>
        <v>40882.579976851855</v>
      </c>
      <c r="C833">
        <v>80</v>
      </c>
      <c r="D833">
        <v>75.542427063000005</v>
      </c>
      <c r="E833">
        <v>40</v>
      </c>
      <c r="F833">
        <v>39.960704802999999</v>
      </c>
      <c r="G833">
        <v>1311.2312012</v>
      </c>
      <c r="H833">
        <v>1302.7734375</v>
      </c>
      <c r="I833">
        <v>1380.2634277</v>
      </c>
      <c r="J833">
        <v>1364.1921387</v>
      </c>
      <c r="K833">
        <v>0</v>
      </c>
      <c r="L833">
        <v>1650</v>
      </c>
      <c r="M833">
        <v>1650</v>
      </c>
      <c r="N833">
        <v>0</v>
      </c>
    </row>
    <row r="834" spans="1:14" x14ac:dyDescent="0.25">
      <c r="A834">
        <v>585.17957999999999</v>
      </c>
      <c r="B834" s="1">
        <f>DATE(2011,12,7) + TIME(4,18,35)</f>
        <v>40884.179571759261</v>
      </c>
      <c r="C834">
        <v>80</v>
      </c>
      <c r="D834">
        <v>75.387725829999994</v>
      </c>
      <c r="E834">
        <v>40</v>
      </c>
      <c r="F834">
        <v>39.960769653</v>
      </c>
      <c r="G834">
        <v>1311.1535644999999</v>
      </c>
      <c r="H834">
        <v>1302.6784668</v>
      </c>
      <c r="I834">
        <v>1380.2392577999999</v>
      </c>
      <c r="J834">
        <v>1364.1727295000001</v>
      </c>
      <c r="K834">
        <v>0</v>
      </c>
      <c r="L834">
        <v>1650</v>
      </c>
      <c r="M834">
        <v>1650</v>
      </c>
      <c r="N834">
        <v>0</v>
      </c>
    </row>
    <row r="835" spans="1:14" x14ac:dyDescent="0.25">
      <c r="A835">
        <v>586.82637399999999</v>
      </c>
      <c r="B835" s="1">
        <f>DATE(2011,12,8) + TIME(19,49,58)</f>
        <v>40885.826365740744</v>
      </c>
      <c r="C835">
        <v>80</v>
      </c>
      <c r="D835">
        <v>75.231231688999998</v>
      </c>
      <c r="E835">
        <v>40</v>
      </c>
      <c r="F835">
        <v>39.960834503000001</v>
      </c>
      <c r="G835">
        <v>1311.0727539</v>
      </c>
      <c r="H835">
        <v>1302.5788574000001</v>
      </c>
      <c r="I835">
        <v>1380.2158202999999</v>
      </c>
      <c r="J835">
        <v>1364.1536865</v>
      </c>
      <c r="K835">
        <v>0</v>
      </c>
      <c r="L835">
        <v>1650</v>
      </c>
      <c r="M835">
        <v>1650</v>
      </c>
      <c r="N835">
        <v>0</v>
      </c>
    </row>
    <row r="836" spans="1:14" x14ac:dyDescent="0.25">
      <c r="A836">
        <v>588.53077499999995</v>
      </c>
      <c r="B836" s="1">
        <f>DATE(2011,12,10) + TIME(12,44,18)</f>
        <v>40887.530763888892</v>
      </c>
      <c r="C836">
        <v>80</v>
      </c>
      <c r="D836">
        <v>75.072517395000006</v>
      </c>
      <c r="E836">
        <v>40</v>
      </c>
      <c r="F836">
        <v>39.960899353000002</v>
      </c>
      <c r="G836">
        <v>1310.9879149999999</v>
      </c>
      <c r="H836">
        <v>1302.4738769999999</v>
      </c>
      <c r="I836">
        <v>1380.1928711</v>
      </c>
      <c r="J836">
        <v>1364.1352539</v>
      </c>
      <c r="K836">
        <v>0</v>
      </c>
      <c r="L836">
        <v>1650</v>
      </c>
      <c r="M836">
        <v>1650</v>
      </c>
      <c r="N836">
        <v>0</v>
      </c>
    </row>
    <row r="837" spans="1:14" x14ac:dyDescent="0.25">
      <c r="A837">
        <v>590.28571599999998</v>
      </c>
      <c r="B837" s="1">
        <f>DATE(2011,12,12) + TIME(6,51,25)</f>
        <v>40889.28570601852</v>
      </c>
      <c r="C837">
        <v>80</v>
      </c>
      <c r="D837">
        <v>74.911514281999999</v>
      </c>
      <c r="E837">
        <v>40</v>
      </c>
      <c r="F837">
        <v>39.960968018000003</v>
      </c>
      <c r="G837">
        <v>1310.8984375</v>
      </c>
      <c r="H837">
        <v>1302.362793</v>
      </c>
      <c r="I837">
        <v>1380.1701660000001</v>
      </c>
      <c r="J837">
        <v>1364.1169434000001</v>
      </c>
      <c r="K837">
        <v>0</v>
      </c>
      <c r="L837">
        <v>1650</v>
      </c>
      <c r="M837">
        <v>1650</v>
      </c>
      <c r="N837">
        <v>0</v>
      </c>
    </row>
    <row r="838" spans="1:14" x14ac:dyDescent="0.25">
      <c r="A838">
        <v>592.07293800000002</v>
      </c>
      <c r="B838" s="1">
        <f>DATE(2011,12,14) + TIME(1,45,1)</f>
        <v>40891.072928240741</v>
      </c>
      <c r="C838">
        <v>80</v>
      </c>
      <c r="D838">
        <v>74.749031067000004</v>
      </c>
      <c r="E838">
        <v>40</v>
      </c>
      <c r="F838">
        <v>39.961040496999999</v>
      </c>
      <c r="G838">
        <v>1310.8044434000001</v>
      </c>
      <c r="H838">
        <v>1302.2456055</v>
      </c>
      <c r="I838">
        <v>1380.1480713000001</v>
      </c>
      <c r="J838">
        <v>1364.0991211</v>
      </c>
      <c r="K838">
        <v>0</v>
      </c>
      <c r="L838">
        <v>1650</v>
      </c>
      <c r="M838">
        <v>1650</v>
      </c>
      <c r="N838">
        <v>0</v>
      </c>
    </row>
    <row r="839" spans="1:14" x14ac:dyDescent="0.25">
      <c r="A839">
        <v>593.88704499999994</v>
      </c>
      <c r="B839" s="1">
        <f>DATE(2011,12,15) + TIME(21,17,20)</f>
        <v>40892.887037037035</v>
      </c>
      <c r="C839">
        <v>80</v>
      </c>
      <c r="D839">
        <v>74.5859375</v>
      </c>
      <c r="E839">
        <v>40</v>
      </c>
      <c r="F839">
        <v>39.961109161000003</v>
      </c>
      <c r="G839">
        <v>1310.7067870999999</v>
      </c>
      <c r="H839">
        <v>1302.1232910000001</v>
      </c>
      <c r="I839">
        <v>1380.1265868999999</v>
      </c>
      <c r="J839">
        <v>1364.0816649999999</v>
      </c>
      <c r="K839">
        <v>0</v>
      </c>
      <c r="L839">
        <v>1650</v>
      </c>
      <c r="M839">
        <v>1650</v>
      </c>
      <c r="N839">
        <v>0</v>
      </c>
    </row>
    <row r="840" spans="1:14" x14ac:dyDescent="0.25">
      <c r="A840">
        <v>595.73718799999995</v>
      </c>
      <c r="B840" s="1">
        <f>DATE(2011,12,17) + TIME(17,41,33)</f>
        <v>40894.737187500003</v>
      </c>
      <c r="C840">
        <v>80</v>
      </c>
      <c r="D840">
        <v>74.422294617000006</v>
      </c>
      <c r="E840">
        <v>40</v>
      </c>
      <c r="F840">
        <v>39.961181641000003</v>
      </c>
      <c r="G840">
        <v>1310.6055908000001</v>
      </c>
      <c r="H840">
        <v>1301.9958495999999</v>
      </c>
      <c r="I840">
        <v>1380.1057129000001</v>
      </c>
      <c r="J840">
        <v>1364.0649414</v>
      </c>
      <c r="K840">
        <v>0</v>
      </c>
      <c r="L840">
        <v>1650</v>
      </c>
      <c r="M840">
        <v>1650</v>
      </c>
      <c r="N840">
        <v>0</v>
      </c>
    </row>
    <row r="841" spans="1:14" x14ac:dyDescent="0.25">
      <c r="A841">
        <v>597.633241</v>
      </c>
      <c r="B841" s="1">
        <f>DATE(2011,12,19) + TIME(15,11,52)</f>
        <v>40896.633240740739</v>
      </c>
      <c r="C841">
        <v>80</v>
      </c>
      <c r="D841">
        <v>74.257644653</v>
      </c>
      <c r="E841">
        <v>40</v>
      </c>
      <c r="F841">
        <v>39.961257934999999</v>
      </c>
      <c r="G841">
        <v>1310.5002440999999</v>
      </c>
      <c r="H841">
        <v>1301.8626709</v>
      </c>
      <c r="I841">
        <v>1380.0854492000001</v>
      </c>
      <c r="J841">
        <v>1364.0485839999999</v>
      </c>
      <c r="K841">
        <v>0</v>
      </c>
      <c r="L841">
        <v>1650</v>
      </c>
      <c r="M841">
        <v>1650</v>
      </c>
      <c r="N841">
        <v>0</v>
      </c>
    </row>
    <row r="842" spans="1:14" x14ac:dyDescent="0.25">
      <c r="A842">
        <v>599.58596699999998</v>
      </c>
      <c r="B842" s="1">
        <f>DATE(2011,12,21) + TIME(14,3,47)</f>
        <v>40898.585960648146</v>
      </c>
      <c r="C842">
        <v>80</v>
      </c>
      <c r="D842">
        <v>74.091262817</v>
      </c>
      <c r="E842">
        <v>40</v>
      </c>
      <c r="F842">
        <v>39.961334229000002</v>
      </c>
      <c r="G842">
        <v>1310.3902588000001</v>
      </c>
      <c r="H842">
        <v>1301.7227783000001</v>
      </c>
      <c r="I842">
        <v>1380.0656738</v>
      </c>
      <c r="J842">
        <v>1364.0325928</v>
      </c>
      <c r="K842">
        <v>0</v>
      </c>
      <c r="L842">
        <v>1650</v>
      </c>
      <c r="M842">
        <v>1650</v>
      </c>
      <c r="N842">
        <v>0</v>
      </c>
    </row>
    <row r="843" spans="1:14" x14ac:dyDescent="0.25">
      <c r="A843">
        <v>601.57656199999997</v>
      </c>
      <c r="B843" s="1">
        <f>DATE(2011,12,23) + TIME(13,50,14)</f>
        <v>40900.576550925929</v>
      </c>
      <c r="C843">
        <v>80</v>
      </c>
      <c r="D843">
        <v>73.923301696999999</v>
      </c>
      <c r="E843">
        <v>40</v>
      </c>
      <c r="F843">
        <v>39.961410522000001</v>
      </c>
      <c r="G843">
        <v>1310.2745361</v>
      </c>
      <c r="H843">
        <v>1301.5754394999999</v>
      </c>
      <c r="I843">
        <v>1380.0461425999999</v>
      </c>
      <c r="J843">
        <v>1364.0168457</v>
      </c>
      <c r="K843">
        <v>0</v>
      </c>
      <c r="L843">
        <v>1650</v>
      </c>
      <c r="M843">
        <v>1650</v>
      </c>
      <c r="N843">
        <v>0</v>
      </c>
    </row>
    <row r="844" spans="1:14" x14ac:dyDescent="0.25">
      <c r="A844">
        <v>603.59450900000002</v>
      </c>
      <c r="B844" s="1">
        <f>DATE(2011,12,25) + TIME(14,16,5)</f>
        <v>40902.594502314816</v>
      </c>
      <c r="C844">
        <v>80</v>
      </c>
      <c r="D844">
        <v>73.754455566000004</v>
      </c>
      <c r="E844">
        <v>40</v>
      </c>
      <c r="F844">
        <v>39.961490630999997</v>
      </c>
      <c r="G844">
        <v>1310.1541748</v>
      </c>
      <c r="H844">
        <v>1301.4213867000001</v>
      </c>
      <c r="I844">
        <v>1380.0272216999999</v>
      </c>
      <c r="J844">
        <v>1364.0014647999999</v>
      </c>
      <c r="K844">
        <v>0</v>
      </c>
      <c r="L844">
        <v>1650</v>
      </c>
      <c r="M844">
        <v>1650</v>
      </c>
      <c r="N844">
        <v>0</v>
      </c>
    </row>
    <row r="845" spans="1:14" x14ac:dyDescent="0.25">
      <c r="A845">
        <v>605.64387699999997</v>
      </c>
      <c r="B845" s="1">
        <f>DATE(2011,12,27) + TIME(15,27,10)</f>
        <v>40904.643865740742</v>
      </c>
      <c r="C845">
        <v>80</v>
      </c>
      <c r="D845">
        <v>73.585014342999997</v>
      </c>
      <c r="E845">
        <v>40</v>
      </c>
      <c r="F845">
        <v>39.961570739999999</v>
      </c>
      <c r="G845">
        <v>1310.0295410000001</v>
      </c>
      <c r="H845">
        <v>1301.2611084</v>
      </c>
      <c r="I845">
        <v>1380.0087891000001</v>
      </c>
      <c r="J845">
        <v>1363.9865723</v>
      </c>
      <c r="K845">
        <v>0</v>
      </c>
      <c r="L845">
        <v>1650</v>
      </c>
      <c r="M845">
        <v>1650</v>
      </c>
      <c r="N845">
        <v>0</v>
      </c>
    </row>
    <row r="846" spans="1:14" x14ac:dyDescent="0.25">
      <c r="A846">
        <v>607.71677999999997</v>
      </c>
      <c r="B846" s="1">
        <f>DATE(2011,12,29) + TIME(17,12,9)</f>
        <v>40906.716770833336</v>
      </c>
      <c r="C846">
        <v>80</v>
      </c>
      <c r="D846">
        <v>73.415184021000002</v>
      </c>
      <c r="E846">
        <v>40</v>
      </c>
      <c r="F846">
        <v>39.961650847999998</v>
      </c>
      <c r="G846">
        <v>1309.9002685999999</v>
      </c>
      <c r="H846">
        <v>1301.0942382999999</v>
      </c>
      <c r="I846">
        <v>1379.9908447</v>
      </c>
      <c r="J846">
        <v>1363.9720459</v>
      </c>
      <c r="K846">
        <v>0</v>
      </c>
      <c r="L846">
        <v>1650</v>
      </c>
      <c r="M846">
        <v>1650</v>
      </c>
      <c r="N846">
        <v>0</v>
      </c>
    </row>
    <row r="847" spans="1:14" x14ac:dyDescent="0.25">
      <c r="A847">
        <v>609.81495399999994</v>
      </c>
      <c r="B847" s="1">
        <f>DATE(2011,12,31) + TIME(19,33,32)</f>
        <v>40908.814953703702</v>
      </c>
      <c r="C847">
        <v>80</v>
      </c>
      <c r="D847">
        <v>73.245033264</v>
      </c>
      <c r="E847">
        <v>40</v>
      </c>
      <c r="F847">
        <v>39.961734772</v>
      </c>
      <c r="G847">
        <v>1309.7668457</v>
      </c>
      <c r="H847">
        <v>1300.9212646000001</v>
      </c>
      <c r="I847">
        <v>1379.9733887</v>
      </c>
      <c r="J847">
        <v>1363.9578856999999</v>
      </c>
      <c r="K847">
        <v>0</v>
      </c>
      <c r="L847">
        <v>1650</v>
      </c>
      <c r="M847">
        <v>1650</v>
      </c>
      <c r="N847">
        <v>0</v>
      </c>
    </row>
    <row r="848" spans="1:14" x14ac:dyDescent="0.25">
      <c r="A848">
        <v>610</v>
      </c>
      <c r="B848" s="1">
        <f>DATE(2012,1,1) + TIME(0,0,0)</f>
        <v>40909</v>
      </c>
      <c r="C848">
        <v>80</v>
      </c>
      <c r="D848">
        <v>73.210342406999999</v>
      </c>
      <c r="E848">
        <v>40</v>
      </c>
      <c r="F848">
        <v>39.961738586000003</v>
      </c>
      <c r="G848">
        <v>1309.640625</v>
      </c>
      <c r="H848">
        <v>1300.7736815999999</v>
      </c>
      <c r="I848">
        <v>1379.9550781</v>
      </c>
      <c r="J848">
        <v>1363.9429932</v>
      </c>
      <c r="K848">
        <v>0</v>
      </c>
      <c r="L848">
        <v>1650</v>
      </c>
      <c r="M848">
        <v>1650</v>
      </c>
      <c r="N848">
        <v>0</v>
      </c>
    </row>
    <row r="849" spans="1:14" x14ac:dyDescent="0.25">
      <c r="A849">
        <v>612.12760000000003</v>
      </c>
      <c r="B849" s="1">
        <f>DATE(2012,1,3) + TIME(3,3,44)</f>
        <v>40911.127592592595</v>
      </c>
      <c r="C849">
        <v>80</v>
      </c>
      <c r="D849">
        <v>73.052055358999993</v>
      </c>
      <c r="E849">
        <v>40</v>
      </c>
      <c r="F849">
        <v>39.961822509999998</v>
      </c>
      <c r="G849">
        <v>1309.6138916</v>
      </c>
      <c r="H849">
        <v>1300.7207031</v>
      </c>
      <c r="I849">
        <v>1379.9550781</v>
      </c>
      <c r="J849">
        <v>1363.9431152</v>
      </c>
      <c r="K849">
        <v>0</v>
      </c>
      <c r="L849">
        <v>1650</v>
      </c>
      <c r="M849">
        <v>1650</v>
      </c>
      <c r="N849">
        <v>0</v>
      </c>
    </row>
    <row r="850" spans="1:14" x14ac:dyDescent="0.25">
      <c r="A850">
        <v>614.29224499999998</v>
      </c>
      <c r="B850" s="1">
        <f>DATE(2012,1,5) + TIME(7,0,49)</f>
        <v>40913.292233796295</v>
      </c>
      <c r="C850">
        <v>80</v>
      </c>
      <c r="D850">
        <v>72.885017395000006</v>
      </c>
      <c r="E850">
        <v>40</v>
      </c>
      <c r="F850">
        <v>39.961906433000003</v>
      </c>
      <c r="G850">
        <v>1309.4730225000001</v>
      </c>
      <c r="H850">
        <v>1300.5374756000001</v>
      </c>
      <c r="I850">
        <v>1379.9387207</v>
      </c>
      <c r="J850">
        <v>1363.9298096</v>
      </c>
      <c r="K850">
        <v>0</v>
      </c>
      <c r="L850">
        <v>1650</v>
      </c>
      <c r="M850">
        <v>1650</v>
      </c>
      <c r="N850">
        <v>0</v>
      </c>
    </row>
    <row r="851" spans="1:14" x14ac:dyDescent="0.25">
      <c r="A851">
        <v>616.49448800000005</v>
      </c>
      <c r="B851" s="1">
        <f>DATE(2012,1,7) + TIME(11,52,3)</f>
        <v>40915.494479166664</v>
      </c>
      <c r="C851">
        <v>80</v>
      </c>
      <c r="D851">
        <v>72.713531493999994</v>
      </c>
      <c r="E851">
        <v>40</v>
      </c>
      <c r="F851">
        <v>39.961990356000001</v>
      </c>
      <c r="G851">
        <v>1309.3255615</v>
      </c>
      <c r="H851">
        <v>1300.3443603999999</v>
      </c>
      <c r="I851">
        <v>1379.9226074000001</v>
      </c>
      <c r="J851">
        <v>1363.9167480000001</v>
      </c>
      <c r="K851">
        <v>0</v>
      </c>
      <c r="L851">
        <v>1650</v>
      </c>
      <c r="M851">
        <v>1650</v>
      </c>
      <c r="N851">
        <v>0</v>
      </c>
    </row>
    <row r="852" spans="1:14" x14ac:dyDescent="0.25">
      <c r="A852">
        <v>618.73858900000005</v>
      </c>
      <c r="B852" s="1">
        <f>DATE(2012,1,9) + TIME(17,43,34)</f>
        <v>40917.738587962966</v>
      </c>
      <c r="C852">
        <v>80</v>
      </c>
      <c r="D852">
        <v>72.538970946999996</v>
      </c>
      <c r="E852">
        <v>40</v>
      </c>
      <c r="F852">
        <v>39.962078093999999</v>
      </c>
      <c r="G852">
        <v>1309.1722411999999</v>
      </c>
      <c r="H852">
        <v>1300.1427002</v>
      </c>
      <c r="I852">
        <v>1379.9068603999999</v>
      </c>
      <c r="J852">
        <v>1363.9040527</v>
      </c>
      <c r="K852">
        <v>0</v>
      </c>
      <c r="L852">
        <v>1650</v>
      </c>
      <c r="M852">
        <v>1650</v>
      </c>
      <c r="N852">
        <v>0</v>
      </c>
    </row>
    <row r="853" spans="1:14" x14ac:dyDescent="0.25">
      <c r="A853">
        <v>621.01814400000001</v>
      </c>
      <c r="B853" s="1">
        <f>DATE(2012,1,12) + TIME(0,26,7)</f>
        <v>40920.018136574072</v>
      </c>
      <c r="C853">
        <v>80</v>
      </c>
      <c r="D853">
        <v>72.361785889000004</v>
      </c>
      <c r="E853">
        <v>40</v>
      </c>
      <c r="F853">
        <v>39.962165833</v>
      </c>
      <c r="G853">
        <v>1309.0128173999999</v>
      </c>
      <c r="H853">
        <v>1299.9323730000001</v>
      </c>
      <c r="I853">
        <v>1379.8913574000001</v>
      </c>
      <c r="J853">
        <v>1363.8914795000001</v>
      </c>
      <c r="K853">
        <v>0</v>
      </c>
      <c r="L853">
        <v>1650</v>
      </c>
      <c r="M853">
        <v>1650</v>
      </c>
      <c r="N853">
        <v>0</v>
      </c>
    </row>
    <row r="854" spans="1:14" x14ac:dyDescent="0.25">
      <c r="A854">
        <v>623.32146599999999</v>
      </c>
      <c r="B854" s="1">
        <f>DATE(2012,1,14) + TIME(7,42,54)</f>
        <v>40922.321458333332</v>
      </c>
      <c r="C854">
        <v>80</v>
      </c>
      <c r="D854">
        <v>72.182411193999997</v>
      </c>
      <c r="E854">
        <v>40</v>
      </c>
      <c r="F854">
        <v>39.962253570999998</v>
      </c>
      <c r="G854">
        <v>1308.8479004000001</v>
      </c>
      <c r="H854">
        <v>1299.7137451000001</v>
      </c>
      <c r="I854">
        <v>1379.8762207</v>
      </c>
      <c r="J854">
        <v>1363.8792725000001</v>
      </c>
      <c r="K854">
        <v>0</v>
      </c>
      <c r="L854">
        <v>1650</v>
      </c>
      <c r="M854">
        <v>1650</v>
      </c>
      <c r="N854">
        <v>0</v>
      </c>
    </row>
    <row r="855" spans="1:14" x14ac:dyDescent="0.25">
      <c r="A855">
        <v>625.65332599999999</v>
      </c>
      <c r="B855" s="1">
        <f>DATE(2012,1,16) + TIME(15,40,47)</f>
        <v>40924.653321759259</v>
      </c>
      <c r="C855">
        <v>80</v>
      </c>
      <c r="D855">
        <v>72.000953674000002</v>
      </c>
      <c r="E855">
        <v>40</v>
      </c>
      <c r="F855">
        <v>39.962341309000003</v>
      </c>
      <c r="G855">
        <v>1308.6778564000001</v>
      </c>
      <c r="H855">
        <v>1299.4876709</v>
      </c>
      <c r="I855">
        <v>1379.8614502</v>
      </c>
      <c r="J855">
        <v>1363.8673096</v>
      </c>
      <c r="K855">
        <v>0</v>
      </c>
      <c r="L855">
        <v>1650</v>
      </c>
      <c r="M855">
        <v>1650</v>
      </c>
      <c r="N855">
        <v>0</v>
      </c>
    </row>
    <row r="856" spans="1:14" x14ac:dyDescent="0.25">
      <c r="A856">
        <v>628.01834299999996</v>
      </c>
      <c r="B856" s="1">
        <f>DATE(2012,1,19) + TIME(0,26,24)</f>
        <v>40927.018333333333</v>
      </c>
      <c r="C856">
        <v>80</v>
      </c>
      <c r="D856">
        <v>71.816993713000002</v>
      </c>
      <c r="E856">
        <v>40</v>
      </c>
      <c r="F856">
        <v>39.962429047000001</v>
      </c>
      <c r="G856">
        <v>1308.5026855000001</v>
      </c>
      <c r="H856">
        <v>1299.2537841999999</v>
      </c>
      <c r="I856">
        <v>1379.8469238</v>
      </c>
      <c r="J856">
        <v>1363.8555908000001</v>
      </c>
      <c r="K856">
        <v>0</v>
      </c>
      <c r="L856">
        <v>1650</v>
      </c>
      <c r="M856">
        <v>1650</v>
      </c>
      <c r="N856">
        <v>0</v>
      </c>
    </row>
    <row r="857" spans="1:14" x14ac:dyDescent="0.25">
      <c r="A857">
        <v>630.41684299999997</v>
      </c>
      <c r="B857" s="1">
        <f>DATE(2012,1,21) + TIME(10,0,15)</f>
        <v>40929.41684027778</v>
      </c>
      <c r="C857">
        <v>80</v>
      </c>
      <c r="D857">
        <v>71.630020142000006</v>
      </c>
      <c r="E857">
        <v>40</v>
      </c>
      <c r="F857">
        <v>39.962520599000001</v>
      </c>
      <c r="G857">
        <v>1308.3217772999999</v>
      </c>
      <c r="H857">
        <v>1299.0115966999999</v>
      </c>
      <c r="I857">
        <v>1379.8327637</v>
      </c>
      <c r="J857">
        <v>1363.8439940999999</v>
      </c>
      <c r="K857">
        <v>0</v>
      </c>
      <c r="L857">
        <v>1650</v>
      </c>
      <c r="M857">
        <v>1650</v>
      </c>
      <c r="N857">
        <v>0</v>
      </c>
    </row>
    <row r="858" spans="1:14" x14ac:dyDescent="0.25">
      <c r="A858">
        <v>632.84936300000004</v>
      </c>
      <c r="B858" s="1">
        <f>DATE(2012,1,23) + TIME(20,23,4)</f>
        <v>40931.849351851852</v>
      </c>
      <c r="C858">
        <v>80</v>
      </c>
      <c r="D858">
        <v>71.439582825000002</v>
      </c>
      <c r="E858">
        <v>40</v>
      </c>
      <c r="F858">
        <v>39.962612151999998</v>
      </c>
      <c r="G858">
        <v>1308.1352539</v>
      </c>
      <c r="H858">
        <v>1298.7608643000001</v>
      </c>
      <c r="I858">
        <v>1379.8187256000001</v>
      </c>
      <c r="J858">
        <v>1363.8327637</v>
      </c>
      <c r="K858">
        <v>0</v>
      </c>
      <c r="L858">
        <v>1650</v>
      </c>
      <c r="M858">
        <v>1650</v>
      </c>
      <c r="N858">
        <v>0</v>
      </c>
    </row>
    <row r="859" spans="1:14" x14ac:dyDescent="0.25">
      <c r="A859">
        <v>635.32055200000002</v>
      </c>
      <c r="B859" s="1">
        <f>DATE(2012,1,26) + TIME(7,41,35)</f>
        <v>40934.320543981485</v>
      </c>
      <c r="C859">
        <v>80</v>
      </c>
      <c r="D859">
        <v>71.245079040999997</v>
      </c>
      <c r="E859">
        <v>40</v>
      </c>
      <c r="F859">
        <v>39.962703705000003</v>
      </c>
      <c r="G859">
        <v>1307.9428711</v>
      </c>
      <c r="H859">
        <v>1298.5014647999999</v>
      </c>
      <c r="I859">
        <v>1379.8049315999999</v>
      </c>
      <c r="J859">
        <v>1363.8215332</v>
      </c>
      <c r="K859">
        <v>0</v>
      </c>
      <c r="L859">
        <v>1650</v>
      </c>
      <c r="M859">
        <v>1650</v>
      </c>
      <c r="N859">
        <v>0</v>
      </c>
    </row>
    <row r="860" spans="1:14" x14ac:dyDescent="0.25">
      <c r="A860">
        <v>637.81926199999998</v>
      </c>
      <c r="B860" s="1">
        <f>DATE(2012,1,28) + TIME(19,39,44)</f>
        <v>40936.81925925926</v>
      </c>
      <c r="C860">
        <v>80</v>
      </c>
      <c r="D860">
        <v>71.046173096000004</v>
      </c>
      <c r="E860">
        <v>40</v>
      </c>
      <c r="F860">
        <v>39.962795258</v>
      </c>
      <c r="G860">
        <v>1307.7442627</v>
      </c>
      <c r="H860">
        <v>1298.2329102000001</v>
      </c>
      <c r="I860">
        <v>1379.7913818</v>
      </c>
      <c r="J860">
        <v>1363.8105469</v>
      </c>
      <c r="K860">
        <v>0</v>
      </c>
      <c r="L860">
        <v>1650</v>
      </c>
      <c r="M860">
        <v>1650</v>
      </c>
      <c r="N860">
        <v>0</v>
      </c>
    </row>
    <row r="861" spans="1:14" x14ac:dyDescent="0.25">
      <c r="A861">
        <v>640.34244000000001</v>
      </c>
      <c r="B861" s="1">
        <f>DATE(2012,1,31) + TIME(8,13,6)</f>
        <v>40939.342430555553</v>
      </c>
      <c r="C861">
        <v>80</v>
      </c>
      <c r="D861">
        <v>70.842781067000004</v>
      </c>
      <c r="E861">
        <v>40</v>
      </c>
      <c r="F861">
        <v>39.962890625</v>
      </c>
      <c r="G861">
        <v>1307.5401611</v>
      </c>
      <c r="H861">
        <v>1297.9559326000001</v>
      </c>
      <c r="I861">
        <v>1379.7780762</v>
      </c>
      <c r="J861">
        <v>1363.7998047000001</v>
      </c>
      <c r="K861">
        <v>0</v>
      </c>
      <c r="L861">
        <v>1650</v>
      </c>
      <c r="M861">
        <v>1650</v>
      </c>
      <c r="N861">
        <v>0</v>
      </c>
    </row>
    <row r="862" spans="1:14" x14ac:dyDescent="0.25">
      <c r="A862">
        <v>641</v>
      </c>
      <c r="B862" s="1">
        <f>DATE(2012,2,1) + TIME(0,0,0)</f>
        <v>40940</v>
      </c>
      <c r="C862">
        <v>80</v>
      </c>
      <c r="D862">
        <v>70.734664917000003</v>
      </c>
      <c r="E862">
        <v>40</v>
      </c>
      <c r="F862">
        <v>39.962909697999997</v>
      </c>
      <c r="G862">
        <v>1307.3439940999999</v>
      </c>
      <c r="H862">
        <v>1297.7052002</v>
      </c>
      <c r="I862">
        <v>1379.7635498</v>
      </c>
      <c r="J862">
        <v>1363.7879639</v>
      </c>
      <c r="K862">
        <v>0</v>
      </c>
      <c r="L862">
        <v>1650</v>
      </c>
      <c r="M862">
        <v>1650</v>
      </c>
      <c r="N862">
        <v>0</v>
      </c>
    </row>
    <row r="863" spans="1:14" x14ac:dyDescent="0.25">
      <c r="A863">
        <v>643.55275099999994</v>
      </c>
      <c r="B863" s="1">
        <f>DATE(2012,2,3) + TIME(13,15,57)</f>
        <v>40942.552743055552</v>
      </c>
      <c r="C863">
        <v>80</v>
      </c>
      <c r="D863">
        <v>70.562057495000005</v>
      </c>
      <c r="E863">
        <v>40</v>
      </c>
      <c r="F863">
        <v>39.963005066000001</v>
      </c>
      <c r="G863">
        <v>1307.2648925999999</v>
      </c>
      <c r="H863">
        <v>1297.5758057</v>
      </c>
      <c r="I863">
        <v>1379.7615966999999</v>
      </c>
      <c r="J863">
        <v>1363.7863769999999</v>
      </c>
      <c r="K863">
        <v>0</v>
      </c>
      <c r="L863">
        <v>1650</v>
      </c>
      <c r="M863">
        <v>1650</v>
      </c>
      <c r="N863">
        <v>0</v>
      </c>
    </row>
    <row r="864" spans="1:14" x14ac:dyDescent="0.25">
      <c r="A864">
        <v>646.14721599999996</v>
      </c>
      <c r="B864" s="1">
        <f>DATE(2012,2,6) + TIME(3,31,59)</f>
        <v>40945.147210648145</v>
      </c>
      <c r="C864">
        <v>80</v>
      </c>
      <c r="D864">
        <v>70.358726501000007</v>
      </c>
      <c r="E864">
        <v>40</v>
      </c>
      <c r="F864">
        <v>39.963100433000001</v>
      </c>
      <c r="G864">
        <v>1307.0563964999999</v>
      </c>
      <c r="H864">
        <v>1297.2941894999999</v>
      </c>
      <c r="I864">
        <v>1379.7486572</v>
      </c>
      <c r="J864">
        <v>1363.776001</v>
      </c>
      <c r="K864">
        <v>0</v>
      </c>
      <c r="L864">
        <v>1650</v>
      </c>
      <c r="M864">
        <v>1650</v>
      </c>
      <c r="N864">
        <v>0</v>
      </c>
    </row>
    <row r="865" spans="1:14" x14ac:dyDescent="0.25">
      <c r="A865">
        <v>648.77309300000002</v>
      </c>
      <c r="B865" s="1">
        <f>DATE(2012,2,8) + TIME(18,33,15)</f>
        <v>40947.773090277777</v>
      </c>
      <c r="C865">
        <v>80</v>
      </c>
      <c r="D865">
        <v>70.140609741000006</v>
      </c>
      <c r="E865">
        <v>40</v>
      </c>
      <c r="F865">
        <v>39.963195800999998</v>
      </c>
      <c r="G865">
        <v>1306.8364257999999</v>
      </c>
      <c r="H865">
        <v>1296.9936522999999</v>
      </c>
      <c r="I865">
        <v>1379.7357178</v>
      </c>
      <c r="J865">
        <v>1363.765625</v>
      </c>
      <c r="K865">
        <v>0</v>
      </c>
      <c r="L865">
        <v>1650</v>
      </c>
      <c r="M865">
        <v>1650</v>
      </c>
      <c r="N865">
        <v>0</v>
      </c>
    </row>
    <row r="866" spans="1:14" x14ac:dyDescent="0.25">
      <c r="A866">
        <v>651.43565999999998</v>
      </c>
      <c r="B866" s="1">
        <f>DATE(2012,2,11) + TIME(10,27,21)</f>
        <v>40950.435659722221</v>
      </c>
      <c r="C866">
        <v>80</v>
      </c>
      <c r="D866">
        <v>69.912590026999993</v>
      </c>
      <c r="E866">
        <v>40</v>
      </c>
      <c r="F866">
        <v>39.963291167999998</v>
      </c>
      <c r="G866">
        <v>1306.6090088000001</v>
      </c>
      <c r="H866">
        <v>1296.6811522999999</v>
      </c>
      <c r="I866">
        <v>1379.7229004000001</v>
      </c>
      <c r="J866">
        <v>1363.755249</v>
      </c>
      <c r="K866">
        <v>0</v>
      </c>
      <c r="L866">
        <v>1650</v>
      </c>
      <c r="M866">
        <v>1650</v>
      </c>
      <c r="N866">
        <v>0</v>
      </c>
    </row>
    <row r="867" spans="1:14" x14ac:dyDescent="0.25">
      <c r="A867">
        <v>654.13990899999999</v>
      </c>
      <c r="B867" s="1">
        <f>DATE(2012,2,14) + TIME(3,21,28)</f>
        <v>40953.139907407407</v>
      </c>
      <c r="C867">
        <v>80</v>
      </c>
      <c r="D867">
        <v>69.675277710000003</v>
      </c>
      <c r="E867">
        <v>40</v>
      </c>
      <c r="F867">
        <v>39.963386536000002</v>
      </c>
      <c r="G867">
        <v>1306.3751221</v>
      </c>
      <c r="H867">
        <v>1296.3582764</v>
      </c>
      <c r="I867">
        <v>1379.7102050999999</v>
      </c>
      <c r="J867">
        <v>1363.7449951000001</v>
      </c>
      <c r="K867">
        <v>0</v>
      </c>
      <c r="L867">
        <v>1650</v>
      </c>
      <c r="M867">
        <v>1650</v>
      </c>
      <c r="N867">
        <v>0</v>
      </c>
    </row>
    <row r="868" spans="1:14" x14ac:dyDescent="0.25">
      <c r="A868">
        <v>656.88500699999997</v>
      </c>
      <c r="B868" s="1">
        <f>DATE(2012,2,16) + TIME(21,14,24)</f>
        <v>40955.885000000002</v>
      </c>
      <c r="C868">
        <v>80</v>
      </c>
      <c r="D868">
        <v>69.428443908999995</v>
      </c>
      <c r="E868">
        <v>40</v>
      </c>
      <c r="F868">
        <v>39.963485718000001</v>
      </c>
      <c r="G868">
        <v>1306.1343993999999</v>
      </c>
      <c r="H868">
        <v>1296.0250243999999</v>
      </c>
      <c r="I868">
        <v>1379.6976318</v>
      </c>
      <c r="J868">
        <v>1363.7347411999999</v>
      </c>
      <c r="K868">
        <v>0</v>
      </c>
      <c r="L868">
        <v>1650</v>
      </c>
      <c r="M868">
        <v>1650</v>
      </c>
      <c r="N868">
        <v>0</v>
      </c>
    </row>
    <row r="869" spans="1:14" x14ac:dyDescent="0.25">
      <c r="A869">
        <v>659.66342099999997</v>
      </c>
      <c r="B869" s="1">
        <f>DATE(2012,2,19) + TIME(15,55,19)</f>
        <v>40958.663414351853</v>
      </c>
      <c r="C869">
        <v>80</v>
      </c>
      <c r="D869">
        <v>69.171630859000004</v>
      </c>
      <c r="E869">
        <v>40</v>
      </c>
      <c r="F869">
        <v>39.963581085000001</v>
      </c>
      <c r="G869">
        <v>1305.887207</v>
      </c>
      <c r="H869">
        <v>1295.6817627</v>
      </c>
      <c r="I869">
        <v>1379.6849365</v>
      </c>
      <c r="J869">
        <v>1363.7246094</v>
      </c>
      <c r="K869">
        <v>0</v>
      </c>
      <c r="L869">
        <v>1650</v>
      </c>
      <c r="M869">
        <v>1650</v>
      </c>
      <c r="N869">
        <v>0</v>
      </c>
    </row>
    <row r="870" spans="1:14" x14ac:dyDescent="0.25">
      <c r="A870">
        <v>662.47645199999999</v>
      </c>
      <c r="B870" s="1">
        <f>DATE(2012,2,22) + TIME(11,26,5)</f>
        <v>40961.476446759261</v>
      </c>
      <c r="C870">
        <v>80</v>
      </c>
      <c r="D870">
        <v>68.904411315999994</v>
      </c>
      <c r="E870">
        <v>40</v>
      </c>
      <c r="F870">
        <v>39.963680267000001</v>
      </c>
      <c r="G870">
        <v>1305.6341553</v>
      </c>
      <c r="H870">
        <v>1295.3289795000001</v>
      </c>
      <c r="I870">
        <v>1379.6722411999999</v>
      </c>
      <c r="J870">
        <v>1363.7143555</v>
      </c>
      <c r="K870">
        <v>0</v>
      </c>
      <c r="L870">
        <v>1650</v>
      </c>
      <c r="M870">
        <v>1650</v>
      </c>
      <c r="N870">
        <v>0</v>
      </c>
    </row>
    <row r="871" spans="1:14" x14ac:dyDescent="0.25">
      <c r="A871">
        <v>665.32520699999998</v>
      </c>
      <c r="B871" s="1">
        <f>DATE(2012,2,25) + TIME(7,48,17)</f>
        <v>40964.325196759259</v>
      </c>
      <c r="C871">
        <v>80</v>
      </c>
      <c r="D871">
        <v>68.626045227000006</v>
      </c>
      <c r="E871">
        <v>40</v>
      </c>
      <c r="F871">
        <v>39.963779449</v>
      </c>
      <c r="G871">
        <v>1305.3752440999999</v>
      </c>
      <c r="H871">
        <v>1294.9669189000001</v>
      </c>
      <c r="I871">
        <v>1379.6595459</v>
      </c>
      <c r="J871">
        <v>1363.7041016000001</v>
      </c>
      <c r="K871">
        <v>0</v>
      </c>
      <c r="L871">
        <v>1650</v>
      </c>
      <c r="M871">
        <v>1650</v>
      </c>
      <c r="N871">
        <v>0</v>
      </c>
    </row>
    <row r="872" spans="1:14" x14ac:dyDescent="0.25">
      <c r="A872">
        <v>668.21511599999997</v>
      </c>
      <c r="B872" s="1">
        <f>DATE(2012,2,28) + TIME(5,9,45)</f>
        <v>40967.215104166666</v>
      </c>
      <c r="C872">
        <v>80</v>
      </c>
      <c r="D872">
        <v>68.335556030000006</v>
      </c>
      <c r="E872">
        <v>40</v>
      </c>
      <c r="F872">
        <v>39.963878631999997</v>
      </c>
      <c r="G872">
        <v>1305.1104736</v>
      </c>
      <c r="H872">
        <v>1294.5953368999999</v>
      </c>
      <c r="I872">
        <v>1379.6468506000001</v>
      </c>
      <c r="J872">
        <v>1363.6938477000001</v>
      </c>
      <c r="K872">
        <v>0</v>
      </c>
      <c r="L872">
        <v>1650</v>
      </c>
      <c r="M872">
        <v>1650</v>
      </c>
      <c r="N872">
        <v>0</v>
      </c>
    </row>
    <row r="873" spans="1:14" x14ac:dyDescent="0.25">
      <c r="A873">
        <v>670</v>
      </c>
      <c r="B873" s="1">
        <f>DATE(2012,3,1) + TIME(0,0,0)</f>
        <v>40969</v>
      </c>
      <c r="C873">
        <v>80</v>
      </c>
      <c r="D873">
        <v>68.078231811999999</v>
      </c>
      <c r="E873">
        <v>40</v>
      </c>
      <c r="F873">
        <v>39.963939666999998</v>
      </c>
      <c r="G873">
        <v>1304.8452147999999</v>
      </c>
      <c r="H873">
        <v>1294.2305908000001</v>
      </c>
      <c r="I873">
        <v>1379.6334228999999</v>
      </c>
      <c r="J873">
        <v>1363.6829834</v>
      </c>
      <c r="K873">
        <v>0</v>
      </c>
      <c r="L873">
        <v>1650</v>
      </c>
      <c r="M873">
        <v>1650</v>
      </c>
      <c r="N873">
        <v>0</v>
      </c>
    </row>
    <row r="874" spans="1:14" x14ac:dyDescent="0.25">
      <c r="A874">
        <v>672.92405199999996</v>
      </c>
      <c r="B874" s="1">
        <f>DATE(2012,3,3) + TIME(22,10,38)</f>
        <v>40971.924050925925</v>
      </c>
      <c r="C874">
        <v>80</v>
      </c>
      <c r="D874">
        <v>67.818832396999994</v>
      </c>
      <c r="E874">
        <v>40</v>
      </c>
      <c r="F874">
        <v>39.964038848999998</v>
      </c>
      <c r="G874">
        <v>1304.6588135</v>
      </c>
      <c r="H874">
        <v>1293.9526367000001</v>
      </c>
      <c r="I874">
        <v>1379.6262207</v>
      </c>
      <c r="J874">
        <v>1363.677124</v>
      </c>
      <c r="K874">
        <v>0</v>
      </c>
      <c r="L874">
        <v>1650</v>
      </c>
      <c r="M874">
        <v>1650</v>
      </c>
      <c r="N874">
        <v>0</v>
      </c>
    </row>
    <row r="875" spans="1:14" x14ac:dyDescent="0.25">
      <c r="A875">
        <v>675.90409299999999</v>
      </c>
      <c r="B875" s="1">
        <f>DATE(2012,3,6) + TIME(21,41,53)</f>
        <v>40974.904085648152</v>
      </c>
      <c r="C875">
        <v>80</v>
      </c>
      <c r="D875">
        <v>67.508995056000003</v>
      </c>
      <c r="E875">
        <v>40</v>
      </c>
      <c r="F875">
        <v>39.964138030999997</v>
      </c>
      <c r="G875">
        <v>1304.3896483999999</v>
      </c>
      <c r="H875">
        <v>1293.5756836</v>
      </c>
      <c r="I875">
        <v>1379.6132812000001</v>
      </c>
      <c r="J875">
        <v>1363.666626</v>
      </c>
      <c r="K875">
        <v>0</v>
      </c>
      <c r="L875">
        <v>1650</v>
      </c>
      <c r="M875">
        <v>1650</v>
      </c>
      <c r="N875">
        <v>0</v>
      </c>
    </row>
    <row r="876" spans="1:14" x14ac:dyDescent="0.25">
      <c r="A876">
        <v>678.92367300000001</v>
      </c>
      <c r="B876" s="1">
        <f>DATE(2012,3,9) + TIME(22,10,5)</f>
        <v>40977.923668981479</v>
      </c>
      <c r="C876">
        <v>80</v>
      </c>
      <c r="D876">
        <v>67.172966002999999</v>
      </c>
      <c r="E876">
        <v>40</v>
      </c>
      <c r="F876">
        <v>39.964241028000004</v>
      </c>
      <c r="G876">
        <v>1304.1074219</v>
      </c>
      <c r="H876">
        <v>1293.1759033000001</v>
      </c>
      <c r="I876">
        <v>1379.6002197</v>
      </c>
      <c r="J876">
        <v>1363.6560059000001</v>
      </c>
      <c r="K876">
        <v>0</v>
      </c>
      <c r="L876">
        <v>1650</v>
      </c>
      <c r="M876">
        <v>1650</v>
      </c>
      <c r="N876">
        <v>0</v>
      </c>
    </row>
    <row r="877" spans="1:14" x14ac:dyDescent="0.25">
      <c r="A877">
        <v>681.98906899999997</v>
      </c>
      <c r="B877" s="1">
        <f>DATE(2012,3,12) + TIME(23,44,15)</f>
        <v>40980.989062499997</v>
      </c>
      <c r="C877">
        <v>80</v>
      </c>
      <c r="D877">
        <v>66.817810058999996</v>
      </c>
      <c r="E877">
        <v>40</v>
      </c>
      <c r="F877">
        <v>39.964340210000003</v>
      </c>
      <c r="G877">
        <v>1303.817749</v>
      </c>
      <c r="H877">
        <v>1292.7631836</v>
      </c>
      <c r="I877">
        <v>1379.5869141000001</v>
      </c>
      <c r="J877">
        <v>1363.6452637</v>
      </c>
      <c r="K877">
        <v>0</v>
      </c>
      <c r="L877">
        <v>1650</v>
      </c>
      <c r="M877">
        <v>1650</v>
      </c>
      <c r="N877">
        <v>0</v>
      </c>
    </row>
    <row r="878" spans="1:14" x14ac:dyDescent="0.25">
      <c r="A878">
        <v>685.10180700000001</v>
      </c>
      <c r="B878" s="1">
        <f>DATE(2012,3,16) + TIME(2,26,36)</f>
        <v>40984.101805555554</v>
      </c>
      <c r="C878">
        <v>80</v>
      </c>
      <c r="D878">
        <v>66.444602966000005</v>
      </c>
      <c r="E878">
        <v>40</v>
      </c>
      <c r="F878">
        <v>39.964443207000002</v>
      </c>
      <c r="G878">
        <v>1303.5217285000001</v>
      </c>
      <c r="H878">
        <v>1292.3395995999999</v>
      </c>
      <c r="I878">
        <v>1379.5734863</v>
      </c>
      <c r="J878">
        <v>1363.6343993999999</v>
      </c>
      <c r="K878">
        <v>0</v>
      </c>
      <c r="L878">
        <v>1650</v>
      </c>
      <c r="M878">
        <v>1650</v>
      </c>
      <c r="N878">
        <v>0</v>
      </c>
    </row>
    <row r="879" spans="1:14" x14ac:dyDescent="0.25">
      <c r="A879">
        <v>688.24747100000002</v>
      </c>
      <c r="B879" s="1">
        <f>DATE(2012,3,19) + TIME(5,56,21)</f>
        <v>40987.247465277775</v>
      </c>
      <c r="C879">
        <v>80</v>
      </c>
      <c r="D879">
        <v>66.053512573000006</v>
      </c>
      <c r="E879">
        <v>40</v>
      </c>
      <c r="F879">
        <v>39.964546204000001</v>
      </c>
      <c r="G879">
        <v>1303.2197266000001</v>
      </c>
      <c r="H879">
        <v>1291.9058838000001</v>
      </c>
      <c r="I879">
        <v>1379.5598144999999</v>
      </c>
      <c r="J879">
        <v>1363.6231689000001</v>
      </c>
      <c r="K879">
        <v>0</v>
      </c>
      <c r="L879">
        <v>1650</v>
      </c>
      <c r="M879">
        <v>1650</v>
      </c>
      <c r="N879">
        <v>0</v>
      </c>
    </row>
    <row r="880" spans="1:14" x14ac:dyDescent="0.25">
      <c r="A880">
        <v>691.432817</v>
      </c>
      <c r="B880" s="1">
        <f>DATE(2012,3,22) + TIME(10,23,15)</f>
        <v>40990.432812500003</v>
      </c>
      <c r="C880">
        <v>80</v>
      </c>
      <c r="D880">
        <v>65.644821167000003</v>
      </c>
      <c r="E880">
        <v>40</v>
      </c>
      <c r="F880">
        <v>39.964649199999997</v>
      </c>
      <c r="G880">
        <v>1302.9133300999999</v>
      </c>
      <c r="H880">
        <v>1291.4639893000001</v>
      </c>
      <c r="I880">
        <v>1379.5458983999999</v>
      </c>
      <c r="J880">
        <v>1363.6118164</v>
      </c>
      <c r="K880">
        <v>0</v>
      </c>
      <c r="L880">
        <v>1650</v>
      </c>
      <c r="M880">
        <v>1650</v>
      </c>
      <c r="N880">
        <v>0</v>
      </c>
    </row>
    <row r="881" spans="1:14" x14ac:dyDescent="0.25">
      <c r="A881">
        <v>694.66453300000001</v>
      </c>
      <c r="B881" s="1">
        <f>DATE(2012,3,25) + TIME(15,56,55)</f>
        <v>40993.664525462962</v>
      </c>
      <c r="C881">
        <v>80</v>
      </c>
      <c r="D881">
        <v>65.217628478999998</v>
      </c>
      <c r="E881">
        <v>40</v>
      </c>
      <c r="F881">
        <v>39.964752197000003</v>
      </c>
      <c r="G881">
        <v>1302.6021728999999</v>
      </c>
      <c r="H881">
        <v>1291.0135498</v>
      </c>
      <c r="I881">
        <v>1379.5316161999999</v>
      </c>
      <c r="J881">
        <v>1363.6002197</v>
      </c>
      <c r="K881">
        <v>0</v>
      </c>
      <c r="L881">
        <v>1650</v>
      </c>
      <c r="M881">
        <v>1650</v>
      </c>
      <c r="N881">
        <v>0</v>
      </c>
    </row>
    <row r="882" spans="1:14" x14ac:dyDescent="0.25">
      <c r="A882">
        <v>697.94079699999998</v>
      </c>
      <c r="B882" s="1">
        <f>DATE(2012,3,28) + TIME(22,34,44)</f>
        <v>40996.940787037034</v>
      </c>
      <c r="C882">
        <v>80</v>
      </c>
      <c r="D882">
        <v>64.771202087000006</v>
      </c>
      <c r="E882">
        <v>40</v>
      </c>
      <c r="F882">
        <v>39.964859009000001</v>
      </c>
      <c r="G882">
        <v>1302.2862548999999</v>
      </c>
      <c r="H882">
        <v>1290.5544434000001</v>
      </c>
      <c r="I882">
        <v>1379.5172118999999</v>
      </c>
      <c r="J882">
        <v>1363.5883789</v>
      </c>
      <c r="K882">
        <v>0</v>
      </c>
      <c r="L882">
        <v>1650</v>
      </c>
      <c r="M882">
        <v>1650</v>
      </c>
      <c r="N882">
        <v>0</v>
      </c>
    </row>
    <row r="883" spans="1:14" x14ac:dyDescent="0.25">
      <c r="A883">
        <v>701</v>
      </c>
      <c r="B883" s="1">
        <f>DATE(2012,4,1) + TIME(0,0,0)</f>
        <v>41000</v>
      </c>
      <c r="C883">
        <v>80</v>
      </c>
      <c r="D883">
        <v>64.314895629999995</v>
      </c>
      <c r="E883">
        <v>40</v>
      </c>
      <c r="F883">
        <v>39.964954376000001</v>
      </c>
      <c r="G883">
        <v>1301.9666748</v>
      </c>
      <c r="H883">
        <v>1290.0899658000001</v>
      </c>
      <c r="I883">
        <v>1379.5021973</v>
      </c>
      <c r="J883">
        <v>1363.5760498</v>
      </c>
      <c r="K883">
        <v>0</v>
      </c>
      <c r="L883">
        <v>1650</v>
      </c>
      <c r="M883">
        <v>1650</v>
      </c>
      <c r="N883">
        <v>0</v>
      </c>
    </row>
    <row r="884" spans="1:14" x14ac:dyDescent="0.25">
      <c r="A884">
        <v>704.32481399999995</v>
      </c>
      <c r="B884" s="1">
        <f>DATE(2012,4,4) + TIME(7,47,43)</f>
        <v>41003.324803240743</v>
      </c>
      <c r="C884">
        <v>80</v>
      </c>
      <c r="D884">
        <v>63.852470398000001</v>
      </c>
      <c r="E884">
        <v>40</v>
      </c>
      <c r="F884">
        <v>39.965057373</v>
      </c>
      <c r="G884">
        <v>1301.6636963000001</v>
      </c>
      <c r="H884">
        <v>1289.6425781</v>
      </c>
      <c r="I884">
        <v>1379.4882812000001</v>
      </c>
      <c r="J884">
        <v>1363.5645752</v>
      </c>
      <c r="K884">
        <v>0</v>
      </c>
      <c r="L884">
        <v>1650</v>
      </c>
      <c r="M884">
        <v>1650</v>
      </c>
      <c r="N884">
        <v>0</v>
      </c>
    </row>
    <row r="885" spans="1:14" x14ac:dyDescent="0.25">
      <c r="A885">
        <v>707.71876999999995</v>
      </c>
      <c r="B885" s="1">
        <f>DATE(2012,4,7) + TIME(17,15,1)</f>
        <v>41006.718761574077</v>
      </c>
      <c r="C885">
        <v>80</v>
      </c>
      <c r="D885">
        <v>63.357189177999999</v>
      </c>
      <c r="E885">
        <v>40</v>
      </c>
      <c r="F885">
        <v>39.965164184999999</v>
      </c>
      <c r="G885">
        <v>1301.3410644999999</v>
      </c>
      <c r="H885">
        <v>1289.1691894999999</v>
      </c>
      <c r="I885">
        <v>1379.4729004000001</v>
      </c>
      <c r="J885">
        <v>1363.5517577999999</v>
      </c>
      <c r="K885">
        <v>0</v>
      </c>
      <c r="L885">
        <v>1650</v>
      </c>
      <c r="M885">
        <v>1650</v>
      </c>
      <c r="N885">
        <v>0</v>
      </c>
    </row>
    <row r="886" spans="1:14" x14ac:dyDescent="0.25">
      <c r="A886">
        <v>711.16159700000003</v>
      </c>
      <c r="B886" s="1">
        <f>DATE(2012,4,11) + TIME(3,52,41)</f>
        <v>41010.161585648151</v>
      </c>
      <c r="C886">
        <v>80</v>
      </c>
      <c r="D886">
        <v>62.836967467999997</v>
      </c>
      <c r="E886">
        <v>40</v>
      </c>
      <c r="F886">
        <v>39.965270996000001</v>
      </c>
      <c r="G886">
        <v>1301.0115966999999</v>
      </c>
      <c r="H886">
        <v>1288.6831055</v>
      </c>
      <c r="I886">
        <v>1379.4570312000001</v>
      </c>
      <c r="J886">
        <v>1363.5385742000001</v>
      </c>
      <c r="K886">
        <v>0</v>
      </c>
      <c r="L886">
        <v>1650</v>
      </c>
      <c r="M886">
        <v>1650</v>
      </c>
      <c r="N886">
        <v>0</v>
      </c>
    </row>
    <row r="887" spans="1:14" x14ac:dyDescent="0.25">
      <c r="A887">
        <v>714.64947299999994</v>
      </c>
      <c r="B887" s="1">
        <f>DATE(2012,4,14) + TIME(15,35,14)</f>
        <v>41013.649467592593</v>
      </c>
      <c r="C887">
        <v>80</v>
      </c>
      <c r="D887">
        <v>62.295677185000002</v>
      </c>
      <c r="E887">
        <v>40</v>
      </c>
      <c r="F887">
        <v>39.965373993</v>
      </c>
      <c r="G887">
        <v>1300.6781006000001</v>
      </c>
      <c r="H887">
        <v>1288.1885986</v>
      </c>
      <c r="I887">
        <v>1379.4406738</v>
      </c>
      <c r="J887">
        <v>1363.5249022999999</v>
      </c>
      <c r="K887">
        <v>0</v>
      </c>
      <c r="L887">
        <v>1650</v>
      </c>
      <c r="M887">
        <v>1650</v>
      </c>
      <c r="N887">
        <v>0</v>
      </c>
    </row>
    <row r="888" spans="1:14" x14ac:dyDescent="0.25">
      <c r="A888">
        <v>718.17135699999994</v>
      </c>
      <c r="B888" s="1">
        <f>DATE(2012,4,18) + TIME(4,6,45)</f>
        <v>41017.171354166669</v>
      </c>
      <c r="C888">
        <v>80</v>
      </c>
      <c r="D888">
        <v>61.735305785999998</v>
      </c>
      <c r="E888">
        <v>40</v>
      </c>
      <c r="F888">
        <v>39.965480804000002</v>
      </c>
      <c r="G888">
        <v>1300.3416748</v>
      </c>
      <c r="H888">
        <v>1287.6878661999999</v>
      </c>
      <c r="I888">
        <v>1379.4238281</v>
      </c>
      <c r="J888">
        <v>1363.5107422000001</v>
      </c>
      <c r="K888">
        <v>0</v>
      </c>
      <c r="L888">
        <v>1650</v>
      </c>
      <c r="M888">
        <v>1650</v>
      </c>
      <c r="N888">
        <v>0</v>
      </c>
    </row>
    <row r="889" spans="1:14" x14ac:dyDescent="0.25">
      <c r="A889">
        <v>721.72955300000001</v>
      </c>
      <c r="B889" s="1">
        <f>DATE(2012,4,21) + TIME(17,30,33)</f>
        <v>41020.729548611111</v>
      </c>
      <c r="C889">
        <v>80</v>
      </c>
      <c r="D889">
        <v>61.157909392999997</v>
      </c>
      <c r="E889">
        <v>40</v>
      </c>
      <c r="F889">
        <v>39.965587616000001</v>
      </c>
      <c r="G889">
        <v>1300.0040283000001</v>
      </c>
      <c r="H889">
        <v>1287.1828613</v>
      </c>
      <c r="I889">
        <v>1379.4066161999999</v>
      </c>
      <c r="J889">
        <v>1363.4962158000001</v>
      </c>
      <c r="K889">
        <v>0</v>
      </c>
      <c r="L889">
        <v>1650</v>
      </c>
      <c r="M889">
        <v>1650</v>
      </c>
      <c r="N889">
        <v>0</v>
      </c>
    </row>
    <row r="890" spans="1:14" x14ac:dyDescent="0.25">
      <c r="A890">
        <v>725.32450700000004</v>
      </c>
      <c r="B890" s="1">
        <f>DATE(2012,4,25) + TIME(7,47,17)</f>
        <v>41024.324502314812</v>
      </c>
      <c r="C890">
        <v>80</v>
      </c>
      <c r="D890">
        <v>60.564044952000003</v>
      </c>
      <c r="E890">
        <v>40</v>
      </c>
      <c r="F890">
        <v>39.965694427000003</v>
      </c>
      <c r="G890">
        <v>1299.6655272999999</v>
      </c>
      <c r="H890">
        <v>1286.6744385</v>
      </c>
      <c r="I890">
        <v>1379.3889160000001</v>
      </c>
      <c r="J890">
        <v>1363.4813231999999</v>
      </c>
      <c r="K890">
        <v>0</v>
      </c>
      <c r="L890">
        <v>1650</v>
      </c>
      <c r="M890">
        <v>1650</v>
      </c>
      <c r="N890">
        <v>0</v>
      </c>
    </row>
    <row r="891" spans="1:14" x14ac:dyDescent="0.25">
      <c r="A891">
        <v>728.96763199999998</v>
      </c>
      <c r="B891" s="1">
        <f>DATE(2012,4,28) + TIME(23,13,23)</f>
        <v>41027.967627314814</v>
      </c>
      <c r="C891">
        <v>80</v>
      </c>
      <c r="D891">
        <v>59.953838347999998</v>
      </c>
      <c r="E891">
        <v>40</v>
      </c>
      <c r="F891">
        <v>39.965801239000001</v>
      </c>
      <c r="G891">
        <v>1299.3265381000001</v>
      </c>
      <c r="H891">
        <v>1286.1628418</v>
      </c>
      <c r="I891">
        <v>1379.3707274999999</v>
      </c>
      <c r="J891">
        <v>1363.4658202999999</v>
      </c>
      <c r="K891">
        <v>0</v>
      </c>
      <c r="L891">
        <v>1650</v>
      </c>
      <c r="M891">
        <v>1650</v>
      </c>
      <c r="N891">
        <v>0</v>
      </c>
    </row>
    <row r="892" spans="1:14" x14ac:dyDescent="0.25">
      <c r="A892">
        <v>731</v>
      </c>
      <c r="B892" s="1">
        <f>DATE(2012,5,1) + TIME(0,0,0)</f>
        <v>41030</v>
      </c>
      <c r="C892">
        <v>80</v>
      </c>
      <c r="D892">
        <v>59.421695708999998</v>
      </c>
      <c r="E892">
        <v>40</v>
      </c>
      <c r="F892">
        <v>39.965858459000003</v>
      </c>
      <c r="G892">
        <v>1298.9914550999999</v>
      </c>
      <c r="H892">
        <v>1285.6757812000001</v>
      </c>
      <c r="I892">
        <v>1379.3515625</v>
      </c>
      <c r="J892">
        <v>1363.4494629000001</v>
      </c>
      <c r="K892">
        <v>0</v>
      </c>
      <c r="L892">
        <v>1650</v>
      </c>
      <c r="M892">
        <v>1650</v>
      </c>
      <c r="N892">
        <v>0</v>
      </c>
    </row>
    <row r="893" spans="1:14" x14ac:dyDescent="0.25">
      <c r="A893">
        <v>731.000001</v>
      </c>
      <c r="B893" s="1">
        <f>DATE(2012,5,1) + TIME(0,0,0)</f>
        <v>41030</v>
      </c>
      <c r="C893">
        <v>80</v>
      </c>
      <c r="D893">
        <v>59.421810149999999</v>
      </c>
      <c r="E893">
        <v>40</v>
      </c>
      <c r="F893">
        <v>39.96578598</v>
      </c>
      <c r="G893">
        <v>1313.8371582</v>
      </c>
      <c r="H893">
        <v>1299.7149658000001</v>
      </c>
      <c r="I893">
        <v>1362.8480225000001</v>
      </c>
      <c r="J893">
        <v>1347.4293213000001</v>
      </c>
      <c r="K893">
        <v>1650</v>
      </c>
      <c r="L893">
        <v>0</v>
      </c>
      <c r="M893">
        <v>0</v>
      </c>
      <c r="N893">
        <v>1650</v>
      </c>
    </row>
    <row r="894" spans="1:14" x14ac:dyDescent="0.25">
      <c r="A894">
        <v>731.00000399999999</v>
      </c>
      <c r="B894" s="1">
        <f>DATE(2012,5,1) + TIME(0,0,0)</f>
        <v>41030</v>
      </c>
      <c r="C894">
        <v>80</v>
      </c>
      <c r="D894">
        <v>59.422119141000003</v>
      </c>
      <c r="E894">
        <v>40</v>
      </c>
      <c r="F894">
        <v>39.965591431</v>
      </c>
      <c r="G894">
        <v>1315.4910889</v>
      </c>
      <c r="H894">
        <v>1301.5982666</v>
      </c>
      <c r="I894">
        <v>1361.2154541</v>
      </c>
      <c r="J894">
        <v>1345.7960204999999</v>
      </c>
      <c r="K894">
        <v>1650</v>
      </c>
      <c r="L894">
        <v>0</v>
      </c>
      <c r="M894">
        <v>0</v>
      </c>
      <c r="N894">
        <v>1650</v>
      </c>
    </row>
    <row r="895" spans="1:14" x14ac:dyDescent="0.25">
      <c r="A895">
        <v>731.00001299999997</v>
      </c>
      <c r="B895" s="1">
        <f>DATE(2012,5,1) + TIME(0,0,1)</f>
        <v>41030.000011574077</v>
      </c>
      <c r="C895">
        <v>80</v>
      </c>
      <c r="D895">
        <v>59.422828674000002</v>
      </c>
      <c r="E895">
        <v>40</v>
      </c>
      <c r="F895">
        <v>39.965133667000003</v>
      </c>
      <c r="G895">
        <v>1319.2033690999999</v>
      </c>
      <c r="H895">
        <v>1305.6333007999999</v>
      </c>
      <c r="I895">
        <v>1357.4143065999999</v>
      </c>
      <c r="J895">
        <v>1341.9937743999999</v>
      </c>
      <c r="K895">
        <v>1650</v>
      </c>
      <c r="L895">
        <v>0</v>
      </c>
      <c r="M895">
        <v>0</v>
      </c>
      <c r="N895">
        <v>1650</v>
      </c>
    </row>
    <row r="896" spans="1:14" x14ac:dyDescent="0.25">
      <c r="A896">
        <v>731.00004000000001</v>
      </c>
      <c r="B896" s="1">
        <f>DATE(2012,5,1) + TIME(0,0,3)</f>
        <v>41030.000034722223</v>
      </c>
      <c r="C896">
        <v>80</v>
      </c>
      <c r="D896">
        <v>59.424213408999996</v>
      </c>
      <c r="E896">
        <v>40</v>
      </c>
      <c r="F896">
        <v>39.964328766000001</v>
      </c>
      <c r="G896">
        <v>1325.4472656</v>
      </c>
      <c r="H896">
        <v>1312.0305175999999</v>
      </c>
      <c r="I896">
        <v>1350.7066649999999</v>
      </c>
      <c r="J896">
        <v>1335.286499</v>
      </c>
      <c r="K896">
        <v>1650</v>
      </c>
      <c r="L896">
        <v>0</v>
      </c>
      <c r="M896">
        <v>0</v>
      </c>
      <c r="N896">
        <v>1650</v>
      </c>
    </row>
    <row r="897" spans="1:14" x14ac:dyDescent="0.25">
      <c r="A897">
        <v>731.00012100000004</v>
      </c>
      <c r="B897" s="1">
        <f>DATE(2012,5,1) + TIME(0,0,10)</f>
        <v>41030.000115740739</v>
      </c>
      <c r="C897">
        <v>80</v>
      </c>
      <c r="D897">
        <v>59.426856995000001</v>
      </c>
      <c r="E897">
        <v>40</v>
      </c>
      <c r="F897">
        <v>39.963294982999997</v>
      </c>
      <c r="G897">
        <v>1333.1763916</v>
      </c>
      <c r="H897">
        <v>1319.6645507999999</v>
      </c>
      <c r="I897">
        <v>1342.1350098</v>
      </c>
      <c r="J897">
        <v>1326.7202147999999</v>
      </c>
      <c r="K897">
        <v>1650</v>
      </c>
      <c r="L897">
        <v>0</v>
      </c>
      <c r="M897">
        <v>0</v>
      </c>
      <c r="N897">
        <v>1650</v>
      </c>
    </row>
    <row r="898" spans="1:14" x14ac:dyDescent="0.25">
      <c r="A898">
        <v>731.00036399999999</v>
      </c>
      <c r="B898" s="1">
        <f>DATE(2012,5,1) + TIME(0,0,31)</f>
        <v>41030.000358796293</v>
      </c>
      <c r="C898">
        <v>80</v>
      </c>
      <c r="D898">
        <v>59.432884215999998</v>
      </c>
      <c r="E898">
        <v>40</v>
      </c>
      <c r="F898">
        <v>39.962196349999999</v>
      </c>
      <c r="G898">
        <v>1341.2984618999999</v>
      </c>
      <c r="H898">
        <v>1327.6400146000001</v>
      </c>
      <c r="I898">
        <v>1333.1619873</v>
      </c>
      <c r="J898">
        <v>1317.7578125</v>
      </c>
      <c r="K898">
        <v>1650</v>
      </c>
      <c r="L898">
        <v>0</v>
      </c>
      <c r="M898">
        <v>0</v>
      </c>
      <c r="N898">
        <v>1650</v>
      </c>
    </row>
    <row r="899" spans="1:14" x14ac:dyDescent="0.25">
      <c r="A899">
        <v>731.00109299999997</v>
      </c>
      <c r="B899" s="1">
        <f>DATE(2012,5,1) + TIME(0,1,34)</f>
        <v>41030.001087962963</v>
      </c>
      <c r="C899">
        <v>80</v>
      </c>
      <c r="D899">
        <v>59.449054717999999</v>
      </c>
      <c r="E899">
        <v>40</v>
      </c>
      <c r="F899">
        <v>39.961040496999999</v>
      </c>
      <c r="G899">
        <v>1349.7313231999999</v>
      </c>
      <c r="H899">
        <v>1335.9287108999999</v>
      </c>
      <c r="I899">
        <v>1324.1743164</v>
      </c>
      <c r="J899">
        <v>1308.7824707</v>
      </c>
      <c r="K899">
        <v>1650</v>
      </c>
      <c r="L899">
        <v>0</v>
      </c>
      <c r="M899">
        <v>0</v>
      </c>
      <c r="N899">
        <v>1650</v>
      </c>
    </row>
    <row r="900" spans="1:14" x14ac:dyDescent="0.25">
      <c r="A900">
        <v>731.00328000000002</v>
      </c>
      <c r="B900" s="1">
        <f>DATE(2012,5,1) + TIME(0,4,43)</f>
        <v>41030.003275462965</v>
      </c>
      <c r="C900">
        <v>80</v>
      </c>
      <c r="D900">
        <v>59.495834350999999</v>
      </c>
      <c r="E900">
        <v>40</v>
      </c>
      <c r="F900">
        <v>39.959728241000001</v>
      </c>
      <c r="G900">
        <v>1358.6444091999999</v>
      </c>
      <c r="H900">
        <v>1344.7053223</v>
      </c>
      <c r="I900">
        <v>1315.1646728999999</v>
      </c>
      <c r="J900">
        <v>1299.7579346</v>
      </c>
      <c r="K900">
        <v>1650</v>
      </c>
      <c r="L900">
        <v>0</v>
      </c>
      <c r="M900">
        <v>0</v>
      </c>
      <c r="N900">
        <v>1650</v>
      </c>
    </row>
    <row r="901" spans="1:14" x14ac:dyDescent="0.25">
      <c r="A901">
        <v>731.00984100000005</v>
      </c>
      <c r="B901" s="1">
        <f>DATE(2012,5,1) + TIME(0,14,10)</f>
        <v>41030.009837962964</v>
      </c>
      <c r="C901">
        <v>80</v>
      </c>
      <c r="D901">
        <v>59.634017944</v>
      </c>
      <c r="E901">
        <v>40</v>
      </c>
      <c r="F901">
        <v>39.958019256999997</v>
      </c>
      <c r="G901">
        <v>1367.1936035000001</v>
      </c>
      <c r="H901">
        <v>1353.1683350000001</v>
      </c>
      <c r="I901">
        <v>1306.7413329999999</v>
      </c>
      <c r="J901">
        <v>1291.2788086</v>
      </c>
      <c r="K901">
        <v>1650</v>
      </c>
      <c r="L901">
        <v>0</v>
      </c>
      <c r="M901">
        <v>0</v>
      </c>
      <c r="N901">
        <v>1650</v>
      </c>
    </row>
    <row r="902" spans="1:14" x14ac:dyDescent="0.25">
      <c r="A902">
        <v>731.02952400000004</v>
      </c>
      <c r="B902" s="1">
        <f>DATE(2012,5,1) + TIME(0,42,30)</f>
        <v>41030.029513888891</v>
      </c>
      <c r="C902">
        <v>80</v>
      </c>
      <c r="D902">
        <v>60.039455414000003</v>
      </c>
      <c r="E902">
        <v>40</v>
      </c>
      <c r="F902">
        <v>39.955207825000002</v>
      </c>
      <c r="G902">
        <v>1373.4460449000001</v>
      </c>
      <c r="H902">
        <v>1359.4495850000001</v>
      </c>
      <c r="I902">
        <v>1300.6219481999999</v>
      </c>
      <c r="J902">
        <v>1285.1097411999999</v>
      </c>
      <c r="K902">
        <v>1650</v>
      </c>
      <c r="L902">
        <v>0</v>
      </c>
      <c r="M902">
        <v>0</v>
      </c>
      <c r="N902">
        <v>1650</v>
      </c>
    </row>
    <row r="903" spans="1:14" x14ac:dyDescent="0.25">
      <c r="A903">
        <v>731.06489999999997</v>
      </c>
      <c r="B903" s="1">
        <f>DATE(2012,5,1) + TIME(1,33,27)</f>
        <v>41030.064895833333</v>
      </c>
      <c r="C903">
        <v>80</v>
      </c>
      <c r="D903">
        <v>60.741649627999998</v>
      </c>
      <c r="E903">
        <v>40</v>
      </c>
      <c r="F903">
        <v>39.951236725000001</v>
      </c>
      <c r="G903">
        <v>1376.0025635</v>
      </c>
      <c r="H903">
        <v>1362.1381836</v>
      </c>
      <c r="I903">
        <v>1298.2666016000001</v>
      </c>
      <c r="J903">
        <v>1282.7365723</v>
      </c>
      <c r="K903">
        <v>1650</v>
      </c>
      <c r="L903">
        <v>0</v>
      </c>
      <c r="M903">
        <v>0</v>
      </c>
      <c r="N903">
        <v>1650</v>
      </c>
    </row>
    <row r="904" spans="1:14" x14ac:dyDescent="0.25">
      <c r="A904">
        <v>731.101046</v>
      </c>
      <c r="B904" s="1">
        <f>DATE(2012,5,1) + TIME(2,25,30)</f>
        <v>41030.101041666669</v>
      </c>
      <c r="C904">
        <v>80</v>
      </c>
      <c r="D904">
        <v>61.433853149000001</v>
      </c>
      <c r="E904">
        <v>40</v>
      </c>
      <c r="F904">
        <v>39.947429657000001</v>
      </c>
      <c r="G904">
        <v>1376.6951904</v>
      </c>
      <c r="H904">
        <v>1362.9588623</v>
      </c>
      <c r="I904">
        <v>1297.7169189000001</v>
      </c>
      <c r="J904">
        <v>1282.182251</v>
      </c>
      <c r="K904">
        <v>1650</v>
      </c>
      <c r="L904">
        <v>0</v>
      </c>
      <c r="M904">
        <v>0</v>
      </c>
      <c r="N904">
        <v>1650</v>
      </c>
    </row>
    <row r="905" spans="1:14" x14ac:dyDescent="0.25">
      <c r="A905">
        <v>731.13793399999997</v>
      </c>
      <c r="B905" s="1">
        <f>DATE(2012,5,1) + TIME(3,18,37)</f>
        <v>41030.137928240743</v>
      </c>
      <c r="C905">
        <v>80</v>
      </c>
      <c r="D905">
        <v>62.114887238000001</v>
      </c>
      <c r="E905">
        <v>40</v>
      </c>
      <c r="F905">
        <v>39.943634033000002</v>
      </c>
      <c r="G905">
        <v>1376.8309326000001</v>
      </c>
      <c r="H905">
        <v>1363.2205810999999</v>
      </c>
      <c r="I905">
        <v>1297.6137695</v>
      </c>
      <c r="J905">
        <v>1282.0775146000001</v>
      </c>
      <c r="K905">
        <v>1650</v>
      </c>
      <c r="L905">
        <v>0</v>
      </c>
      <c r="M905">
        <v>0</v>
      </c>
      <c r="N905">
        <v>1650</v>
      </c>
    </row>
    <row r="906" spans="1:14" x14ac:dyDescent="0.25">
      <c r="A906">
        <v>731.17552999999998</v>
      </c>
      <c r="B906" s="1">
        <f>DATE(2012,5,1) + TIME(4,12,45)</f>
        <v>41030.175520833334</v>
      </c>
      <c r="C906">
        <v>80</v>
      </c>
      <c r="D906">
        <v>62.783588408999996</v>
      </c>
      <c r="E906">
        <v>40</v>
      </c>
      <c r="F906">
        <v>39.939815521</v>
      </c>
      <c r="G906">
        <v>1376.7763672000001</v>
      </c>
      <c r="H906">
        <v>1363.2878418</v>
      </c>
      <c r="I906">
        <v>1297.6148682</v>
      </c>
      <c r="J906">
        <v>1282.0780029</v>
      </c>
      <c r="K906">
        <v>1650</v>
      </c>
      <c r="L906">
        <v>0</v>
      </c>
      <c r="M906">
        <v>0</v>
      </c>
      <c r="N906">
        <v>1650</v>
      </c>
    </row>
    <row r="907" spans="1:14" x14ac:dyDescent="0.25">
      <c r="A907">
        <v>731.21385799999996</v>
      </c>
      <c r="B907" s="1">
        <f>DATE(2012,5,1) + TIME(5,7,57)</f>
        <v>41030.213854166665</v>
      </c>
      <c r="C907">
        <v>80</v>
      </c>
      <c r="D907">
        <v>63.439880371000001</v>
      </c>
      <c r="E907">
        <v>40</v>
      </c>
      <c r="F907">
        <v>39.935958862</v>
      </c>
      <c r="G907">
        <v>1376.6520995999999</v>
      </c>
      <c r="H907">
        <v>1363.2805175999999</v>
      </c>
      <c r="I907">
        <v>1297.6323242000001</v>
      </c>
      <c r="J907">
        <v>1282.0950928</v>
      </c>
      <c r="K907">
        <v>1650</v>
      </c>
      <c r="L907">
        <v>0</v>
      </c>
      <c r="M907">
        <v>0</v>
      </c>
      <c r="N907">
        <v>1650</v>
      </c>
    </row>
    <row r="908" spans="1:14" x14ac:dyDescent="0.25">
      <c r="A908">
        <v>731.25295400000005</v>
      </c>
      <c r="B908" s="1">
        <f>DATE(2012,5,1) + TIME(6,4,15)</f>
        <v>41030.252951388888</v>
      </c>
      <c r="C908">
        <v>80</v>
      </c>
      <c r="D908">
        <v>64.083824157999999</v>
      </c>
      <c r="E908">
        <v>40</v>
      </c>
      <c r="F908">
        <v>39.932060241999999</v>
      </c>
      <c r="G908">
        <v>1376.5024414</v>
      </c>
      <c r="H908">
        <v>1363.2432861</v>
      </c>
      <c r="I908">
        <v>1297.6466064000001</v>
      </c>
      <c r="J908">
        <v>1282.1090088000001</v>
      </c>
      <c r="K908">
        <v>1650</v>
      </c>
      <c r="L908">
        <v>0</v>
      </c>
      <c r="M908">
        <v>0</v>
      </c>
      <c r="N908">
        <v>1650</v>
      </c>
    </row>
    <row r="909" spans="1:14" x14ac:dyDescent="0.25">
      <c r="A909">
        <v>731.29285700000003</v>
      </c>
      <c r="B909" s="1">
        <f>DATE(2012,5,1) + TIME(7,1,42)</f>
        <v>41030.292847222219</v>
      </c>
      <c r="C909">
        <v>80</v>
      </c>
      <c r="D909">
        <v>64.715515136999997</v>
      </c>
      <c r="E909">
        <v>40</v>
      </c>
      <c r="F909">
        <v>39.928119658999996</v>
      </c>
      <c r="G909">
        <v>1376.3450928</v>
      </c>
      <c r="H909">
        <v>1363.1939697</v>
      </c>
      <c r="I909">
        <v>1297.6556396000001</v>
      </c>
      <c r="J909">
        <v>1282.1175536999999</v>
      </c>
      <c r="K909">
        <v>1650</v>
      </c>
      <c r="L909">
        <v>0</v>
      </c>
      <c r="M909">
        <v>0</v>
      </c>
      <c r="N909">
        <v>1650</v>
      </c>
    </row>
    <row r="910" spans="1:14" x14ac:dyDescent="0.25">
      <c r="A910">
        <v>731.33360700000003</v>
      </c>
      <c r="B910" s="1">
        <f>DATE(2012,5,1) + TIME(8,0,23)</f>
        <v>41030.333599537036</v>
      </c>
      <c r="C910">
        <v>80</v>
      </c>
      <c r="D910">
        <v>65.335105896000002</v>
      </c>
      <c r="E910">
        <v>40</v>
      </c>
      <c r="F910">
        <v>39.924129485999998</v>
      </c>
      <c r="G910">
        <v>1376.1875</v>
      </c>
      <c r="H910">
        <v>1363.1402588000001</v>
      </c>
      <c r="I910">
        <v>1297.6608887</v>
      </c>
      <c r="J910">
        <v>1282.1224365</v>
      </c>
      <c r="K910">
        <v>1650</v>
      </c>
      <c r="L910">
        <v>0</v>
      </c>
      <c r="M910">
        <v>0</v>
      </c>
      <c r="N910">
        <v>1650</v>
      </c>
    </row>
    <row r="911" spans="1:14" x14ac:dyDescent="0.25">
      <c r="A911">
        <v>731.37525200000005</v>
      </c>
      <c r="B911" s="1">
        <f>DATE(2012,5,1) + TIME(9,0,21)</f>
        <v>41030.375243055554</v>
      </c>
      <c r="C911">
        <v>80</v>
      </c>
      <c r="D911">
        <v>65.942642211999996</v>
      </c>
      <c r="E911">
        <v>40</v>
      </c>
      <c r="F911">
        <v>39.920089722</v>
      </c>
      <c r="G911">
        <v>1376.0329589999999</v>
      </c>
      <c r="H911">
        <v>1363.0856934000001</v>
      </c>
      <c r="I911">
        <v>1297.6636963000001</v>
      </c>
      <c r="J911">
        <v>1282.1248779</v>
      </c>
      <c r="K911">
        <v>1650</v>
      </c>
      <c r="L911">
        <v>0</v>
      </c>
      <c r="M911">
        <v>0</v>
      </c>
      <c r="N911">
        <v>1650</v>
      </c>
    </row>
    <row r="912" spans="1:14" x14ac:dyDescent="0.25">
      <c r="A912">
        <v>731.41783699999996</v>
      </c>
      <c r="B912" s="1">
        <f>DATE(2012,5,1) + TIME(10,1,41)</f>
        <v>41030.41783564815</v>
      </c>
      <c r="C912">
        <v>80</v>
      </c>
      <c r="D912">
        <v>66.538124084000003</v>
      </c>
      <c r="E912">
        <v>40</v>
      </c>
      <c r="F912">
        <v>39.916000365999999</v>
      </c>
      <c r="G912">
        <v>1375.8829346</v>
      </c>
      <c r="H912">
        <v>1363.0316161999999</v>
      </c>
      <c r="I912">
        <v>1297.6652832</v>
      </c>
      <c r="J912">
        <v>1282.1260986</v>
      </c>
      <c r="K912">
        <v>1650</v>
      </c>
      <c r="L912">
        <v>0</v>
      </c>
      <c r="M912">
        <v>0</v>
      </c>
      <c r="N912">
        <v>1650</v>
      </c>
    </row>
    <row r="913" spans="1:14" x14ac:dyDescent="0.25">
      <c r="A913">
        <v>731.46141299999999</v>
      </c>
      <c r="B913" s="1">
        <f>DATE(2012,5,1) + TIME(11,4,26)</f>
        <v>41030.461412037039</v>
      </c>
      <c r="C913">
        <v>80</v>
      </c>
      <c r="D913">
        <v>67.121543884000005</v>
      </c>
      <c r="E913">
        <v>40</v>
      </c>
      <c r="F913">
        <v>39.911853790000002</v>
      </c>
      <c r="G913">
        <v>1375.7379149999999</v>
      </c>
      <c r="H913">
        <v>1362.9786377</v>
      </c>
      <c r="I913">
        <v>1297.6662598</v>
      </c>
      <c r="J913">
        <v>1282.1267089999999</v>
      </c>
      <c r="K913">
        <v>1650</v>
      </c>
      <c r="L913">
        <v>0</v>
      </c>
      <c r="M913">
        <v>0</v>
      </c>
      <c r="N913">
        <v>1650</v>
      </c>
    </row>
    <row r="914" spans="1:14" x14ac:dyDescent="0.25">
      <c r="A914">
        <v>731.50602900000001</v>
      </c>
      <c r="B914" s="1">
        <f>DATE(2012,5,1) + TIME(12,8,40)</f>
        <v>41030.506018518521</v>
      </c>
      <c r="C914">
        <v>80</v>
      </c>
      <c r="D914">
        <v>67.692886353000006</v>
      </c>
      <c r="E914">
        <v>40</v>
      </c>
      <c r="F914">
        <v>39.907646178999997</v>
      </c>
      <c r="G914">
        <v>1375.5979004000001</v>
      </c>
      <c r="H914">
        <v>1362.9273682</v>
      </c>
      <c r="I914">
        <v>1297.6667480000001</v>
      </c>
      <c r="J914">
        <v>1282.1268310999999</v>
      </c>
      <c r="K914">
        <v>1650</v>
      </c>
      <c r="L914">
        <v>0</v>
      </c>
      <c r="M914">
        <v>0</v>
      </c>
      <c r="N914">
        <v>1650</v>
      </c>
    </row>
    <row r="915" spans="1:14" x14ac:dyDescent="0.25">
      <c r="A915">
        <v>731.55175199999996</v>
      </c>
      <c r="B915" s="1">
        <f>DATE(2012,5,1) + TIME(13,14,31)</f>
        <v>41030.551747685182</v>
      </c>
      <c r="C915">
        <v>80</v>
      </c>
      <c r="D915">
        <v>68.252243042000003</v>
      </c>
      <c r="E915">
        <v>40</v>
      </c>
      <c r="F915">
        <v>39.903377532999997</v>
      </c>
      <c r="G915">
        <v>1375.4627685999999</v>
      </c>
      <c r="H915">
        <v>1362.8774414</v>
      </c>
      <c r="I915">
        <v>1297.6671143000001</v>
      </c>
      <c r="J915">
        <v>1282.1267089999999</v>
      </c>
      <c r="K915">
        <v>1650</v>
      </c>
      <c r="L915">
        <v>0</v>
      </c>
      <c r="M915">
        <v>0</v>
      </c>
      <c r="N915">
        <v>1650</v>
      </c>
    </row>
    <row r="916" spans="1:14" x14ac:dyDescent="0.25">
      <c r="A916">
        <v>731.59864300000004</v>
      </c>
      <c r="B916" s="1">
        <f>DATE(2012,5,1) + TIME(14,22,2)</f>
        <v>41030.598634259259</v>
      </c>
      <c r="C916">
        <v>80</v>
      </c>
      <c r="D916">
        <v>68.799636840999995</v>
      </c>
      <c r="E916">
        <v>40</v>
      </c>
      <c r="F916">
        <v>39.899040221999996</v>
      </c>
      <c r="G916">
        <v>1375.3325195</v>
      </c>
      <c r="H916">
        <v>1362.8292236</v>
      </c>
      <c r="I916">
        <v>1297.6673584</v>
      </c>
      <c r="J916">
        <v>1282.1264647999999</v>
      </c>
      <c r="K916">
        <v>1650</v>
      </c>
      <c r="L916">
        <v>0</v>
      </c>
      <c r="M916">
        <v>0</v>
      </c>
      <c r="N916">
        <v>1650</v>
      </c>
    </row>
    <row r="917" spans="1:14" x14ac:dyDescent="0.25">
      <c r="A917">
        <v>731.64677400000005</v>
      </c>
      <c r="B917" s="1">
        <f>DATE(2012,5,1) + TIME(15,31,21)</f>
        <v>41030.646770833337</v>
      </c>
      <c r="C917">
        <v>80</v>
      </c>
      <c r="D917">
        <v>69.335044861</v>
      </c>
      <c r="E917">
        <v>40</v>
      </c>
      <c r="F917">
        <v>39.894630432</v>
      </c>
      <c r="G917">
        <v>1375.2067870999999</v>
      </c>
      <c r="H917">
        <v>1362.7823486</v>
      </c>
      <c r="I917">
        <v>1297.6674805</v>
      </c>
      <c r="J917">
        <v>1282.1262207</v>
      </c>
      <c r="K917">
        <v>1650</v>
      </c>
      <c r="L917">
        <v>0</v>
      </c>
      <c r="M917">
        <v>0</v>
      </c>
      <c r="N917">
        <v>1650</v>
      </c>
    </row>
    <row r="918" spans="1:14" x14ac:dyDescent="0.25">
      <c r="A918">
        <v>731.69621600000005</v>
      </c>
      <c r="B918" s="1">
        <f>DATE(2012,5,1) + TIME(16,42,33)</f>
        <v>41030.696215277778</v>
      </c>
      <c r="C918">
        <v>80</v>
      </c>
      <c r="D918">
        <v>69.858459472999996</v>
      </c>
      <c r="E918">
        <v>40</v>
      </c>
      <c r="F918">
        <v>39.890144348</v>
      </c>
      <c r="G918">
        <v>1375.0854492000001</v>
      </c>
      <c r="H918">
        <v>1362.7368164</v>
      </c>
      <c r="I918">
        <v>1297.6676024999999</v>
      </c>
      <c r="J918">
        <v>1282.1258545000001</v>
      </c>
      <c r="K918">
        <v>1650</v>
      </c>
      <c r="L918">
        <v>0</v>
      </c>
      <c r="M918">
        <v>0</v>
      </c>
      <c r="N918">
        <v>1650</v>
      </c>
    </row>
    <row r="919" spans="1:14" x14ac:dyDescent="0.25">
      <c r="A919">
        <v>731.74704999999994</v>
      </c>
      <c r="B919" s="1">
        <f>DATE(2012,5,1) + TIME(17,55,45)</f>
        <v>41030.747048611112</v>
      </c>
      <c r="C919">
        <v>80</v>
      </c>
      <c r="D919">
        <v>70.369567871000001</v>
      </c>
      <c r="E919">
        <v>40</v>
      </c>
      <c r="F919">
        <v>39.885578156000001</v>
      </c>
      <c r="G919">
        <v>1374.9682617000001</v>
      </c>
      <c r="H919">
        <v>1362.6925048999999</v>
      </c>
      <c r="I919">
        <v>1297.6676024999999</v>
      </c>
      <c r="J919">
        <v>1282.1253661999999</v>
      </c>
      <c r="K919">
        <v>1650</v>
      </c>
      <c r="L919">
        <v>0</v>
      </c>
      <c r="M919">
        <v>0</v>
      </c>
      <c r="N919">
        <v>1650</v>
      </c>
    </row>
    <row r="920" spans="1:14" x14ac:dyDescent="0.25">
      <c r="A920">
        <v>731.79936199999997</v>
      </c>
      <c r="B920" s="1">
        <f>DATE(2012,5,1) + TIME(19,11,4)</f>
        <v>41030.799351851849</v>
      </c>
      <c r="C920">
        <v>80</v>
      </c>
      <c r="D920">
        <v>70.868492126000007</v>
      </c>
      <c r="E920">
        <v>40</v>
      </c>
      <c r="F920">
        <v>39.880920410000002</v>
      </c>
      <c r="G920">
        <v>1374.8549805</v>
      </c>
      <c r="H920">
        <v>1362.6494141000001</v>
      </c>
      <c r="I920">
        <v>1297.6676024999999</v>
      </c>
      <c r="J920">
        <v>1282.1248779</v>
      </c>
      <c r="K920">
        <v>1650</v>
      </c>
      <c r="L920">
        <v>0</v>
      </c>
      <c r="M920">
        <v>0</v>
      </c>
      <c r="N920">
        <v>1650</v>
      </c>
    </row>
    <row r="921" spans="1:14" x14ac:dyDescent="0.25">
      <c r="A921">
        <v>731.85324800000001</v>
      </c>
      <c r="B921" s="1">
        <f>DATE(2012,5,1) + TIME(20,28,40)</f>
        <v>41030.85324074074</v>
      </c>
      <c r="C921">
        <v>80</v>
      </c>
      <c r="D921">
        <v>71.355285644999995</v>
      </c>
      <c r="E921">
        <v>40</v>
      </c>
      <c r="F921">
        <v>39.876174927000001</v>
      </c>
      <c r="G921">
        <v>1374.7454834</v>
      </c>
      <c r="H921">
        <v>1362.6074219</v>
      </c>
      <c r="I921">
        <v>1297.6674805</v>
      </c>
      <c r="J921">
        <v>1282.1243896000001</v>
      </c>
      <c r="K921">
        <v>1650</v>
      </c>
      <c r="L921">
        <v>0</v>
      </c>
      <c r="M921">
        <v>0</v>
      </c>
      <c r="N921">
        <v>1650</v>
      </c>
    </row>
    <row r="922" spans="1:14" x14ac:dyDescent="0.25">
      <c r="A922">
        <v>731.90880900000002</v>
      </c>
      <c r="B922" s="1">
        <f>DATE(2012,5,1) + TIME(21,48,41)</f>
        <v>41030.908807870372</v>
      </c>
      <c r="C922">
        <v>80</v>
      </c>
      <c r="D922">
        <v>71.829879761000001</v>
      </c>
      <c r="E922">
        <v>40</v>
      </c>
      <c r="F922">
        <v>39.871326447000001</v>
      </c>
      <c r="G922">
        <v>1374.6395264</v>
      </c>
      <c r="H922">
        <v>1362.5662841999999</v>
      </c>
      <c r="I922">
        <v>1297.6674805</v>
      </c>
      <c r="J922">
        <v>1282.1237793</v>
      </c>
      <c r="K922">
        <v>1650</v>
      </c>
      <c r="L922">
        <v>0</v>
      </c>
      <c r="M922">
        <v>0</v>
      </c>
      <c r="N922">
        <v>1650</v>
      </c>
    </row>
    <row r="923" spans="1:14" x14ac:dyDescent="0.25">
      <c r="A923">
        <v>731.96615799999995</v>
      </c>
      <c r="B923" s="1">
        <f>DATE(2012,5,1) + TIME(23,11,16)</f>
        <v>41030.966157407405</v>
      </c>
      <c r="C923">
        <v>80</v>
      </c>
      <c r="D923">
        <v>72.292205811000002</v>
      </c>
      <c r="E923">
        <v>40</v>
      </c>
      <c r="F923">
        <v>39.866367339999996</v>
      </c>
      <c r="G923">
        <v>1374.5368652</v>
      </c>
      <c r="H923">
        <v>1362.526001</v>
      </c>
      <c r="I923">
        <v>1297.6673584</v>
      </c>
      <c r="J923">
        <v>1282.1231689000001</v>
      </c>
      <c r="K923">
        <v>1650</v>
      </c>
      <c r="L923">
        <v>0</v>
      </c>
      <c r="M923">
        <v>0</v>
      </c>
      <c r="N923">
        <v>1650</v>
      </c>
    </row>
    <row r="924" spans="1:14" x14ac:dyDescent="0.25">
      <c r="A924">
        <v>732.02544599999999</v>
      </c>
      <c r="B924" s="1">
        <f>DATE(2012,5,2) + TIME(0,36,38)</f>
        <v>41031.025439814817</v>
      </c>
      <c r="C924">
        <v>80</v>
      </c>
      <c r="D924">
        <v>72.742393493999998</v>
      </c>
      <c r="E924">
        <v>40</v>
      </c>
      <c r="F924">
        <v>39.861297606999997</v>
      </c>
      <c r="G924">
        <v>1374.4372559000001</v>
      </c>
      <c r="H924">
        <v>1362.4863281</v>
      </c>
      <c r="I924">
        <v>1297.6671143000001</v>
      </c>
      <c r="J924">
        <v>1282.1224365</v>
      </c>
      <c r="K924">
        <v>1650</v>
      </c>
      <c r="L924">
        <v>0</v>
      </c>
      <c r="M924">
        <v>0</v>
      </c>
      <c r="N924">
        <v>1650</v>
      </c>
    </row>
    <row r="925" spans="1:14" x14ac:dyDescent="0.25">
      <c r="A925">
        <v>732.08678299999997</v>
      </c>
      <c r="B925" s="1">
        <f>DATE(2012,5,2) + TIME(2,4,58)</f>
        <v>41031.086782407408</v>
      </c>
      <c r="C925">
        <v>80</v>
      </c>
      <c r="D925">
        <v>73.180145264000004</v>
      </c>
      <c r="E925">
        <v>40</v>
      </c>
      <c r="F925">
        <v>39.856101989999999</v>
      </c>
      <c r="G925">
        <v>1374.3405762</v>
      </c>
      <c r="H925">
        <v>1362.4473877</v>
      </c>
      <c r="I925">
        <v>1297.6669922000001</v>
      </c>
      <c r="J925">
        <v>1282.1218262</v>
      </c>
      <c r="K925">
        <v>1650</v>
      </c>
      <c r="L925">
        <v>0</v>
      </c>
      <c r="M925">
        <v>0</v>
      </c>
      <c r="N925">
        <v>1650</v>
      </c>
    </row>
    <row r="926" spans="1:14" x14ac:dyDescent="0.25">
      <c r="A926">
        <v>732.15031799999997</v>
      </c>
      <c r="B926" s="1">
        <f>DATE(2012,5,2) + TIME(3,36,27)</f>
        <v>41031.150312500002</v>
      </c>
      <c r="C926">
        <v>80</v>
      </c>
      <c r="D926">
        <v>73.605361938000001</v>
      </c>
      <c r="E926">
        <v>40</v>
      </c>
      <c r="F926">
        <v>39.850772857999999</v>
      </c>
      <c r="G926">
        <v>1374.246582</v>
      </c>
      <c r="H926">
        <v>1362.4089355000001</v>
      </c>
      <c r="I926">
        <v>1297.6667480000001</v>
      </c>
      <c r="J926">
        <v>1282.1209716999999</v>
      </c>
      <c r="K926">
        <v>1650</v>
      </c>
      <c r="L926">
        <v>0</v>
      </c>
      <c r="M926">
        <v>0</v>
      </c>
      <c r="N926">
        <v>1650</v>
      </c>
    </row>
    <row r="927" spans="1:14" x14ac:dyDescent="0.25">
      <c r="A927">
        <v>732.21621700000003</v>
      </c>
      <c r="B927" s="1">
        <f>DATE(2012,5,2) + TIME(5,11,21)</f>
        <v>41031.216215277775</v>
      </c>
      <c r="C927">
        <v>80</v>
      </c>
      <c r="D927">
        <v>74.017936707000004</v>
      </c>
      <c r="E927">
        <v>40</v>
      </c>
      <c r="F927">
        <v>39.845302582000002</v>
      </c>
      <c r="G927">
        <v>1374.1552733999999</v>
      </c>
      <c r="H927">
        <v>1362.3709716999999</v>
      </c>
      <c r="I927">
        <v>1297.6665039</v>
      </c>
      <c r="J927">
        <v>1282.1202393000001</v>
      </c>
      <c r="K927">
        <v>1650</v>
      </c>
      <c r="L927">
        <v>0</v>
      </c>
      <c r="M927">
        <v>0</v>
      </c>
      <c r="N927">
        <v>1650</v>
      </c>
    </row>
    <row r="928" spans="1:14" x14ac:dyDescent="0.25">
      <c r="A928">
        <v>732.28466300000002</v>
      </c>
      <c r="B928" s="1">
        <f>DATE(2012,5,2) + TIME(6,49,54)</f>
        <v>41031.28465277778</v>
      </c>
      <c r="C928">
        <v>80</v>
      </c>
      <c r="D928">
        <v>74.417762756000002</v>
      </c>
      <c r="E928">
        <v>40</v>
      </c>
      <c r="F928">
        <v>39.839679717999999</v>
      </c>
      <c r="G928">
        <v>1374.0664062000001</v>
      </c>
      <c r="H928">
        <v>1362.3332519999999</v>
      </c>
      <c r="I928">
        <v>1297.6661377</v>
      </c>
      <c r="J928">
        <v>1282.1193848</v>
      </c>
      <c r="K928">
        <v>1650</v>
      </c>
      <c r="L928">
        <v>0</v>
      </c>
      <c r="M928">
        <v>0</v>
      </c>
      <c r="N928">
        <v>1650</v>
      </c>
    </row>
    <row r="929" spans="1:14" x14ac:dyDescent="0.25">
      <c r="A929">
        <v>732.355861</v>
      </c>
      <c r="B929" s="1">
        <f>DATE(2012,5,2) + TIME(8,32,26)</f>
        <v>41031.355856481481</v>
      </c>
      <c r="C929">
        <v>80</v>
      </c>
      <c r="D929">
        <v>74.804718018000003</v>
      </c>
      <c r="E929">
        <v>40</v>
      </c>
      <c r="F929">
        <v>39.833889008</v>
      </c>
      <c r="G929">
        <v>1373.9796143000001</v>
      </c>
      <c r="H929">
        <v>1362.2957764</v>
      </c>
      <c r="I929">
        <v>1297.6658935999999</v>
      </c>
      <c r="J929">
        <v>1282.1184082</v>
      </c>
      <c r="K929">
        <v>1650</v>
      </c>
      <c r="L929">
        <v>0</v>
      </c>
      <c r="M929">
        <v>0</v>
      </c>
      <c r="N929">
        <v>1650</v>
      </c>
    </row>
    <row r="930" spans="1:14" x14ac:dyDescent="0.25">
      <c r="A930">
        <v>732.43003899999997</v>
      </c>
      <c r="B930" s="1">
        <f>DATE(2012,5,2) + TIME(10,19,15)</f>
        <v>41031.430034722223</v>
      </c>
      <c r="C930">
        <v>80</v>
      </c>
      <c r="D930">
        <v>75.178543090999995</v>
      </c>
      <c r="E930">
        <v>40</v>
      </c>
      <c r="F930">
        <v>39.827922821000001</v>
      </c>
      <c r="G930">
        <v>1373.8950195</v>
      </c>
      <c r="H930">
        <v>1362.2584228999999</v>
      </c>
      <c r="I930">
        <v>1297.6655272999999</v>
      </c>
      <c r="J930">
        <v>1282.1174315999999</v>
      </c>
      <c r="K930">
        <v>1650</v>
      </c>
      <c r="L930">
        <v>0</v>
      </c>
      <c r="M930">
        <v>0</v>
      </c>
      <c r="N930">
        <v>1650</v>
      </c>
    </row>
    <row r="931" spans="1:14" x14ac:dyDescent="0.25">
      <c r="A931">
        <v>732.50745500000005</v>
      </c>
      <c r="B931" s="1">
        <f>DATE(2012,5,2) + TIME(12,10,44)</f>
        <v>41031.507453703707</v>
      </c>
      <c r="C931">
        <v>80</v>
      </c>
      <c r="D931">
        <v>75.539085388000004</v>
      </c>
      <c r="E931">
        <v>40</v>
      </c>
      <c r="F931">
        <v>39.821758269999997</v>
      </c>
      <c r="G931">
        <v>1373.8122559000001</v>
      </c>
      <c r="H931">
        <v>1362.2210693</v>
      </c>
      <c r="I931">
        <v>1297.6651611</v>
      </c>
      <c r="J931">
        <v>1282.1164550999999</v>
      </c>
      <c r="K931">
        <v>1650</v>
      </c>
      <c r="L931">
        <v>0</v>
      </c>
      <c r="M931">
        <v>0</v>
      </c>
      <c r="N931">
        <v>1650</v>
      </c>
    </row>
    <row r="932" spans="1:14" x14ac:dyDescent="0.25">
      <c r="A932">
        <v>732.58839899999998</v>
      </c>
      <c r="B932" s="1">
        <f>DATE(2012,5,2) + TIME(14,7,17)</f>
        <v>41031.588391203702</v>
      </c>
      <c r="C932">
        <v>80</v>
      </c>
      <c r="D932">
        <v>75.886352539000001</v>
      </c>
      <c r="E932">
        <v>40</v>
      </c>
      <c r="F932">
        <v>39.815380095999998</v>
      </c>
      <c r="G932">
        <v>1373.7310791</v>
      </c>
      <c r="H932">
        <v>1362.1834716999999</v>
      </c>
      <c r="I932">
        <v>1297.6646728999999</v>
      </c>
      <c r="J932">
        <v>1282.1154785000001</v>
      </c>
      <c r="K932">
        <v>1650</v>
      </c>
      <c r="L932">
        <v>0</v>
      </c>
      <c r="M932">
        <v>0</v>
      </c>
      <c r="N932">
        <v>1650</v>
      </c>
    </row>
    <row r="933" spans="1:14" x14ac:dyDescent="0.25">
      <c r="A933">
        <v>732.67319899999995</v>
      </c>
      <c r="B933" s="1">
        <f>DATE(2012,5,2) + TIME(16,9,24)</f>
        <v>41031.673194444447</v>
      </c>
      <c r="C933">
        <v>80</v>
      </c>
      <c r="D933">
        <v>76.220191955999994</v>
      </c>
      <c r="E933">
        <v>40</v>
      </c>
      <c r="F933">
        <v>39.808769226000003</v>
      </c>
      <c r="G933">
        <v>1373.6514893000001</v>
      </c>
      <c r="H933">
        <v>1362.1457519999999</v>
      </c>
      <c r="I933">
        <v>1297.6643065999999</v>
      </c>
      <c r="J933">
        <v>1282.1143798999999</v>
      </c>
      <c r="K933">
        <v>1650</v>
      </c>
      <c r="L933">
        <v>0</v>
      </c>
      <c r="M933">
        <v>0</v>
      </c>
      <c r="N933">
        <v>1650</v>
      </c>
    </row>
    <row r="934" spans="1:14" x14ac:dyDescent="0.25">
      <c r="A934">
        <v>732.76227200000005</v>
      </c>
      <c r="B934" s="1">
        <f>DATE(2012,5,2) + TIME(18,17,40)</f>
        <v>41031.76226851852</v>
      </c>
      <c r="C934">
        <v>80</v>
      </c>
      <c r="D934">
        <v>76.540603637999993</v>
      </c>
      <c r="E934">
        <v>40</v>
      </c>
      <c r="F934">
        <v>39.801902771000002</v>
      </c>
      <c r="G934">
        <v>1373.5732422000001</v>
      </c>
      <c r="H934">
        <v>1362.1076660000001</v>
      </c>
      <c r="I934">
        <v>1297.6638184000001</v>
      </c>
      <c r="J934">
        <v>1282.1131591999999</v>
      </c>
      <c r="K934">
        <v>1650</v>
      </c>
      <c r="L934">
        <v>0</v>
      </c>
      <c r="M934">
        <v>0</v>
      </c>
      <c r="N934">
        <v>1650</v>
      </c>
    </row>
    <row r="935" spans="1:14" x14ac:dyDescent="0.25">
      <c r="A935">
        <v>732.85604499999999</v>
      </c>
      <c r="B935" s="1">
        <f>DATE(2012,5,2) + TIME(20,32,42)</f>
        <v>41031.856041666666</v>
      </c>
      <c r="C935">
        <v>80</v>
      </c>
      <c r="D935">
        <v>76.847381592000005</v>
      </c>
      <c r="E935">
        <v>40</v>
      </c>
      <c r="F935">
        <v>39.794754028</v>
      </c>
      <c r="G935">
        <v>1373.4960937999999</v>
      </c>
      <c r="H935">
        <v>1362.0690918</v>
      </c>
      <c r="I935">
        <v>1297.6632079999999</v>
      </c>
      <c r="J935">
        <v>1282.1119385</v>
      </c>
      <c r="K935">
        <v>1650</v>
      </c>
      <c r="L935">
        <v>0</v>
      </c>
      <c r="M935">
        <v>0</v>
      </c>
      <c r="N935">
        <v>1650</v>
      </c>
    </row>
    <row r="936" spans="1:14" x14ac:dyDescent="0.25">
      <c r="A936">
        <v>732.95499400000006</v>
      </c>
      <c r="B936" s="1">
        <f>DATE(2012,5,2) + TIME(22,55,11)</f>
        <v>41031.954988425925</v>
      </c>
      <c r="C936">
        <v>80</v>
      </c>
      <c r="D936">
        <v>77.140281677000004</v>
      </c>
      <c r="E936">
        <v>40</v>
      </c>
      <c r="F936">
        <v>39.787296294999997</v>
      </c>
      <c r="G936">
        <v>1373.4197998</v>
      </c>
      <c r="H936">
        <v>1362.0297852000001</v>
      </c>
      <c r="I936">
        <v>1297.6627197</v>
      </c>
      <c r="J936">
        <v>1282.1107178</v>
      </c>
      <c r="K936">
        <v>1650</v>
      </c>
      <c r="L936">
        <v>0</v>
      </c>
      <c r="M936">
        <v>0</v>
      </c>
      <c r="N936">
        <v>1650</v>
      </c>
    </row>
    <row r="937" spans="1:14" x14ac:dyDescent="0.25">
      <c r="A937">
        <v>733.05970300000001</v>
      </c>
      <c r="B937" s="1">
        <f>DATE(2012,5,3) + TIME(1,25,58)</f>
        <v>41032.059699074074</v>
      </c>
      <c r="C937">
        <v>80</v>
      </c>
      <c r="D937">
        <v>77.419166564999998</v>
      </c>
      <c r="E937">
        <v>40</v>
      </c>
      <c r="F937">
        <v>39.779495238999999</v>
      </c>
      <c r="G937">
        <v>1373.3443603999999</v>
      </c>
      <c r="H937">
        <v>1361.9898682</v>
      </c>
      <c r="I937">
        <v>1297.6621094</v>
      </c>
      <c r="J937">
        <v>1282.109375</v>
      </c>
      <c r="K937">
        <v>1650</v>
      </c>
      <c r="L937">
        <v>0</v>
      </c>
      <c r="M937">
        <v>0</v>
      </c>
      <c r="N937">
        <v>1650</v>
      </c>
    </row>
    <row r="938" spans="1:14" x14ac:dyDescent="0.25">
      <c r="A938">
        <v>733.17085699999996</v>
      </c>
      <c r="B938" s="1">
        <f>DATE(2012,5,3) + TIME(4,6,2)</f>
        <v>41032.170856481483</v>
      </c>
      <c r="C938">
        <v>80</v>
      </c>
      <c r="D938">
        <v>77.683868407999995</v>
      </c>
      <c r="E938">
        <v>40</v>
      </c>
      <c r="F938">
        <v>39.771308898999997</v>
      </c>
      <c r="G938">
        <v>1373.2694091999999</v>
      </c>
      <c r="H938">
        <v>1361.9488524999999</v>
      </c>
      <c r="I938">
        <v>1297.661499</v>
      </c>
      <c r="J938">
        <v>1282.1080322</v>
      </c>
      <c r="K938">
        <v>1650</v>
      </c>
      <c r="L938">
        <v>0</v>
      </c>
      <c r="M938">
        <v>0</v>
      </c>
      <c r="N938">
        <v>1650</v>
      </c>
    </row>
    <row r="939" spans="1:14" x14ac:dyDescent="0.25">
      <c r="A939">
        <v>733.28925600000002</v>
      </c>
      <c r="B939" s="1">
        <f>DATE(2012,5,3) + TIME(6,56,31)</f>
        <v>41032.289247685185</v>
      </c>
      <c r="C939">
        <v>80</v>
      </c>
      <c r="D939">
        <v>77.934234618999994</v>
      </c>
      <c r="E939">
        <v>40</v>
      </c>
      <c r="F939">
        <v>39.762695311999998</v>
      </c>
      <c r="G939">
        <v>1373.1947021000001</v>
      </c>
      <c r="H939">
        <v>1361.9068603999999</v>
      </c>
      <c r="I939">
        <v>1297.6607666</v>
      </c>
      <c r="J939">
        <v>1282.1064452999999</v>
      </c>
      <c r="K939">
        <v>1650</v>
      </c>
      <c r="L939">
        <v>0</v>
      </c>
      <c r="M939">
        <v>0</v>
      </c>
      <c r="N939">
        <v>1650</v>
      </c>
    </row>
    <row r="940" spans="1:14" x14ac:dyDescent="0.25">
      <c r="A940">
        <v>733.41585299999997</v>
      </c>
      <c r="B940" s="1">
        <f>DATE(2012,5,3) + TIME(9,58,49)</f>
        <v>41032.415844907409</v>
      </c>
      <c r="C940">
        <v>80</v>
      </c>
      <c r="D940">
        <v>78.170082092000001</v>
      </c>
      <c r="E940">
        <v>40</v>
      </c>
      <c r="F940">
        <v>39.753597259999999</v>
      </c>
      <c r="G940">
        <v>1373.1199951000001</v>
      </c>
      <c r="H940">
        <v>1361.8635254000001</v>
      </c>
      <c r="I940">
        <v>1297.6600341999999</v>
      </c>
      <c r="J940">
        <v>1282.1048584</v>
      </c>
      <c r="K940">
        <v>1650</v>
      </c>
      <c r="L940">
        <v>0</v>
      </c>
      <c r="M940">
        <v>0</v>
      </c>
      <c r="N940">
        <v>1650</v>
      </c>
    </row>
    <row r="941" spans="1:14" x14ac:dyDescent="0.25">
      <c r="A941">
        <v>733.55183399999999</v>
      </c>
      <c r="B941" s="1">
        <f>DATE(2012,5,3) + TIME(13,14,38)</f>
        <v>41032.551828703705</v>
      </c>
      <c r="C941">
        <v>80</v>
      </c>
      <c r="D941">
        <v>78.391311646000005</v>
      </c>
      <c r="E941">
        <v>40</v>
      </c>
      <c r="F941">
        <v>39.743949890000003</v>
      </c>
      <c r="G941">
        <v>1373.0451660000001</v>
      </c>
      <c r="H941">
        <v>1361.8187256000001</v>
      </c>
      <c r="I941">
        <v>1297.6591797000001</v>
      </c>
      <c r="J941">
        <v>1282.1032714999999</v>
      </c>
      <c r="K941">
        <v>1650</v>
      </c>
      <c r="L941">
        <v>0</v>
      </c>
      <c r="M941">
        <v>0</v>
      </c>
      <c r="N941">
        <v>1650</v>
      </c>
    </row>
    <row r="942" spans="1:14" x14ac:dyDescent="0.25">
      <c r="A942">
        <v>733.69862599999999</v>
      </c>
      <c r="B942" s="1">
        <f>DATE(2012,5,3) + TIME(16,46,1)</f>
        <v>41032.698622685188</v>
      </c>
      <c r="C942">
        <v>80</v>
      </c>
      <c r="D942">
        <v>78.597778320000003</v>
      </c>
      <c r="E942">
        <v>40</v>
      </c>
      <c r="F942">
        <v>39.733673095999997</v>
      </c>
      <c r="G942">
        <v>1372.9697266000001</v>
      </c>
      <c r="H942">
        <v>1361.7722168</v>
      </c>
      <c r="I942">
        <v>1297.6583252</v>
      </c>
      <c r="J942">
        <v>1282.1014404</v>
      </c>
      <c r="K942">
        <v>1650</v>
      </c>
      <c r="L942">
        <v>0</v>
      </c>
      <c r="M942">
        <v>0</v>
      </c>
      <c r="N942">
        <v>1650</v>
      </c>
    </row>
    <row r="943" spans="1:14" x14ac:dyDescent="0.25">
      <c r="A943">
        <v>733.85638500000005</v>
      </c>
      <c r="B943" s="1">
        <f>DATE(2012,5,3) + TIME(20,33,11)</f>
        <v>41032.856377314813</v>
      </c>
      <c r="C943">
        <v>80</v>
      </c>
      <c r="D943">
        <v>78.787704468000001</v>
      </c>
      <c r="E943">
        <v>40</v>
      </c>
      <c r="F943">
        <v>39.722766876000001</v>
      </c>
      <c r="G943">
        <v>1372.8939209</v>
      </c>
      <c r="H943">
        <v>1361.7238769999999</v>
      </c>
      <c r="I943">
        <v>1297.6573486</v>
      </c>
      <c r="J943">
        <v>1282.0994873</v>
      </c>
      <c r="K943">
        <v>1650</v>
      </c>
      <c r="L943">
        <v>0</v>
      </c>
      <c r="M943">
        <v>0</v>
      </c>
      <c r="N943">
        <v>1650</v>
      </c>
    </row>
    <row r="944" spans="1:14" x14ac:dyDescent="0.25">
      <c r="A944">
        <v>734.01461099999995</v>
      </c>
      <c r="B944" s="1">
        <f>DATE(2012,5,4) + TIME(0,21,2)</f>
        <v>41033.014606481483</v>
      </c>
      <c r="C944">
        <v>80</v>
      </c>
      <c r="D944">
        <v>78.950691223000007</v>
      </c>
      <c r="E944">
        <v>40</v>
      </c>
      <c r="F944">
        <v>39.711883544999999</v>
      </c>
      <c r="G944">
        <v>1372.8220214999999</v>
      </c>
      <c r="H944">
        <v>1361.6760254000001</v>
      </c>
      <c r="I944">
        <v>1297.65625</v>
      </c>
      <c r="J944">
        <v>1282.0974120999999</v>
      </c>
      <c r="K944">
        <v>1650</v>
      </c>
      <c r="L944">
        <v>0</v>
      </c>
      <c r="M944">
        <v>0</v>
      </c>
      <c r="N944">
        <v>1650</v>
      </c>
    </row>
    <row r="945" spans="1:14" x14ac:dyDescent="0.25">
      <c r="A945">
        <v>734.17412899999999</v>
      </c>
      <c r="B945" s="1">
        <f>DATE(2012,5,4) + TIME(4,10,44)</f>
        <v>41033.174120370371</v>
      </c>
      <c r="C945">
        <v>80</v>
      </c>
      <c r="D945">
        <v>79.091125488000003</v>
      </c>
      <c r="E945">
        <v>40</v>
      </c>
      <c r="F945">
        <v>39.700962066999999</v>
      </c>
      <c r="G945">
        <v>1372.7532959</v>
      </c>
      <c r="H945">
        <v>1361.6291504000001</v>
      </c>
      <c r="I945">
        <v>1297.6551514</v>
      </c>
      <c r="J945">
        <v>1282.0954589999999</v>
      </c>
      <c r="K945">
        <v>1650</v>
      </c>
      <c r="L945">
        <v>0</v>
      </c>
      <c r="M945">
        <v>0</v>
      </c>
      <c r="N945">
        <v>1650</v>
      </c>
    </row>
    <row r="946" spans="1:14" x14ac:dyDescent="0.25">
      <c r="A946">
        <v>734.33530299999995</v>
      </c>
      <c r="B946" s="1">
        <f>DATE(2012,5,4) + TIME(8,2,50)</f>
        <v>41033.335300925923</v>
      </c>
      <c r="C946">
        <v>80</v>
      </c>
      <c r="D946">
        <v>79.212226868000002</v>
      </c>
      <c r="E946">
        <v>40</v>
      </c>
      <c r="F946">
        <v>39.689987183</v>
      </c>
      <c r="G946">
        <v>1372.6873779</v>
      </c>
      <c r="H946">
        <v>1361.5832519999999</v>
      </c>
      <c r="I946">
        <v>1297.6539307</v>
      </c>
      <c r="J946">
        <v>1282.0933838000001</v>
      </c>
      <c r="K946">
        <v>1650</v>
      </c>
      <c r="L946">
        <v>0</v>
      </c>
      <c r="M946">
        <v>0</v>
      </c>
      <c r="N946">
        <v>1650</v>
      </c>
    </row>
    <row r="947" spans="1:14" x14ac:dyDescent="0.25">
      <c r="A947">
        <v>734.49850400000003</v>
      </c>
      <c r="B947" s="1">
        <f>DATE(2012,5,4) + TIME(11,57,50)</f>
        <v>41033.498495370368</v>
      </c>
      <c r="C947">
        <v>80</v>
      </c>
      <c r="D947">
        <v>79.316711425999998</v>
      </c>
      <c r="E947">
        <v>40</v>
      </c>
      <c r="F947">
        <v>39.678936004999997</v>
      </c>
      <c r="G947">
        <v>1372.6237793</v>
      </c>
      <c r="H947">
        <v>1361.5379639</v>
      </c>
      <c r="I947">
        <v>1297.6527100000001</v>
      </c>
      <c r="J947">
        <v>1282.0913086</v>
      </c>
      <c r="K947">
        <v>1650</v>
      </c>
      <c r="L947">
        <v>0</v>
      </c>
      <c r="M947">
        <v>0</v>
      </c>
      <c r="N947">
        <v>1650</v>
      </c>
    </row>
    <row r="948" spans="1:14" x14ac:dyDescent="0.25">
      <c r="A948">
        <v>734.66409699999997</v>
      </c>
      <c r="B948" s="1">
        <f>DATE(2012,5,4) + TIME(15,56,17)</f>
        <v>41033.664085648146</v>
      </c>
      <c r="C948">
        <v>80</v>
      </c>
      <c r="D948">
        <v>79.406860351999995</v>
      </c>
      <c r="E948">
        <v>40</v>
      </c>
      <c r="F948">
        <v>39.667785645000002</v>
      </c>
      <c r="G948">
        <v>1372.5621338000001</v>
      </c>
      <c r="H948">
        <v>1361.4934082</v>
      </c>
      <c r="I948">
        <v>1297.6516113</v>
      </c>
      <c r="J948">
        <v>1282.0891113</v>
      </c>
      <c r="K948">
        <v>1650</v>
      </c>
      <c r="L948">
        <v>0</v>
      </c>
      <c r="M948">
        <v>0</v>
      </c>
      <c r="N948">
        <v>1650</v>
      </c>
    </row>
    <row r="949" spans="1:14" x14ac:dyDescent="0.25">
      <c r="A949">
        <v>734.83244999999999</v>
      </c>
      <c r="B949" s="1">
        <f>DATE(2012,5,4) + TIME(19,58,43)</f>
        <v>41033.832442129627</v>
      </c>
      <c r="C949">
        <v>80</v>
      </c>
      <c r="D949">
        <v>79.484619140999996</v>
      </c>
      <c r="E949">
        <v>40</v>
      </c>
      <c r="F949">
        <v>39.656509399000001</v>
      </c>
      <c r="G949">
        <v>1372.5021973</v>
      </c>
      <c r="H949">
        <v>1361.4494629000001</v>
      </c>
      <c r="I949">
        <v>1297.6503906</v>
      </c>
      <c r="J949">
        <v>1282.0870361</v>
      </c>
      <c r="K949">
        <v>1650</v>
      </c>
      <c r="L949">
        <v>0</v>
      </c>
      <c r="M949">
        <v>0</v>
      </c>
      <c r="N949">
        <v>1650</v>
      </c>
    </row>
    <row r="950" spans="1:14" x14ac:dyDescent="0.25">
      <c r="A950">
        <v>735.00401999999997</v>
      </c>
      <c r="B950" s="1">
        <f>DATE(2012,5,5) + TIME(0,5,47)</f>
        <v>41034.004016203704</v>
      </c>
      <c r="C950">
        <v>80</v>
      </c>
      <c r="D950">
        <v>79.551681518999999</v>
      </c>
      <c r="E950">
        <v>40</v>
      </c>
      <c r="F950">
        <v>39.645088196000003</v>
      </c>
      <c r="G950">
        <v>1372.4437256000001</v>
      </c>
      <c r="H950">
        <v>1361.4058838000001</v>
      </c>
      <c r="I950">
        <v>1297.6490478999999</v>
      </c>
      <c r="J950">
        <v>1282.0848389</v>
      </c>
      <c r="K950">
        <v>1650</v>
      </c>
      <c r="L950">
        <v>0</v>
      </c>
      <c r="M950">
        <v>0</v>
      </c>
      <c r="N950">
        <v>1650</v>
      </c>
    </row>
    <row r="951" spans="1:14" x14ac:dyDescent="0.25">
      <c r="A951">
        <v>735.179125</v>
      </c>
      <c r="B951" s="1">
        <f>DATE(2012,5,5) + TIME(4,17,56)</f>
        <v>41034.179120370369</v>
      </c>
      <c r="C951">
        <v>80</v>
      </c>
      <c r="D951">
        <v>79.609436035000002</v>
      </c>
      <c r="E951">
        <v>40</v>
      </c>
      <c r="F951">
        <v>39.633499145999998</v>
      </c>
      <c r="G951">
        <v>1372.3864745999999</v>
      </c>
      <c r="H951">
        <v>1361.3626709</v>
      </c>
      <c r="I951">
        <v>1297.6478271000001</v>
      </c>
      <c r="J951">
        <v>1282.0825195</v>
      </c>
      <c r="K951">
        <v>1650</v>
      </c>
      <c r="L951">
        <v>0</v>
      </c>
      <c r="M951">
        <v>0</v>
      </c>
      <c r="N951">
        <v>1650</v>
      </c>
    </row>
    <row r="952" spans="1:14" x14ac:dyDescent="0.25">
      <c r="A952">
        <v>735.35816399999999</v>
      </c>
      <c r="B952" s="1">
        <f>DATE(2012,5,5) + TIME(8,35,45)</f>
        <v>41034.358159722222</v>
      </c>
      <c r="C952">
        <v>80</v>
      </c>
      <c r="D952">
        <v>79.659111022999994</v>
      </c>
      <c r="E952">
        <v>40</v>
      </c>
      <c r="F952">
        <v>39.62171936</v>
      </c>
      <c r="G952">
        <v>1372.3303223</v>
      </c>
      <c r="H952">
        <v>1361.3198242000001</v>
      </c>
      <c r="I952">
        <v>1297.6464844</v>
      </c>
      <c r="J952">
        <v>1282.0803223</v>
      </c>
      <c r="K952">
        <v>1650</v>
      </c>
      <c r="L952">
        <v>0</v>
      </c>
      <c r="M952">
        <v>0</v>
      </c>
      <c r="N952">
        <v>1650</v>
      </c>
    </row>
    <row r="953" spans="1:14" x14ac:dyDescent="0.25">
      <c r="A953">
        <v>735.54076199999997</v>
      </c>
      <c r="B953" s="1">
        <f>DATE(2012,5,5) + TIME(12,58,41)</f>
        <v>41034.540752314817</v>
      </c>
      <c r="C953">
        <v>80</v>
      </c>
      <c r="D953">
        <v>79.701614379999995</v>
      </c>
      <c r="E953">
        <v>40</v>
      </c>
      <c r="F953">
        <v>39.609771729000002</v>
      </c>
      <c r="G953">
        <v>1372.2750243999999</v>
      </c>
      <c r="H953">
        <v>1361.2772216999999</v>
      </c>
      <c r="I953">
        <v>1297.6451416</v>
      </c>
      <c r="J953">
        <v>1282.0778809000001</v>
      </c>
      <c r="K953">
        <v>1650</v>
      </c>
      <c r="L953">
        <v>0</v>
      </c>
      <c r="M953">
        <v>0</v>
      </c>
      <c r="N953">
        <v>1650</v>
      </c>
    </row>
    <row r="954" spans="1:14" x14ac:dyDescent="0.25">
      <c r="A954">
        <v>735.72739000000001</v>
      </c>
      <c r="B954" s="1">
        <f>DATE(2012,5,5) + TIME(17,27,26)</f>
        <v>41034.727384259262</v>
      </c>
      <c r="C954">
        <v>80</v>
      </c>
      <c r="D954">
        <v>79.737945557000003</v>
      </c>
      <c r="E954">
        <v>40</v>
      </c>
      <c r="F954">
        <v>39.597629546999997</v>
      </c>
      <c r="G954">
        <v>1372.2207031</v>
      </c>
      <c r="H954">
        <v>1361.2349853999999</v>
      </c>
      <c r="I954">
        <v>1297.6436768000001</v>
      </c>
      <c r="J954">
        <v>1282.0755615</v>
      </c>
      <c r="K954">
        <v>1650</v>
      </c>
      <c r="L954">
        <v>0</v>
      </c>
      <c r="M954">
        <v>0</v>
      </c>
      <c r="N954">
        <v>1650</v>
      </c>
    </row>
    <row r="955" spans="1:14" x14ac:dyDescent="0.25">
      <c r="A955">
        <v>735.91838700000005</v>
      </c>
      <c r="B955" s="1">
        <f>DATE(2012,5,5) + TIME(22,2,28)</f>
        <v>41034.918379629627</v>
      </c>
      <c r="C955">
        <v>80</v>
      </c>
      <c r="D955">
        <v>79.768951415999993</v>
      </c>
      <c r="E955">
        <v>40</v>
      </c>
      <c r="F955">
        <v>39.585273743000002</v>
      </c>
      <c r="G955">
        <v>1372.1671143000001</v>
      </c>
      <c r="H955">
        <v>1361.1929932</v>
      </c>
      <c r="I955">
        <v>1297.6423339999999</v>
      </c>
      <c r="J955">
        <v>1282.0731201000001</v>
      </c>
      <c r="K955">
        <v>1650</v>
      </c>
      <c r="L955">
        <v>0</v>
      </c>
      <c r="M955">
        <v>0</v>
      </c>
      <c r="N955">
        <v>1650</v>
      </c>
    </row>
    <row r="956" spans="1:14" x14ac:dyDescent="0.25">
      <c r="A956">
        <v>736.11419100000001</v>
      </c>
      <c r="B956" s="1">
        <f>DATE(2012,5,6) + TIME(2,44,26)</f>
        <v>41035.114189814813</v>
      </c>
      <c r="C956">
        <v>80</v>
      </c>
      <c r="D956">
        <v>79.795356749999996</v>
      </c>
      <c r="E956">
        <v>40</v>
      </c>
      <c r="F956">
        <v>39.572677612</v>
      </c>
      <c r="G956">
        <v>1372.1140137</v>
      </c>
      <c r="H956">
        <v>1361.1511230000001</v>
      </c>
      <c r="I956">
        <v>1297.6407471</v>
      </c>
      <c r="J956">
        <v>1282.0705565999999</v>
      </c>
      <c r="K956">
        <v>1650</v>
      </c>
      <c r="L956">
        <v>0</v>
      </c>
      <c r="M956">
        <v>0</v>
      </c>
      <c r="N956">
        <v>1650</v>
      </c>
    </row>
    <row r="957" spans="1:14" x14ac:dyDescent="0.25">
      <c r="A957">
        <v>736.31527500000004</v>
      </c>
      <c r="B957" s="1">
        <f>DATE(2012,5,6) + TIME(7,33,59)</f>
        <v>41035.315266203703</v>
      </c>
      <c r="C957">
        <v>80</v>
      </c>
      <c r="D957">
        <v>79.817802428999997</v>
      </c>
      <c r="E957">
        <v>40</v>
      </c>
      <c r="F957">
        <v>39.559822083</v>
      </c>
      <c r="G957">
        <v>1372.0615233999999</v>
      </c>
      <c r="H957">
        <v>1361.1094971</v>
      </c>
      <c r="I957">
        <v>1297.6392822</v>
      </c>
      <c r="J957">
        <v>1282.0679932</v>
      </c>
      <c r="K957">
        <v>1650</v>
      </c>
      <c r="L957">
        <v>0</v>
      </c>
      <c r="M957">
        <v>0</v>
      </c>
      <c r="N957">
        <v>1650</v>
      </c>
    </row>
    <row r="958" spans="1:14" x14ac:dyDescent="0.25">
      <c r="A958">
        <v>736.522154</v>
      </c>
      <c r="B958" s="1">
        <f>DATE(2012,5,6) + TIME(12,31,54)</f>
        <v>41035.522152777776</v>
      </c>
      <c r="C958">
        <v>80</v>
      </c>
      <c r="D958">
        <v>79.836837768999999</v>
      </c>
      <c r="E958">
        <v>40</v>
      </c>
      <c r="F958">
        <v>39.546672821000001</v>
      </c>
      <c r="G958">
        <v>1372.0092772999999</v>
      </c>
      <c r="H958">
        <v>1361.0679932</v>
      </c>
      <c r="I958">
        <v>1297.6376952999999</v>
      </c>
      <c r="J958">
        <v>1282.0653076000001</v>
      </c>
      <c r="K958">
        <v>1650</v>
      </c>
      <c r="L958">
        <v>0</v>
      </c>
      <c r="M958">
        <v>0</v>
      </c>
      <c r="N958">
        <v>1650</v>
      </c>
    </row>
    <row r="959" spans="1:14" x14ac:dyDescent="0.25">
      <c r="A959">
        <v>736.73539200000005</v>
      </c>
      <c r="B959" s="1">
        <f>DATE(2012,5,6) + TIME(17,38,57)</f>
        <v>41035.735381944447</v>
      </c>
      <c r="C959">
        <v>80</v>
      </c>
      <c r="D959">
        <v>79.852943420000003</v>
      </c>
      <c r="E959">
        <v>40</v>
      </c>
      <c r="F959">
        <v>39.533206939999999</v>
      </c>
      <c r="G959">
        <v>1371.9572754000001</v>
      </c>
      <c r="H959">
        <v>1361.0264893000001</v>
      </c>
      <c r="I959">
        <v>1297.6361084</v>
      </c>
      <c r="J959">
        <v>1282.0626221</v>
      </c>
      <c r="K959">
        <v>1650</v>
      </c>
      <c r="L959">
        <v>0</v>
      </c>
      <c r="M959">
        <v>0</v>
      </c>
      <c r="N959">
        <v>1650</v>
      </c>
    </row>
    <row r="960" spans="1:14" x14ac:dyDescent="0.25">
      <c r="A960">
        <v>736.95561499999997</v>
      </c>
      <c r="B960" s="1">
        <f>DATE(2012,5,6) + TIME(22,56,5)</f>
        <v>41035.955613425926</v>
      </c>
      <c r="C960">
        <v>80</v>
      </c>
      <c r="D960">
        <v>79.866531371999997</v>
      </c>
      <c r="E960">
        <v>40</v>
      </c>
      <c r="F960">
        <v>39.519382477000001</v>
      </c>
      <c r="G960">
        <v>1371.9053954999999</v>
      </c>
      <c r="H960">
        <v>1360.9848632999999</v>
      </c>
      <c r="I960">
        <v>1297.6343993999999</v>
      </c>
      <c r="J960">
        <v>1282.0598144999999</v>
      </c>
      <c r="K960">
        <v>1650</v>
      </c>
      <c r="L960">
        <v>0</v>
      </c>
      <c r="M960">
        <v>0</v>
      </c>
      <c r="N960">
        <v>1650</v>
      </c>
    </row>
    <row r="961" spans="1:14" x14ac:dyDescent="0.25">
      <c r="A961">
        <v>737.18351700000005</v>
      </c>
      <c r="B961" s="1">
        <f>DATE(2012,5,7) + TIME(4,24,15)</f>
        <v>41036.183506944442</v>
      </c>
      <c r="C961">
        <v>80</v>
      </c>
      <c r="D961">
        <v>79.877960204999994</v>
      </c>
      <c r="E961">
        <v>40</v>
      </c>
      <c r="F961">
        <v>39.505168914999999</v>
      </c>
      <c r="G961">
        <v>1371.8535156</v>
      </c>
      <c r="H961">
        <v>1360.9431152</v>
      </c>
      <c r="I961">
        <v>1297.6326904</v>
      </c>
      <c r="J961">
        <v>1282.0568848</v>
      </c>
      <c r="K961">
        <v>1650</v>
      </c>
      <c r="L961">
        <v>0</v>
      </c>
      <c r="M961">
        <v>0</v>
      </c>
      <c r="N961">
        <v>1650</v>
      </c>
    </row>
    <row r="962" spans="1:14" x14ac:dyDescent="0.25">
      <c r="A962">
        <v>737.41987700000004</v>
      </c>
      <c r="B962" s="1">
        <f>DATE(2012,5,7) + TIME(10,4,37)</f>
        <v>41036.419872685183</v>
      </c>
      <c r="C962">
        <v>80</v>
      </c>
      <c r="D962">
        <v>79.887550353999998</v>
      </c>
      <c r="E962">
        <v>40</v>
      </c>
      <c r="F962">
        <v>39.490528107000003</v>
      </c>
      <c r="G962">
        <v>1371.8015137</v>
      </c>
      <c r="H962">
        <v>1360.9012451000001</v>
      </c>
      <c r="I962">
        <v>1297.6308594</v>
      </c>
      <c r="J962">
        <v>1282.0538329999999</v>
      </c>
      <c r="K962">
        <v>1650</v>
      </c>
      <c r="L962">
        <v>0</v>
      </c>
      <c r="M962">
        <v>0</v>
      </c>
      <c r="N962">
        <v>1650</v>
      </c>
    </row>
    <row r="963" spans="1:14" x14ac:dyDescent="0.25">
      <c r="A963">
        <v>737.66557399999999</v>
      </c>
      <c r="B963" s="1">
        <f>DATE(2012,5,7) + TIME(15,58,25)</f>
        <v>41036.665567129632</v>
      </c>
      <c r="C963">
        <v>80</v>
      </c>
      <c r="D963">
        <v>79.895568847999996</v>
      </c>
      <c r="E963">
        <v>40</v>
      </c>
      <c r="F963">
        <v>39.475410461000003</v>
      </c>
      <c r="G963">
        <v>1371.7491454999999</v>
      </c>
      <c r="H963">
        <v>1360.8590088000001</v>
      </c>
      <c r="I963">
        <v>1297.6289062000001</v>
      </c>
      <c r="J963">
        <v>1282.0506591999999</v>
      </c>
      <c r="K963">
        <v>1650</v>
      </c>
      <c r="L963">
        <v>0</v>
      </c>
      <c r="M963">
        <v>0</v>
      </c>
      <c r="N963">
        <v>1650</v>
      </c>
    </row>
    <row r="964" spans="1:14" x14ac:dyDescent="0.25">
      <c r="A964">
        <v>737.92175499999996</v>
      </c>
      <c r="B964" s="1">
        <f>DATE(2012,5,7) + TIME(22,7,19)</f>
        <v>41036.921747685185</v>
      </c>
      <c r="C964">
        <v>80</v>
      </c>
      <c r="D964">
        <v>79.902252196999996</v>
      </c>
      <c r="E964">
        <v>40</v>
      </c>
      <c r="F964">
        <v>39.459758759000003</v>
      </c>
      <c r="G964">
        <v>1371.6964111</v>
      </c>
      <c r="H964">
        <v>1360.8165283000001</v>
      </c>
      <c r="I964">
        <v>1297.6269531</v>
      </c>
      <c r="J964">
        <v>1282.0473632999999</v>
      </c>
      <c r="K964">
        <v>1650</v>
      </c>
      <c r="L964">
        <v>0</v>
      </c>
      <c r="M964">
        <v>0</v>
      </c>
      <c r="N964">
        <v>1650</v>
      </c>
    </row>
    <row r="965" spans="1:14" x14ac:dyDescent="0.25">
      <c r="A965">
        <v>738.18945499999995</v>
      </c>
      <c r="B965" s="1">
        <f>DATE(2012,5,8) + TIME(4,32,48)</f>
        <v>41037.189444444448</v>
      </c>
      <c r="C965">
        <v>80</v>
      </c>
      <c r="D965">
        <v>79.907806395999998</v>
      </c>
      <c r="E965">
        <v>40</v>
      </c>
      <c r="F965">
        <v>39.443527222</v>
      </c>
      <c r="G965">
        <v>1371.6431885</v>
      </c>
      <c r="H965">
        <v>1360.7734375</v>
      </c>
      <c r="I965">
        <v>1297.6248779</v>
      </c>
      <c r="J965">
        <v>1282.0439452999999</v>
      </c>
      <c r="K965">
        <v>1650</v>
      </c>
      <c r="L965">
        <v>0</v>
      </c>
      <c r="M965">
        <v>0</v>
      </c>
      <c r="N965">
        <v>1650</v>
      </c>
    </row>
    <row r="966" spans="1:14" x14ac:dyDescent="0.25">
      <c r="A966">
        <v>738.46759599999996</v>
      </c>
      <c r="B966" s="1">
        <f>DATE(2012,5,8) + TIME(11,13,20)</f>
        <v>41037.467592592591</v>
      </c>
      <c r="C966">
        <v>80</v>
      </c>
      <c r="D966">
        <v>79.912361145000006</v>
      </c>
      <c r="E966">
        <v>40</v>
      </c>
      <c r="F966">
        <v>39.426757811999998</v>
      </c>
      <c r="G966">
        <v>1371.5892334</v>
      </c>
      <c r="H966">
        <v>1360.7298584</v>
      </c>
      <c r="I966">
        <v>1297.6228027</v>
      </c>
      <c r="J966">
        <v>1282.0404053</v>
      </c>
      <c r="K966">
        <v>1650</v>
      </c>
      <c r="L966">
        <v>0</v>
      </c>
      <c r="M966">
        <v>0</v>
      </c>
      <c r="N966">
        <v>1650</v>
      </c>
    </row>
    <row r="967" spans="1:14" x14ac:dyDescent="0.25">
      <c r="A967">
        <v>738.755357</v>
      </c>
      <c r="B967" s="1">
        <f>DATE(2012,5,8) + TIME(18,7,42)</f>
        <v>41037.755347222221</v>
      </c>
      <c r="C967">
        <v>80</v>
      </c>
      <c r="D967">
        <v>79.916084290000001</v>
      </c>
      <c r="E967">
        <v>40</v>
      </c>
      <c r="F967">
        <v>39.409500121999997</v>
      </c>
      <c r="G967">
        <v>1371.5349120999999</v>
      </c>
      <c r="H967">
        <v>1360.6859131000001</v>
      </c>
      <c r="I967">
        <v>1297.6204834</v>
      </c>
      <c r="J967">
        <v>1282.0367432</v>
      </c>
      <c r="K967">
        <v>1650</v>
      </c>
      <c r="L967">
        <v>0</v>
      </c>
      <c r="M967">
        <v>0</v>
      </c>
      <c r="N967">
        <v>1650</v>
      </c>
    </row>
    <row r="968" spans="1:14" x14ac:dyDescent="0.25">
      <c r="A968">
        <v>739.053721</v>
      </c>
      <c r="B968" s="1">
        <f>DATE(2012,5,9) + TIME(1,17,21)</f>
        <v>41038.053715277776</v>
      </c>
      <c r="C968">
        <v>80</v>
      </c>
      <c r="D968">
        <v>79.919113159000005</v>
      </c>
      <c r="E968">
        <v>40</v>
      </c>
      <c r="F968">
        <v>39.391704558999997</v>
      </c>
      <c r="G968">
        <v>1371.4803466999999</v>
      </c>
      <c r="H968">
        <v>1360.6418457</v>
      </c>
      <c r="I968">
        <v>1297.6181641000001</v>
      </c>
      <c r="J968">
        <v>1282.0328368999999</v>
      </c>
      <c r="K968">
        <v>1650</v>
      </c>
      <c r="L968">
        <v>0</v>
      </c>
      <c r="M968">
        <v>0</v>
      </c>
      <c r="N968">
        <v>1650</v>
      </c>
    </row>
    <row r="969" spans="1:14" x14ac:dyDescent="0.25">
      <c r="A969">
        <v>739.36371499999996</v>
      </c>
      <c r="B969" s="1">
        <f>DATE(2012,5,9) + TIME(8,43,45)</f>
        <v>41038.363715277781</v>
      </c>
      <c r="C969">
        <v>80</v>
      </c>
      <c r="D969">
        <v>79.921569824000002</v>
      </c>
      <c r="E969">
        <v>40</v>
      </c>
      <c r="F969">
        <v>39.373321533000002</v>
      </c>
      <c r="G969">
        <v>1371.4255370999999</v>
      </c>
      <c r="H969">
        <v>1360.5975341999999</v>
      </c>
      <c r="I969">
        <v>1297.6156006000001</v>
      </c>
      <c r="J969">
        <v>1282.0288086</v>
      </c>
      <c r="K969">
        <v>1650</v>
      </c>
      <c r="L969">
        <v>0</v>
      </c>
      <c r="M969">
        <v>0</v>
      </c>
      <c r="N969">
        <v>1650</v>
      </c>
    </row>
    <row r="970" spans="1:14" x14ac:dyDescent="0.25">
      <c r="A970">
        <v>739.68303700000001</v>
      </c>
      <c r="B970" s="1">
        <f>DATE(2012,5,9) + TIME(16,23,34)</f>
        <v>41038.683032407411</v>
      </c>
      <c r="C970">
        <v>80</v>
      </c>
      <c r="D970">
        <v>79.923553467000005</v>
      </c>
      <c r="E970">
        <v>40</v>
      </c>
      <c r="F970">
        <v>39.354469299000002</v>
      </c>
      <c r="G970">
        <v>1371.3702393000001</v>
      </c>
      <c r="H970">
        <v>1360.5529785000001</v>
      </c>
      <c r="I970">
        <v>1297.6130370999999</v>
      </c>
      <c r="J970">
        <v>1282.0246582</v>
      </c>
      <c r="K970">
        <v>1650</v>
      </c>
      <c r="L970">
        <v>0</v>
      </c>
      <c r="M970">
        <v>0</v>
      </c>
      <c r="N970">
        <v>1650</v>
      </c>
    </row>
    <row r="971" spans="1:14" x14ac:dyDescent="0.25">
      <c r="A971">
        <v>740.004728</v>
      </c>
      <c r="B971" s="1">
        <f>DATE(2012,5,10) + TIME(0,6,48)</f>
        <v>41039.00472222222</v>
      </c>
      <c r="C971">
        <v>80</v>
      </c>
      <c r="D971">
        <v>79.925125121999997</v>
      </c>
      <c r="E971">
        <v>40</v>
      </c>
      <c r="F971">
        <v>39.335472107000001</v>
      </c>
      <c r="G971">
        <v>1371.3150635</v>
      </c>
      <c r="H971">
        <v>1360.5085449000001</v>
      </c>
      <c r="I971">
        <v>1297.6103516000001</v>
      </c>
      <c r="J971">
        <v>1282.0203856999999</v>
      </c>
      <c r="K971">
        <v>1650</v>
      </c>
      <c r="L971">
        <v>0</v>
      </c>
      <c r="M971">
        <v>0</v>
      </c>
      <c r="N971">
        <v>1650</v>
      </c>
    </row>
    <row r="972" spans="1:14" x14ac:dyDescent="0.25">
      <c r="A972">
        <v>740.32962599999996</v>
      </c>
      <c r="B972" s="1">
        <f>DATE(2012,5,10) + TIME(7,54,39)</f>
        <v>41039.329618055555</v>
      </c>
      <c r="C972">
        <v>80</v>
      </c>
      <c r="D972">
        <v>79.926368713000002</v>
      </c>
      <c r="E972">
        <v>40</v>
      </c>
      <c r="F972">
        <v>39.316307068</v>
      </c>
      <c r="G972">
        <v>1371.2611084</v>
      </c>
      <c r="H972">
        <v>1360.4649658000001</v>
      </c>
      <c r="I972">
        <v>1297.6076660000001</v>
      </c>
      <c r="J972">
        <v>1282.0159911999999</v>
      </c>
      <c r="K972">
        <v>1650</v>
      </c>
      <c r="L972">
        <v>0</v>
      </c>
      <c r="M972">
        <v>0</v>
      </c>
      <c r="N972">
        <v>1650</v>
      </c>
    </row>
    <row r="973" spans="1:14" x14ac:dyDescent="0.25">
      <c r="A973">
        <v>740.65851399999997</v>
      </c>
      <c r="B973" s="1">
        <f>DATE(2012,5,10) + TIME(15,48,15)</f>
        <v>41039.658506944441</v>
      </c>
      <c r="C973">
        <v>80</v>
      </c>
      <c r="D973">
        <v>79.927368164000001</v>
      </c>
      <c r="E973">
        <v>40</v>
      </c>
      <c r="F973">
        <v>39.296958922999998</v>
      </c>
      <c r="G973">
        <v>1371.2081298999999</v>
      </c>
      <c r="H973">
        <v>1360.4223632999999</v>
      </c>
      <c r="I973">
        <v>1297.6048584</v>
      </c>
      <c r="J973">
        <v>1282.0115966999999</v>
      </c>
      <c r="K973">
        <v>1650</v>
      </c>
      <c r="L973">
        <v>0</v>
      </c>
      <c r="M973">
        <v>0</v>
      </c>
      <c r="N973">
        <v>1650</v>
      </c>
    </row>
    <row r="974" spans="1:14" x14ac:dyDescent="0.25">
      <c r="A974">
        <v>740.99222999999995</v>
      </c>
      <c r="B974" s="1">
        <f>DATE(2012,5,10) + TIME(23,48,48)</f>
        <v>41039.992222222223</v>
      </c>
      <c r="C974">
        <v>80</v>
      </c>
      <c r="D974">
        <v>79.928176879999995</v>
      </c>
      <c r="E974">
        <v>40</v>
      </c>
      <c r="F974">
        <v>39.277393341</v>
      </c>
      <c r="G974">
        <v>1371.1558838000001</v>
      </c>
      <c r="H974">
        <v>1360.3803711</v>
      </c>
      <c r="I974">
        <v>1297.6020507999999</v>
      </c>
      <c r="J974">
        <v>1282.0070800999999</v>
      </c>
      <c r="K974">
        <v>1650</v>
      </c>
      <c r="L974">
        <v>0</v>
      </c>
      <c r="M974">
        <v>0</v>
      </c>
      <c r="N974">
        <v>1650</v>
      </c>
    </row>
    <row r="975" spans="1:14" x14ac:dyDescent="0.25">
      <c r="A975">
        <v>741.33162900000002</v>
      </c>
      <c r="B975" s="1">
        <f>DATE(2012,5,11) + TIME(7,57,32)</f>
        <v>41040.331620370373</v>
      </c>
      <c r="C975">
        <v>80</v>
      </c>
      <c r="D975">
        <v>79.928833007999998</v>
      </c>
      <c r="E975">
        <v>40</v>
      </c>
      <c r="F975">
        <v>39.257579802999999</v>
      </c>
      <c r="G975">
        <v>1371.1043701000001</v>
      </c>
      <c r="H975">
        <v>1360.3389893000001</v>
      </c>
      <c r="I975">
        <v>1297.5992432</v>
      </c>
      <c r="J975">
        <v>1282.0025635</v>
      </c>
      <c r="K975">
        <v>1650</v>
      </c>
      <c r="L975">
        <v>0</v>
      </c>
      <c r="M975">
        <v>0</v>
      </c>
      <c r="N975">
        <v>1650</v>
      </c>
    </row>
    <row r="976" spans="1:14" x14ac:dyDescent="0.25">
      <c r="A976">
        <v>741.67760099999998</v>
      </c>
      <c r="B976" s="1">
        <f>DATE(2012,5,11) + TIME(16,15,44)</f>
        <v>41040.67759259259</v>
      </c>
      <c r="C976">
        <v>80</v>
      </c>
      <c r="D976">
        <v>79.929367064999994</v>
      </c>
      <c r="E976">
        <v>40</v>
      </c>
      <c r="F976">
        <v>39.237480163999997</v>
      </c>
      <c r="G976">
        <v>1371.0533447</v>
      </c>
      <c r="H976">
        <v>1360.2980957</v>
      </c>
      <c r="I976">
        <v>1297.5964355000001</v>
      </c>
      <c r="J976">
        <v>1281.9979248</v>
      </c>
      <c r="K976">
        <v>1650</v>
      </c>
      <c r="L976">
        <v>0</v>
      </c>
      <c r="M976">
        <v>0</v>
      </c>
      <c r="N976">
        <v>1650</v>
      </c>
    </row>
    <row r="977" spans="1:14" x14ac:dyDescent="0.25">
      <c r="A977">
        <v>742.02939600000002</v>
      </c>
      <c r="B977" s="1">
        <f>DATE(2012,5,12) + TIME(0,42,19)</f>
        <v>41041.029386574075</v>
      </c>
      <c r="C977">
        <v>80</v>
      </c>
      <c r="D977">
        <v>79.929801940999994</v>
      </c>
      <c r="E977">
        <v>40</v>
      </c>
      <c r="F977">
        <v>39.217128754000001</v>
      </c>
      <c r="G977">
        <v>1371.0026855000001</v>
      </c>
      <c r="H977">
        <v>1360.2574463000001</v>
      </c>
      <c r="I977">
        <v>1297.5933838000001</v>
      </c>
      <c r="J977">
        <v>1281.9931641000001</v>
      </c>
      <c r="K977">
        <v>1650</v>
      </c>
      <c r="L977">
        <v>0</v>
      </c>
      <c r="M977">
        <v>0</v>
      </c>
      <c r="N977">
        <v>1650</v>
      </c>
    </row>
    <row r="978" spans="1:14" x14ac:dyDescent="0.25">
      <c r="A978">
        <v>742.38696500000003</v>
      </c>
      <c r="B978" s="1">
        <f>DATE(2012,5,12) + TIME(9,17,13)</f>
        <v>41041.386956018519</v>
      </c>
      <c r="C978">
        <v>80</v>
      </c>
      <c r="D978">
        <v>79.930152892999999</v>
      </c>
      <c r="E978">
        <v>40</v>
      </c>
      <c r="F978">
        <v>39.196537018000001</v>
      </c>
      <c r="G978">
        <v>1370.9523925999999</v>
      </c>
      <c r="H978">
        <v>1360.2172852000001</v>
      </c>
      <c r="I978">
        <v>1297.5904541</v>
      </c>
      <c r="J978">
        <v>1281.9882812000001</v>
      </c>
      <c r="K978">
        <v>1650</v>
      </c>
      <c r="L978">
        <v>0</v>
      </c>
      <c r="M978">
        <v>0</v>
      </c>
      <c r="N978">
        <v>1650</v>
      </c>
    </row>
    <row r="979" spans="1:14" x14ac:dyDescent="0.25">
      <c r="A979">
        <v>742.75116300000002</v>
      </c>
      <c r="B979" s="1">
        <f>DATE(2012,5,12) + TIME(18,1,40)</f>
        <v>41041.751157407409</v>
      </c>
      <c r="C979">
        <v>80</v>
      </c>
      <c r="D979">
        <v>79.930450438999998</v>
      </c>
      <c r="E979">
        <v>40</v>
      </c>
      <c r="F979">
        <v>39.175662994</v>
      </c>
      <c r="G979">
        <v>1370.9025879000001</v>
      </c>
      <c r="H979">
        <v>1360.1774902</v>
      </c>
      <c r="I979">
        <v>1297.5874022999999</v>
      </c>
      <c r="J979">
        <v>1281.9833983999999</v>
      </c>
      <c r="K979">
        <v>1650</v>
      </c>
      <c r="L979">
        <v>0</v>
      </c>
      <c r="M979">
        <v>0</v>
      </c>
      <c r="N979">
        <v>1650</v>
      </c>
    </row>
    <row r="980" spans="1:14" x14ac:dyDescent="0.25">
      <c r="A980">
        <v>743.122884</v>
      </c>
      <c r="B980" s="1">
        <f>DATE(2012,5,13) + TIME(2,56,57)</f>
        <v>41042.122881944444</v>
      </c>
      <c r="C980">
        <v>80</v>
      </c>
      <c r="D980">
        <v>79.930686950999998</v>
      </c>
      <c r="E980">
        <v>40</v>
      </c>
      <c r="F980">
        <v>39.154472351000003</v>
      </c>
      <c r="G980">
        <v>1370.8531493999999</v>
      </c>
      <c r="H980">
        <v>1360.1380615</v>
      </c>
      <c r="I980">
        <v>1297.5842285000001</v>
      </c>
      <c r="J980">
        <v>1281.9782714999999</v>
      </c>
      <c r="K980">
        <v>1650</v>
      </c>
      <c r="L980">
        <v>0</v>
      </c>
      <c r="M980">
        <v>0</v>
      </c>
      <c r="N980">
        <v>1650</v>
      </c>
    </row>
    <row r="981" spans="1:14" x14ac:dyDescent="0.25">
      <c r="A981">
        <v>743.50308099999995</v>
      </c>
      <c r="B981" s="1">
        <f>DATE(2012,5,13) + TIME(12,4,26)</f>
        <v>41042.503078703703</v>
      </c>
      <c r="C981">
        <v>80</v>
      </c>
      <c r="D981">
        <v>79.930892943999993</v>
      </c>
      <c r="E981">
        <v>40</v>
      </c>
      <c r="F981">
        <v>39.132926941000001</v>
      </c>
      <c r="G981">
        <v>1370.8039550999999</v>
      </c>
      <c r="H981">
        <v>1360.0987548999999</v>
      </c>
      <c r="I981">
        <v>1297.5810547000001</v>
      </c>
      <c r="J981">
        <v>1281.9731445</v>
      </c>
      <c r="K981">
        <v>1650</v>
      </c>
      <c r="L981">
        <v>0</v>
      </c>
      <c r="M981">
        <v>0</v>
      </c>
      <c r="N981">
        <v>1650</v>
      </c>
    </row>
    <row r="982" spans="1:14" x14ac:dyDescent="0.25">
      <c r="A982">
        <v>743.892788</v>
      </c>
      <c r="B982" s="1">
        <f>DATE(2012,5,13) + TIME(21,25,36)</f>
        <v>41042.892777777779</v>
      </c>
      <c r="C982">
        <v>80</v>
      </c>
      <c r="D982">
        <v>79.931053161999998</v>
      </c>
      <c r="E982">
        <v>40</v>
      </c>
      <c r="F982">
        <v>39.110969543000003</v>
      </c>
      <c r="G982">
        <v>1370.7547606999999</v>
      </c>
      <c r="H982">
        <v>1360.0595702999999</v>
      </c>
      <c r="I982">
        <v>1297.5777588000001</v>
      </c>
      <c r="J982">
        <v>1281.9677733999999</v>
      </c>
      <c r="K982">
        <v>1650</v>
      </c>
      <c r="L982">
        <v>0</v>
      </c>
      <c r="M982">
        <v>0</v>
      </c>
      <c r="N982">
        <v>1650</v>
      </c>
    </row>
    <row r="983" spans="1:14" x14ac:dyDescent="0.25">
      <c r="A983">
        <v>744.29314099999999</v>
      </c>
      <c r="B983" s="1">
        <f>DATE(2012,5,14) + TIME(7,2,7)</f>
        <v>41043.293136574073</v>
      </c>
      <c r="C983">
        <v>80</v>
      </c>
      <c r="D983">
        <v>79.931190490999995</v>
      </c>
      <c r="E983">
        <v>40</v>
      </c>
      <c r="F983">
        <v>39.088562011999997</v>
      </c>
      <c r="G983">
        <v>1370.7055664</v>
      </c>
      <c r="H983">
        <v>1360.0205077999999</v>
      </c>
      <c r="I983">
        <v>1297.5743408000001</v>
      </c>
      <c r="J983">
        <v>1281.9624022999999</v>
      </c>
      <c r="K983">
        <v>1650</v>
      </c>
      <c r="L983">
        <v>0</v>
      </c>
      <c r="M983">
        <v>0</v>
      </c>
      <c r="N983">
        <v>1650</v>
      </c>
    </row>
    <row r="984" spans="1:14" x14ac:dyDescent="0.25">
      <c r="A984">
        <v>744.70539099999996</v>
      </c>
      <c r="B984" s="1">
        <f>DATE(2012,5,14) + TIME(16,55,45)</f>
        <v>41043.705381944441</v>
      </c>
      <c r="C984">
        <v>80</v>
      </c>
      <c r="D984">
        <v>79.931304932000003</v>
      </c>
      <c r="E984">
        <v>40</v>
      </c>
      <c r="F984">
        <v>39.065635681000003</v>
      </c>
      <c r="G984">
        <v>1370.6561279</v>
      </c>
      <c r="H984">
        <v>1359.9813231999999</v>
      </c>
      <c r="I984">
        <v>1297.5708007999999</v>
      </c>
      <c r="J984">
        <v>1281.9567870999999</v>
      </c>
      <c r="K984">
        <v>1650</v>
      </c>
      <c r="L984">
        <v>0</v>
      </c>
      <c r="M984">
        <v>0</v>
      </c>
      <c r="N984">
        <v>1650</v>
      </c>
    </row>
    <row r="985" spans="1:14" x14ac:dyDescent="0.25">
      <c r="A985">
        <v>745.13093300000003</v>
      </c>
      <c r="B985" s="1">
        <f>DATE(2012,5,15) + TIME(3,8,32)</f>
        <v>41044.130925925929</v>
      </c>
      <c r="C985">
        <v>80</v>
      </c>
      <c r="D985">
        <v>79.931396484000004</v>
      </c>
      <c r="E985">
        <v>40</v>
      </c>
      <c r="F985">
        <v>39.042137146000002</v>
      </c>
      <c r="G985">
        <v>1370.6065673999999</v>
      </c>
      <c r="H985">
        <v>1359.9418945</v>
      </c>
      <c r="I985">
        <v>1297.5672606999999</v>
      </c>
      <c r="J985">
        <v>1281.9509277</v>
      </c>
      <c r="K985">
        <v>1650</v>
      </c>
      <c r="L985">
        <v>0</v>
      </c>
      <c r="M985">
        <v>0</v>
      </c>
      <c r="N985">
        <v>1650</v>
      </c>
    </row>
    <row r="986" spans="1:14" x14ac:dyDescent="0.25">
      <c r="A986">
        <v>745.57158200000003</v>
      </c>
      <c r="B986" s="1">
        <f>DATE(2012,5,15) + TIME(13,43,4)</f>
        <v>41044.571574074071</v>
      </c>
      <c r="C986">
        <v>80</v>
      </c>
      <c r="D986">
        <v>79.931472778</v>
      </c>
      <c r="E986">
        <v>40</v>
      </c>
      <c r="F986">
        <v>39.017978667999998</v>
      </c>
      <c r="G986">
        <v>1370.5565185999999</v>
      </c>
      <c r="H986">
        <v>1359.9022216999999</v>
      </c>
      <c r="I986">
        <v>1297.5634766000001</v>
      </c>
      <c r="J986">
        <v>1281.9449463000001</v>
      </c>
      <c r="K986">
        <v>1650</v>
      </c>
      <c r="L986">
        <v>0</v>
      </c>
      <c r="M986">
        <v>0</v>
      </c>
      <c r="N986">
        <v>1650</v>
      </c>
    </row>
    <row r="987" spans="1:14" x14ac:dyDescent="0.25">
      <c r="A987">
        <v>746.02897399999995</v>
      </c>
      <c r="B987" s="1">
        <f>DATE(2012,5,16) + TIME(0,41,43)</f>
        <v>41045.028969907406</v>
      </c>
      <c r="C987">
        <v>80</v>
      </c>
      <c r="D987">
        <v>79.931526184000006</v>
      </c>
      <c r="E987">
        <v>40</v>
      </c>
      <c r="F987">
        <v>38.993087768999999</v>
      </c>
      <c r="G987">
        <v>1370.5058594</v>
      </c>
      <c r="H987">
        <v>1359.8621826000001</v>
      </c>
      <c r="I987">
        <v>1297.5595702999999</v>
      </c>
      <c r="J987">
        <v>1281.9385986</v>
      </c>
      <c r="K987">
        <v>1650</v>
      </c>
      <c r="L987">
        <v>0</v>
      </c>
      <c r="M987">
        <v>0</v>
      </c>
      <c r="N987">
        <v>1650</v>
      </c>
    </row>
    <row r="988" spans="1:14" x14ac:dyDescent="0.25">
      <c r="A988">
        <v>746.50420499999996</v>
      </c>
      <c r="B988" s="1">
        <f>DATE(2012,5,16) + TIME(12,6,3)</f>
        <v>41045.504201388889</v>
      </c>
      <c r="C988">
        <v>80</v>
      </c>
      <c r="D988">
        <v>79.931571959999999</v>
      </c>
      <c r="E988">
        <v>40</v>
      </c>
      <c r="F988">
        <v>38.967414855999998</v>
      </c>
      <c r="G988">
        <v>1370.4545897999999</v>
      </c>
      <c r="H988">
        <v>1359.8215332</v>
      </c>
      <c r="I988">
        <v>1297.5555420000001</v>
      </c>
      <c r="J988">
        <v>1281.9321289</v>
      </c>
      <c r="K988">
        <v>1650</v>
      </c>
      <c r="L988">
        <v>0</v>
      </c>
      <c r="M988">
        <v>0</v>
      </c>
      <c r="N988">
        <v>1650</v>
      </c>
    </row>
    <row r="989" spans="1:14" x14ac:dyDescent="0.25">
      <c r="A989">
        <v>746.98986000000002</v>
      </c>
      <c r="B989" s="1">
        <f>DATE(2012,5,16) + TIME(23,45,23)</f>
        <v>41045.989849537036</v>
      </c>
      <c r="C989">
        <v>80</v>
      </c>
      <c r="D989">
        <v>79.931610106999997</v>
      </c>
      <c r="E989">
        <v>40</v>
      </c>
      <c r="F989">
        <v>38.941230773999997</v>
      </c>
      <c r="G989">
        <v>1370.4025879000001</v>
      </c>
      <c r="H989">
        <v>1359.7803954999999</v>
      </c>
      <c r="I989">
        <v>1297.5512695</v>
      </c>
      <c r="J989">
        <v>1281.925293</v>
      </c>
      <c r="K989">
        <v>1650</v>
      </c>
      <c r="L989">
        <v>0</v>
      </c>
      <c r="M989">
        <v>0</v>
      </c>
      <c r="N989">
        <v>1650</v>
      </c>
    </row>
    <row r="990" spans="1:14" x14ac:dyDescent="0.25">
      <c r="A990">
        <v>747.48443499999996</v>
      </c>
      <c r="B990" s="1">
        <f>DATE(2012,5,17) + TIME(11,37,35)</f>
        <v>41046.484432870369</v>
      </c>
      <c r="C990">
        <v>80</v>
      </c>
      <c r="D990">
        <v>79.931632996000005</v>
      </c>
      <c r="E990">
        <v>40</v>
      </c>
      <c r="F990">
        <v>38.914619446000003</v>
      </c>
      <c r="G990">
        <v>1370.3507079999999</v>
      </c>
      <c r="H990">
        <v>1359.7393798999999</v>
      </c>
      <c r="I990">
        <v>1297.546875</v>
      </c>
      <c r="J990">
        <v>1281.9183350000001</v>
      </c>
      <c r="K990">
        <v>1650</v>
      </c>
      <c r="L990">
        <v>0</v>
      </c>
      <c r="M990">
        <v>0</v>
      </c>
      <c r="N990">
        <v>1650</v>
      </c>
    </row>
    <row r="991" spans="1:14" x14ac:dyDescent="0.25">
      <c r="A991">
        <v>747.98305900000003</v>
      </c>
      <c r="B991" s="1">
        <f>DATE(2012,5,17) + TIME(23,35,36)</f>
        <v>41046.983055555553</v>
      </c>
      <c r="C991">
        <v>80</v>
      </c>
      <c r="D991">
        <v>79.931640625</v>
      </c>
      <c r="E991">
        <v>40</v>
      </c>
      <c r="F991">
        <v>38.887786865000002</v>
      </c>
      <c r="G991">
        <v>1370.2989502</v>
      </c>
      <c r="H991">
        <v>1359.6986084</v>
      </c>
      <c r="I991">
        <v>1297.5423584</v>
      </c>
      <c r="J991">
        <v>1281.9111327999999</v>
      </c>
      <c r="K991">
        <v>1650</v>
      </c>
      <c r="L991">
        <v>0</v>
      </c>
      <c r="M991">
        <v>0</v>
      </c>
      <c r="N991">
        <v>1650</v>
      </c>
    </row>
    <row r="992" spans="1:14" x14ac:dyDescent="0.25">
      <c r="A992">
        <v>748.48713199999997</v>
      </c>
      <c r="B992" s="1">
        <f>DATE(2012,5,18) + TIME(11,41,28)</f>
        <v>41047.487129629626</v>
      </c>
      <c r="C992">
        <v>80</v>
      </c>
      <c r="D992">
        <v>79.931648253999995</v>
      </c>
      <c r="E992">
        <v>40</v>
      </c>
      <c r="F992">
        <v>38.860717772999998</v>
      </c>
      <c r="G992">
        <v>1370.2481689000001</v>
      </c>
      <c r="H992">
        <v>1359.6584473</v>
      </c>
      <c r="I992">
        <v>1297.5377197</v>
      </c>
      <c r="J992">
        <v>1281.9038086</v>
      </c>
      <c r="K992">
        <v>1650</v>
      </c>
      <c r="L992">
        <v>0</v>
      </c>
      <c r="M992">
        <v>0</v>
      </c>
      <c r="N992">
        <v>1650</v>
      </c>
    </row>
    <row r="993" spans="1:14" x14ac:dyDescent="0.25">
      <c r="A993">
        <v>748.99802799999998</v>
      </c>
      <c r="B993" s="1">
        <f>DATE(2012,5,18) + TIME(23,57,9)</f>
        <v>41047.998020833336</v>
      </c>
      <c r="C993">
        <v>80</v>
      </c>
      <c r="D993">
        <v>79.931648253999995</v>
      </c>
      <c r="E993">
        <v>40</v>
      </c>
      <c r="F993">
        <v>38.833381653000004</v>
      </c>
      <c r="G993">
        <v>1370.197876</v>
      </c>
      <c r="H993">
        <v>1359.6188964999999</v>
      </c>
      <c r="I993">
        <v>1297.5330810999999</v>
      </c>
      <c r="J993">
        <v>1281.8964844</v>
      </c>
      <c r="K993">
        <v>1650</v>
      </c>
      <c r="L993">
        <v>0</v>
      </c>
      <c r="M993">
        <v>0</v>
      </c>
      <c r="N993">
        <v>1650</v>
      </c>
    </row>
    <row r="994" spans="1:14" x14ac:dyDescent="0.25">
      <c r="A994">
        <v>749.51669500000003</v>
      </c>
      <c r="B994" s="1">
        <f>DATE(2012,5,19) + TIME(12,24,2)</f>
        <v>41048.516689814816</v>
      </c>
      <c r="C994">
        <v>80</v>
      </c>
      <c r="D994">
        <v>79.931640625</v>
      </c>
      <c r="E994">
        <v>40</v>
      </c>
      <c r="F994">
        <v>38.805751801</v>
      </c>
      <c r="G994">
        <v>1370.1480713000001</v>
      </c>
      <c r="H994">
        <v>1359.5795897999999</v>
      </c>
      <c r="I994">
        <v>1297.5283202999999</v>
      </c>
      <c r="J994">
        <v>1281.8889160000001</v>
      </c>
      <c r="K994">
        <v>1650</v>
      </c>
      <c r="L994">
        <v>0</v>
      </c>
      <c r="M994">
        <v>0</v>
      </c>
      <c r="N994">
        <v>1650</v>
      </c>
    </row>
    <row r="995" spans="1:14" x14ac:dyDescent="0.25">
      <c r="A995">
        <v>750.04279799999995</v>
      </c>
      <c r="B995" s="1">
        <f>DATE(2012,5,20) + TIME(1,1,37)</f>
        <v>41049.04278935185</v>
      </c>
      <c r="C995">
        <v>80</v>
      </c>
      <c r="D995">
        <v>79.931632996000005</v>
      </c>
      <c r="E995">
        <v>40</v>
      </c>
      <c r="F995">
        <v>38.777851105000003</v>
      </c>
      <c r="G995">
        <v>1370.0985106999999</v>
      </c>
      <c r="H995">
        <v>1359.5406493999999</v>
      </c>
      <c r="I995">
        <v>1297.5235596</v>
      </c>
      <c r="J995">
        <v>1281.8811035000001</v>
      </c>
      <c r="K995">
        <v>1650</v>
      </c>
      <c r="L995">
        <v>0</v>
      </c>
      <c r="M995">
        <v>0</v>
      </c>
      <c r="N995">
        <v>1650</v>
      </c>
    </row>
    <row r="996" spans="1:14" x14ac:dyDescent="0.25">
      <c r="A996">
        <v>750.57768399999998</v>
      </c>
      <c r="B996" s="1">
        <f>DATE(2012,5,20) + TIME(13,51,51)</f>
        <v>41049.577673611115</v>
      </c>
      <c r="C996">
        <v>80</v>
      </c>
      <c r="D996">
        <v>79.931617736999996</v>
      </c>
      <c r="E996">
        <v>40</v>
      </c>
      <c r="F996">
        <v>38.749626159999998</v>
      </c>
      <c r="G996">
        <v>1370.0494385</v>
      </c>
      <c r="H996">
        <v>1359.5020752</v>
      </c>
      <c r="I996">
        <v>1297.5185547000001</v>
      </c>
      <c r="J996">
        <v>1281.8731689000001</v>
      </c>
      <c r="K996">
        <v>1650</v>
      </c>
      <c r="L996">
        <v>0</v>
      </c>
      <c r="M996">
        <v>0</v>
      </c>
      <c r="N996">
        <v>1650</v>
      </c>
    </row>
    <row r="997" spans="1:14" x14ac:dyDescent="0.25">
      <c r="A997">
        <v>751.122749</v>
      </c>
      <c r="B997" s="1">
        <f>DATE(2012,5,21) + TIME(2,56,45)</f>
        <v>41050.122743055559</v>
      </c>
      <c r="C997">
        <v>80</v>
      </c>
      <c r="D997">
        <v>79.931602478000002</v>
      </c>
      <c r="E997">
        <v>40</v>
      </c>
      <c r="F997">
        <v>38.721027374000002</v>
      </c>
      <c r="G997">
        <v>1370.0004882999999</v>
      </c>
      <c r="H997">
        <v>1359.4636230000001</v>
      </c>
      <c r="I997">
        <v>1297.5135498</v>
      </c>
      <c r="J997">
        <v>1281.8651123</v>
      </c>
      <c r="K997">
        <v>1650</v>
      </c>
      <c r="L997">
        <v>0</v>
      </c>
      <c r="M997">
        <v>0</v>
      </c>
      <c r="N997">
        <v>1650</v>
      </c>
    </row>
    <row r="998" spans="1:14" x14ac:dyDescent="0.25">
      <c r="A998">
        <v>751.67947300000003</v>
      </c>
      <c r="B998" s="1">
        <f>DATE(2012,5,21) + TIME(16,18,26)</f>
        <v>41050.679467592592</v>
      </c>
      <c r="C998">
        <v>80</v>
      </c>
      <c r="D998">
        <v>79.931579589999998</v>
      </c>
      <c r="E998">
        <v>40</v>
      </c>
      <c r="F998">
        <v>38.691997528000002</v>
      </c>
      <c r="G998">
        <v>1369.9517822</v>
      </c>
      <c r="H998">
        <v>1359.425293</v>
      </c>
      <c r="I998">
        <v>1297.5083007999999</v>
      </c>
      <c r="J998">
        <v>1281.8568115</v>
      </c>
      <c r="K998">
        <v>1650</v>
      </c>
      <c r="L998">
        <v>0</v>
      </c>
      <c r="M998">
        <v>0</v>
      </c>
      <c r="N998">
        <v>1650</v>
      </c>
    </row>
    <row r="999" spans="1:14" x14ac:dyDescent="0.25">
      <c r="A999">
        <v>752.24667399999998</v>
      </c>
      <c r="B999" s="1">
        <f>DATE(2012,5,22) + TIME(5,55,12)</f>
        <v>41051.246666666666</v>
      </c>
      <c r="C999">
        <v>80</v>
      </c>
      <c r="D999">
        <v>79.931564331000004</v>
      </c>
      <c r="E999">
        <v>40</v>
      </c>
      <c r="F999">
        <v>38.662567138999997</v>
      </c>
      <c r="G999">
        <v>1369.9029541</v>
      </c>
      <c r="H999">
        <v>1359.3869629000001</v>
      </c>
      <c r="I999">
        <v>1297.5030518000001</v>
      </c>
      <c r="J999">
        <v>1281.8482666</v>
      </c>
      <c r="K999">
        <v>1650</v>
      </c>
      <c r="L999">
        <v>0</v>
      </c>
      <c r="M999">
        <v>0</v>
      </c>
      <c r="N999">
        <v>1650</v>
      </c>
    </row>
    <row r="1000" spans="1:14" x14ac:dyDescent="0.25">
      <c r="A1000">
        <v>752.82593199999997</v>
      </c>
      <c r="B1000" s="1">
        <f>DATE(2012,5,22) + TIME(19,49,20)</f>
        <v>41051.825925925928</v>
      </c>
      <c r="C1000">
        <v>80</v>
      </c>
      <c r="D1000">
        <v>79.931541443</v>
      </c>
      <c r="E1000">
        <v>40</v>
      </c>
      <c r="F1000">
        <v>38.632682799999998</v>
      </c>
      <c r="G1000">
        <v>1369.8542480000001</v>
      </c>
      <c r="H1000">
        <v>1359.3487548999999</v>
      </c>
      <c r="I1000">
        <v>1297.4975586</v>
      </c>
      <c r="J1000">
        <v>1281.8394774999999</v>
      </c>
      <c r="K1000">
        <v>1650</v>
      </c>
      <c r="L1000">
        <v>0</v>
      </c>
      <c r="M1000">
        <v>0</v>
      </c>
      <c r="N1000">
        <v>1650</v>
      </c>
    </row>
    <row r="1001" spans="1:14" x14ac:dyDescent="0.25">
      <c r="A1001">
        <v>753.41893000000005</v>
      </c>
      <c r="B1001" s="1">
        <f>DATE(2012,5,23) + TIME(10,3,15)</f>
        <v>41052.418923611112</v>
      </c>
      <c r="C1001">
        <v>80</v>
      </c>
      <c r="D1001">
        <v>79.931518554999997</v>
      </c>
      <c r="E1001">
        <v>40</v>
      </c>
      <c r="F1001">
        <v>38.602272034000002</v>
      </c>
      <c r="G1001">
        <v>1369.8055420000001</v>
      </c>
      <c r="H1001">
        <v>1359.3104248</v>
      </c>
      <c r="I1001">
        <v>1297.4919434000001</v>
      </c>
      <c r="J1001">
        <v>1281.8304443</v>
      </c>
      <c r="K1001">
        <v>1650</v>
      </c>
      <c r="L1001">
        <v>0</v>
      </c>
      <c r="M1001">
        <v>0</v>
      </c>
      <c r="N1001">
        <v>1650</v>
      </c>
    </row>
    <row r="1002" spans="1:14" x14ac:dyDescent="0.25">
      <c r="A1002">
        <v>754.02524300000005</v>
      </c>
      <c r="B1002" s="1">
        <f>DATE(2012,5,24) + TIME(0,36,21)</f>
        <v>41053.025243055556</v>
      </c>
      <c r="C1002">
        <v>80</v>
      </c>
      <c r="D1002">
        <v>79.931488036999994</v>
      </c>
      <c r="E1002">
        <v>40</v>
      </c>
      <c r="F1002">
        <v>38.571346282999997</v>
      </c>
      <c r="G1002">
        <v>1369.7567139</v>
      </c>
      <c r="H1002">
        <v>1359.2720947</v>
      </c>
      <c r="I1002">
        <v>1297.4860839999999</v>
      </c>
      <c r="J1002">
        <v>1281.8210449000001</v>
      </c>
      <c r="K1002">
        <v>1650</v>
      </c>
      <c r="L1002">
        <v>0</v>
      </c>
      <c r="M1002">
        <v>0</v>
      </c>
      <c r="N1002">
        <v>1650</v>
      </c>
    </row>
    <row r="1003" spans="1:14" x14ac:dyDescent="0.25">
      <c r="A1003">
        <v>754.64604999999995</v>
      </c>
      <c r="B1003" s="1">
        <f>DATE(2012,5,24) + TIME(15,30,18)</f>
        <v>41053.646041666667</v>
      </c>
      <c r="C1003">
        <v>80</v>
      </c>
      <c r="D1003">
        <v>79.931465149000005</v>
      </c>
      <c r="E1003">
        <v>40</v>
      </c>
      <c r="F1003">
        <v>38.539855957</v>
      </c>
      <c r="G1003">
        <v>1369.7077637</v>
      </c>
      <c r="H1003">
        <v>1359.2337646000001</v>
      </c>
      <c r="I1003">
        <v>1297.4801024999999</v>
      </c>
      <c r="J1003">
        <v>1281.8114014</v>
      </c>
      <c r="K1003">
        <v>1650</v>
      </c>
      <c r="L1003">
        <v>0</v>
      </c>
      <c r="M1003">
        <v>0</v>
      </c>
      <c r="N1003">
        <v>1650</v>
      </c>
    </row>
    <row r="1004" spans="1:14" x14ac:dyDescent="0.25">
      <c r="A1004">
        <v>755.28321600000004</v>
      </c>
      <c r="B1004" s="1">
        <f>DATE(2012,5,25) + TIME(6,47,49)</f>
        <v>41054.283206018517</v>
      </c>
      <c r="C1004">
        <v>80</v>
      </c>
      <c r="D1004">
        <v>79.931434631000002</v>
      </c>
      <c r="E1004">
        <v>40</v>
      </c>
      <c r="F1004">
        <v>38.507728577000002</v>
      </c>
      <c r="G1004">
        <v>1369.6586914</v>
      </c>
      <c r="H1004">
        <v>1359.1951904</v>
      </c>
      <c r="I1004">
        <v>1297.4738769999999</v>
      </c>
      <c r="J1004">
        <v>1281.8013916</v>
      </c>
      <c r="K1004">
        <v>1650</v>
      </c>
      <c r="L1004">
        <v>0</v>
      </c>
      <c r="M1004">
        <v>0</v>
      </c>
      <c r="N1004">
        <v>1650</v>
      </c>
    </row>
    <row r="1005" spans="1:14" x14ac:dyDescent="0.25">
      <c r="A1005">
        <v>755.93879100000004</v>
      </c>
      <c r="B1005" s="1">
        <f>DATE(2012,5,25) + TIME(22,31,51)</f>
        <v>41054.938784722224</v>
      </c>
      <c r="C1005">
        <v>80</v>
      </c>
      <c r="D1005">
        <v>79.931411742999998</v>
      </c>
      <c r="E1005">
        <v>40</v>
      </c>
      <c r="F1005">
        <v>38.474887848000002</v>
      </c>
      <c r="G1005">
        <v>1369.609375</v>
      </c>
      <c r="H1005">
        <v>1359.1564940999999</v>
      </c>
      <c r="I1005">
        <v>1297.4675293</v>
      </c>
      <c r="J1005">
        <v>1281.7911377</v>
      </c>
      <c r="K1005">
        <v>1650</v>
      </c>
      <c r="L1005">
        <v>0</v>
      </c>
      <c r="M1005">
        <v>0</v>
      </c>
      <c r="N1005">
        <v>1650</v>
      </c>
    </row>
    <row r="1006" spans="1:14" x14ac:dyDescent="0.25">
      <c r="A1006">
        <v>756.60139100000004</v>
      </c>
      <c r="B1006" s="1">
        <f>DATE(2012,5,26) + TIME(14,26,0)</f>
        <v>41055.601388888892</v>
      </c>
      <c r="C1006">
        <v>80</v>
      </c>
      <c r="D1006">
        <v>79.931381225999999</v>
      </c>
      <c r="E1006">
        <v>40</v>
      </c>
      <c r="F1006">
        <v>38.441688538000001</v>
      </c>
      <c r="G1006">
        <v>1369.5594481999999</v>
      </c>
      <c r="H1006">
        <v>1359.1174315999999</v>
      </c>
      <c r="I1006">
        <v>1297.4608154</v>
      </c>
      <c r="J1006">
        <v>1281.7803954999999</v>
      </c>
      <c r="K1006">
        <v>1650</v>
      </c>
      <c r="L1006">
        <v>0</v>
      </c>
      <c r="M1006">
        <v>0</v>
      </c>
      <c r="N1006">
        <v>1650</v>
      </c>
    </row>
    <row r="1007" spans="1:14" x14ac:dyDescent="0.25">
      <c r="A1007">
        <v>757.26729399999999</v>
      </c>
      <c r="B1007" s="1">
        <f>DATE(2012,5,27) + TIME(6,24,54)</f>
        <v>41056.267291666663</v>
      </c>
      <c r="C1007">
        <v>80</v>
      </c>
      <c r="D1007">
        <v>79.931358337000006</v>
      </c>
      <c r="E1007">
        <v>40</v>
      </c>
      <c r="F1007">
        <v>38.408298492</v>
      </c>
      <c r="G1007">
        <v>1369.5101318</v>
      </c>
      <c r="H1007">
        <v>1359.0787353999999</v>
      </c>
      <c r="I1007">
        <v>1297.4539795000001</v>
      </c>
      <c r="J1007">
        <v>1281.7694091999999</v>
      </c>
      <c r="K1007">
        <v>1650</v>
      </c>
      <c r="L1007">
        <v>0</v>
      </c>
      <c r="M1007">
        <v>0</v>
      </c>
      <c r="N1007">
        <v>1650</v>
      </c>
    </row>
    <row r="1008" spans="1:14" x14ac:dyDescent="0.25">
      <c r="A1008">
        <v>757.93797199999995</v>
      </c>
      <c r="B1008" s="1">
        <f>DATE(2012,5,27) + TIME(22,30,40)</f>
        <v>41056.937962962962</v>
      </c>
      <c r="C1008">
        <v>80</v>
      </c>
      <c r="D1008">
        <v>79.931327820000007</v>
      </c>
      <c r="E1008">
        <v>40</v>
      </c>
      <c r="F1008">
        <v>38.374729156000001</v>
      </c>
      <c r="G1008">
        <v>1369.4615478999999</v>
      </c>
      <c r="H1008">
        <v>1359.0406493999999</v>
      </c>
      <c r="I1008">
        <v>1297.4470214999999</v>
      </c>
      <c r="J1008">
        <v>1281.7583007999999</v>
      </c>
      <c r="K1008">
        <v>1650</v>
      </c>
      <c r="L1008">
        <v>0</v>
      </c>
      <c r="M1008">
        <v>0</v>
      </c>
      <c r="N1008">
        <v>1650</v>
      </c>
    </row>
    <row r="1009" spans="1:14" x14ac:dyDescent="0.25">
      <c r="A1009">
        <v>758.61512300000004</v>
      </c>
      <c r="B1009" s="1">
        <f>DATE(2012,5,28) + TIME(14,45,46)</f>
        <v>41057.615115740744</v>
      </c>
      <c r="C1009">
        <v>80</v>
      </c>
      <c r="D1009">
        <v>79.931304932000003</v>
      </c>
      <c r="E1009">
        <v>40</v>
      </c>
      <c r="F1009">
        <v>38.340957641999999</v>
      </c>
      <c r="G1009">
        <v>1369.4134521000001</v>
      </c>
      <c r="H1009">
        <v>1359.0030518000001</v>
      </c>
      <c r="I1009">
        <v>1297.4400635</v>
      </c>
      <c r="J1009">
        <v>1281.7469481999999</v>
      </c>
      <c r="K1009">
        <v>1650</v>
      </c>
      <c r="L1009">
        <v>0</v>
      </c>
      <c r="M1009">
        <v>0</v>
      </c>
      <c r="N1009">
        <v>1650</v>
      </c>
    </row>
    <row r="1010" spans="1:14" x14ac:dyDescent="0.25">
      <c r="A1010">
        <v>759.30045700000005</v>
      </c>
      <c r="B1010" s="1">
        <f>DATE(2012,5,29) + TIME(7,12,39)</f>
        <v>41058.300451388888</v>
      </c>
      <c r="C1010">
        <v>80</v>
      </c>
      <c r="D1010">
        <v>79.931274414000001</v>
      </c>
      <c r="E1010">
        <v>40</v>
      </c>
      <c r="F1010">
        <v>38.306930542000003</v>
      </c>
      <c r="G1010">
        <v>1369.3658447</v>
      </c>
      <c r="H1010">
        <v>1358.9656981999999</v>
      </c>
      <c r="I1010">
        <v>1297.4328613</v>
      </c>
      <c r="J1010">
        <v>1281.7352295000001</v>
      </c>
      <c r="K1010">
        <v>1650</v>
      </c>
      <c r="L1010">
        <v>0</v>
      </c>
      <c r="M1010">
        <v>0</v>
      </c>
      <c r="N1010">
        <v>1650</v>
      </c>
    </row>
    <row r="1011" spans="1:14" x14ac:dyDescent="0.25">
      <c r="A1011">
        <v>759.99572999999998</v>
      </c>
      <c r="B1011" s="1">
        <f>DATE(2012,5,29) + TIME(23,53,51)</f>
        <v>41058.995729166665</v>
      </c>
      <c r="C1011">
        <v>80</v>
      </c>
      <c r="D1011">
        <v>79.931251525999997</v>
      </c>
      <c r="E1011">
        <v>40</v>
      </c>
      <c r="F1011">
        <v>38.272590637</v>
      </c>
      <c r="G1011">
        <v>1369.3186035000001</v>
      </c>
      <c r="H1011">
        <v>1358.9285889</v>
      </c>
      <c r="I1011">
        <v>1297.4255370999999</v>
      </c>
      <c r="J1011">
        <v>1281.7233887</v>
      </c>
      <c r="K1011">
        <v>1650</v>
      </c>
      <c r="L1011">
        <v>0</v>
      </c>
      <c r="M1011">
        <v>0</v>
      </c>
      <c r="N1011">
        <v>1650</v>
      </c>
    </row>
    <row r="1012" spans="1:14" x14ac:dyDescent="0.25">
      <c r="A1012">
        <v>760.702766</v>
      </c>
      <c r="B1012" s="1">
        <f>DATE(2012,5,30) + TIME(16,51,59)</f>
        <v>41059.702766203707</v>
      </c>
      <c r="C1012">
        <v>80</v>
      </c>
      <c r="D1012">
        <v>79.931228637999993</v>
      </c>
      <c r="E1012">
        <v>40</v>
      </c>
      <c r="F1012">
        <v>38.237865448000001</v>
      </c>
      <c r="G1012">
        <v>1369.2714844</v>
      </c>
      <c r="H1012">
        <v>1358.8917236</v>
      </c>
      <c r="I1012">
        <v>1297.4180908000001</v>
      </c>
      <c r="J1012">
        <v>1281.7110596</v>
      </c>
      <c r="K1012">
        <v>1650</v>
      </c>
      <c r="L1012">
        <v>0</v>
      </c>
      <c r="M1012">
        <v>0</v>
      </c>
      <c r="N1012">
        <v>1650</v>
      </c>
    </row>
    <row r="1013" spans="1:14" x14ac:dyDescent="0.25">
      <c r="A1013">
        <v>761.42350999999996</v>
      </c>
      <c r="B1013" s="1">
        <f>DATE(2012,5,31) + TIME(10,9,51)</f>
        <v>41060.423506944448</v>
      </c>
      <c r="C1013">
        <v>80</v>
      </c>
      <c r="D1013">
        <v>79.931205750000004</v>
      </c>
      <c r="E1013">
        <v>40</v>
      </c>
      <c r="F1013">
        <v>38.202678679999998</v>
      </c>
      <c r="G1013">
        <v>1369.2244873</v>
      </c>
      <c r="H1013">
        <v>1358.8548584</v>
      </c>
      <c r="I1013">
        <v>1297.4104004000001</v>
      </c>
      <c r="J1013">
        <v>1281.6984863</v>
      </c>
      <c r="K1013">
        <v>1650</v>
      </c>
      <c r="L1013">
        <v>0</v>
      </c>
      <c r="M1013">
        <v>0</v>
      </c>
      <c r="N1013">
        <v>1650</v>
      </c>
    </row>
    <row r="1014" spans="1:14" x14ac:dyDescent="0.25">
      <c r="A1014">
        <v>762</v>
      </c>
      <c r="B1014" s="1">
        <f>DATE(2012,6,1) + TIME(0,0,0)</f>
        <v>41061</v>
      </c>
      <c r="C1014">
        <v>80</v>
      </c>
      <c r="D1014">
        <v>79.931175232000001</v>
      </c>
      <c r="E1014">
        <v>40</v>
      </c>
      <c r="F1014">
        <v>38.172279357999997</v>
      </c>
      <c r="G1014">
        <v>1369.1772461</v>
      </c>
      <c r="H1014">
        <v>1358.8178711</v>
      </c>
      <c r="I1014">
        <v>1297.4018555</v>
      </c>
      <c r="J1014">
        <v>1281.6860352000001</v>
      </c>
      <c r="K1014">
        <v>1650</v>
      </c>
      <c r="L1014">
        <v>0</v>
      </c>
      <c r="M1014">
        <v>0</v>
      </c>
      <c r="N1014">
        <v>1650</v>
      </c>
    </row>
    <row r="1015" spans="1:14" x14ac:dyDescent="0.25">
      <c r="A1015">
        <v>762.736536</v>
      </c>
      <c r="B1015" s="1">
        <f>DATE(2012,6,1) + TIME(17,40,36)</f>
        <v>41061.736527777779</v>
      </c>
      <c r="C1015">
        <v>80</v>
      </c>
      <c r="D1015">
        <v>79.931159973000007</v>
      </c>
      <c r="E1015">
        <v>40</v>
      </c>
      <c r="F1015">
        <v>38.137348175</v>
      </c>
      <c r="G1015">
        <v>1369.1402588000001</v>
      </c>
      <c r="H1015">
        <v>1358.7888184000001</v>
      </c>
      <c r="I1015">
        <v>1297.3959961</v>
      </c>
      <c r="J1015">
        <v>1281.6748047000001</v>
      </c>
      <c r="K1015">
        <v>1650</v>
      </c>
      <c r="L1015">
        <v>0</v>
      </c>
      <c r="M1015">
        <v>0</v>
      </c>
      <c r="N1015">
        <v>1650</v>
      </c>
    </row>
    <row r="1016" spans="1:14" x14ac:dyDescent="0.25">
      <c r="A1016">
        <v>763.50707</v>
      </c>
      <c r="B1016" s="1">
        <f>DATE(2012,6,2) + TIME(12,10,10)</f>
        <v>41062.507060185184</v>
      </c>
      <c r="C1016">
        <v>80</v>
      </c>
      <c r="D1016">
        <v>79.931137085000003</v>
      </c>
      <c r="E1016">
        <v>40</v>
      </c>
      <c r="F1016">
        <v>38.101047516000001</v>
      </c>
      <c r="G1016">
        <v>1369.09375</v>
      </c>
      <c r="H1016">
        <v>1358.7523193</v>
      </c>
      <c r="I1016">
        <v>1297.3878173999999</v>
      </c>
      <c r="J1016">
        <v>1281.6611327999999</v>
      </c>
      <c r="K1016">
        <v>1650</v>
      </c>
      <c r="L1016">
        <v>0</v>
      </c>
      <c r="M1016">
        <v>0</v>
      </c>
      <c r="N1016">
        <v>1650</v>
      </c>
    </row>
    <row r="1017" spans="1:14" x14ac:dyDescent="0.25">
      <c r="A1017">
        <v>764.29387799999995</v>
      </c>
      <c r="B1017" s="1">
        <f>DATE(2012,6,3) + TIME(7,3,11)</f>
        <v>41063.293877314813</v>
      </c>
      <c r="C1017">
        <v>80</v>
      </c>
      <c r="D1017">
        <v>79.931114196999999</v>
      </c>
      <c r="E1017">
        <v>40</v>
      </c>
      <c r="F1017">
        <v>38.063846587999997</v>
      </c>
      <c r="G1017">
        <v>1369.0457764</v>
      </c>
      <c r="H1017">
        <v>1358.7147216999999</v>
      </c>
      <c r="I1017">
        <v>1297.3789062000001</v>
      </c>
      <c r="J1017">
        <v>1281.6467285000001</v>
      </c>
      <c r="K1017">
        <v>1650</v>
      </c>
      <c r="L1017">
        <v>0</v>
      </c>
      <c r="M1017">
        <v>0</v>
      </c>
      <c r="N1017">
        <v>1650</v>
      </c>
    </row>
    <row r="1018" spans="1:14" x14ac:dyDescent="0.25">
      <c r="A1018">
        <v>765.09553500000004</v>
      </c>
      <c r="B1018" s="1">
        <f>DATE(2012,6,4) + TIME(2,17,34)</f>
        <v>41064.095532407409</v>
      </c>
      <c r="C1018">
        <v>80</v>
      </c>
      <c r="D1018">
        <v>79.931091308999996</v>
      </c>
      <c r="E1018">
        <v>40</v>
      </c>
      <c r="F1018">
        <v>38.025875092</v>
      </c>
      <c r="G1018">
        <v>1368.9978027</v>
      </c>
      <c r="H1018">
        <v>1358.6770019999999</v>
      </c>
      <c r="I1018">
        <v>1297.3698730000001</v>
      </c>
      <c r="J1018">
        <v>1281.6318358999999</v>
      </c>
      <c r="K1018">
        <v>1650</v>
      </c>
      <c r="L1018">
        <v>0</v>
      </c>
      <c r="M1018">
        <v>0</v>
      </c>
      <c r="N1018">
        <v>1650</v>
      </c>
    </row>
    <row r="1019" spans="1:14" x14ac:dyDescent="0.25">
      <c r="A1019">
        <v>765.91430600000001</v>
      </c>
      <c r="B1019" s="1">
        <f>DATE(2012,6,4) + TIME(21,56,36)</f>
        <v>41064.914305555554</v>
      </c>
      <c r="C1019">
        <v>80</v>
      </c>
      <c r="D1019">
        <v>79.931076050000001</v>
      </c>
      <c r="E1019">
        <v>40</v>
      </c>
      <c r="F1019">
        <v>37.987140656000001</v>
      </c>
      <c r="G1019">
        <v>1368.949707</v>
      </c>
      <c r="H1019">
        <v>1358.6391602000001</v>
      </c>
      <c r="I1019">
        <v>1297.3604736</v>
      </c>
      <c r="J1019">
        <v>1281.6164550999999</v>
      </c>
      <c r="K1019">
        <v>1650</v>
      </c>
      <c r="L1019">
        <v>0</v>
      </c>
      <c r="M1019">
        <v>0</v>
      </c>
      <c r="N1019">
        <v>1650</v>
      </c>
    </row>
    <row r="1020" spans="1:14" x14ac:dyDescent="0.25">
      <c r="A1020">
        <v>766.752612</v>
      </c>
      <c r="B1020" s="1">
        <f>DATE(2012,6,5) + TIME(18,3,45)</f>
        <v>41065.752604166664</v>
      </c>
      <c r="C1020">
        <v>80</v>
      </c>
      <c r="D1020">
        <v>79.931053161999998</v>
      </c>
      <c r="E1020">
        <v>40</v>
      </c>
      <c r="F1020">
        <v>37.947608948000003</v>
      </c>
      <c r="G1020">
        <v>1368.9013672000001</v>
      </c>
      <c r="H1020">
        <v>1358.6013184000001</v>
      </c>
      <c r="I1020">
        <v>1297.3507079999999</v>
      </c>
      <c r="J1020">
        <v>1281.6003418</v>
      </c>
      <c r="K1020">
        <v>1650</v>
      </c>
      <c r="L1020">
        <v>0</v>
      </c>
      <c r="M1020">
        <v>0</v>
      </c>
      <c r="N1020">
        <v>1650</v>
      </c>
    </row>
    <row r="1021" spans="1:14" x14ac:dyDescent="0.25">
      <c r="A1021">
        <v>767.59801900000002</v>
      </c>
      <c r="B1021" s="1">
        <f>DATE(2012,6,6) + TIME(14,21,8)</f>
        <v>41066.598009259258</v>
      </c>
      <c r="C1021">
        <v>80</v>
      </c>
      <c r="D1021">
        <v>79.931037903000004</v>
      </c>
      <c r="E1021">
        <v>40</v>
      </c>
      <c r="F1021">
        <v>37.907630920000003</v>
      </c>
      <c r="G1021">
        <v>1368.8527832</v>
      </c>
      <c r="H1021">
        <v>1358.5631103999999</v>
      </c>
      <c r="I1021">
        <v>1297.3406981999999</v>
      </c>
      <c r="J1021">
        <v>1281.5837402</v>
      </c>
      <c r="K1021">
        <v>1650</v>
      </c>
      <c r="L1021">
        <v>0</v>
      </c>
      <c r="M1021">
        <v>0</v>
      </c>
      <c r="N1021">
        <v>1650</v>
      </c>
    </row>
    <row r="1022" spans="1:14" x14ac:dyDescent="0.25">
      <c r="A1022">
        <v>768.44777499999998</v>
      </c>
      <c r="B1022" s="1">
        <f>DATE(2012,6,7) + TIME(10,44,47)</f>
        <v>41067.447766203702</v>
      </c>
      <c r="C1022">
        <v>80</v>
      </c>
      <c r="D1022">
        <v>79.931015015</v>
      </c>
      <c r="E1022">
        <v>40</v>
      </c>
      <c r="F1022">
        <v>37.867382050000003</v>
      </c>
      <c r="G1022">
        <v>1368.8046875</v>
      </c>
      <c r="H1022">
        <v>1358.5252685999999</v>
      </c>
      <c r="I1022">
        <v>1297.3303223</v>
      </c>
      <c r="J1022">
        <v>1281.5666504000001</v>
      </c>
      <c r="K1022">
        <v>1650</v>
      </c>
      <c r="L1022">
        <v>0</v>
      </c>
      <c r="M1022">
        <v>0</v>
      </c>
      <c r="N1022">
        <v>1650</v>
      </c>
    </row>
    <row r="1023" spans="1:14" x14ac:dyDescent="0.25">
      <c r="A1023">
        <v>769.30408899999998</v>
      </c>
      <c r="B1023" s="1">
        <f>DATE(2012,6,8) + TIME(7,17,53)</f>
        <v>41068.304085648146</v>
      </c>
      <c r="C1023">
        <v>80</v>
      </c>
      <c r="D1023">
        <v>79.930999756000006</v>
      </c>
      <c r="E1023">
        <v>40</v>
      </c>
      <c r="F1023">
        <v>37.826877594000003</v>
      </c>
      <c r="G1023">
        <v>1368.7570800999999</v>
      </c>
      <c r="H1023">
        <v>1358.4879149999999</v>
      </c>
      <c r="I1023">
        <v>1297.3198242000001</v>
      </c>
      <c r="J1023">
        <v>1281.5490723</v>
      </c>
      <c r="K1023">
        <v>1650</v>
      </c>
      <c r="L1023">
        <v>0</v>
      </c>
      <c r="M1023">
        <v>0</v>
      </c>
      <c r="N1023">
        <v>1650</v>
      </c>
    </row>
    <row r="1024" spans="1:14" x14ac:dyDescent="0.25">
      <c r="A1024">
        <v>770.16918599999997</v>
      </c>
      <c r="B1024" s="1">
        <f>DATE(2012,6,9) + TIME(4,3,37)</f>
        <v>41069.169178240743</v>
      </c>
      <c r="C1024">
        <v>80</v>
      </c>
      <c r="D1024">
        <v>79.930984496999997</v>
      </c>
      <c r="E1024">
        <v>40</v>
      </c>
      <c r="F1024">
        <v>37.786083220999998</v>
      </c>
      <c r="G1024">
        <v>1368.7099608999999</v>
      </c>
      <c r="H1024">
        <v>1358.4508057</v>
      </c>
      <c r="I1024">
        <v>1297.309082</v>
      </c>
      <c r="J1024">
        <v>1281.5311279</v>
      </c>
      <c r="K1024">
        <v>1650</v>
      </c>
      <c r="L1024">
        <v>0</v>
      </c>
      <c r="M1024">
        <v>0</v>
      </c>
      <c r="N1024">
        <v>1650</v>
      </c>
    </row>
    <row r="1025" spans="1:14" x14ac:dyDescent="0.25">
      <c r="A1025">
        <v>771.04533100000003</v>
      </c>
      <c r="B1025" s="1">
        <f>DATE(2012,6,10) + TIME(1,5,16)</f>
        <v>41070.045324074075</v>
      </c>
      <c r="C1025">
        <v>80</v>
      </c>
      <c r="D1025">
        <v>79.930969238000003</v>
      </c>
      <c r="E1025">
        <v>40</v>
      </c>
      <c r="F1025">
        <v>37.744937897</v>
      </c>
      <c r="G1025">
        <v>1368.6630858999999</v>
      </c>
      <c r="H1025">
        <v>1358.4139404</v>
      </c>
      <c r="I1025">
        <v>1297.2980957</v>
      </c>
      <c r="J1025">
        <v>1281.5126952999999</v>
      </c>
      <c r="K1025">
        <v>1650</v>
      </c>
      <c r="L1025">
        <v>0</v>
      </c>
      <c r="M1025">
        <v>0</v>
      </c>
      <c r="N1025">
        <v>1650</v>
      </c>
    </row>
    <row r="1026" spans="1:14" x14ac:dyDescent="0.25">
      <c r="A1026">
        <v>771.93486900000005</v>
      </c>
      <c r="B1026" s="1">
        <f>DATE(2012,6,10) + TIME(22,26,12)</f>
        <v>41070.934861111113</v>
      </c>
      <c r="C1026">
        <v>80</v>
      </c>
      <c r="D1026">
        <v>79.930953978999995</v>
      </c>
      <c r="E1026">
        <v>40</v>
      </c>
      <c r="F1026">
        <v>37.703357697000001</v>
      </c>
      <c r="G1026">
        <v>1368.6164550999999</v>
      </c>
      <c r="H1026">
        <v>1358.3771973</v>
      </c>
      <c r="I1026">
        <v>1297.2868652</v>
      </c>
      <c r="J1026">
        <v>1281.4937743999999</v>
      </c>
      <c r="K1026">
        <v>1650</v>
      </c>
      <c r="L1026">
        <v>0</v>
      </c>
      <c r="M1026">
        <v>0</v>
      </c>
      <c r="N1026">
        <v>1650</v>
      </c>
    </row>
    <row r="1027" spans="1:14" x14ac:dyDescent="0.25">
      <c r="A1027">
        <v>772.84027000000003</v>
      </c>
      <c r="B1027" s="1">
        <f>DATE(2012,6,11) + TIME(20,9,59)</f>
        <v>41071.840266203704</v>
      </c>
      <c r="C1027">
        <v>80</v>
      </c>
      <c r="D1027">
        <v>79.930938721000004</v>
      </c>
      <c r="E1027">
        <v>40</v>
      </c>
      <c r="F1027">
        <v>37.661251067999999</v>
      </c>
      <c r="G1027">
        <v>1368.5698242000001</v>
      </c>
      <c r="H1027">
        <v>1358.3404541</v>
      </c>
      <c r="I1027">
        <v>1297.2752685999999</v>
      </c>
      <c r="J1027">
        <v>1281.4741211</v>
      </c>
      <c r="K1027">
        <v>1650</v>
      </c>
      <c r="L1027">
        <v>0</v>
      </c>
      <c r="M1027">
        <v>0</v>
      </c>
      <c r="N1027">
        <v>1650</v>
      </c>
    </row>
    <row r="1028" spans="1:14" x14ac:dyDescent="0.25">
      <c r="A1028">
        <v>773.76416200000006</v>
      </c>
      <c r="B1028" s="1">
        <f>DATE(2012,6,12) + TIME(18,20,23)</f>
        <v>41072.764155092591</v>
      </c>
      <c r="C1028">
        <v>80</v>
      </c>
      <c r="D1028">
        <v>79.930931091000005</v>
      </c>
      <c r="E1028">
        <v>40</v>
      </c>
      <c r="F1028">
        <v>37.618507385000001</v>
      </c>
      <c r="G1028">
        <v>1368.5231934000001</v>
      </c>
      <c r="H1028">
        <v>1358.3035889</v>
      </c>
      <c r="I1028">
        <v>1297.2633057</v>
      </c>
      <c r="J1028">
        <v>1281.4538574000001</v>
      </c>
      <c r="K1028">
        <v>1650</v>
      </c>
      <c r="L1028">
        <v>0</v>
      </c>
      <c r="M1028">
        <v>0</v>
      </c>
      <c r="N1028">
        <v>1650</v>
      </c>
    </row>
    <row r="1029" spans="1:14" x14ac:dyDescent="0.25">
      <c r="A1029">
        <v>774.70939399999997</v>
      </c>
      <c r="B1029" s="1">
        <f>DATE(2012,6,13) + TIME(17,1,31)</f>
        <v>41073.709386574075</v>
      </c>
      <c r="C1029">
        <v>80</v>
      </c>
      <c r="D1029">
        <v>79.930915833</v>
      </c>
      <c r="E1029">
        <v>40</v>
      </c>
      <c r="F1029">
        <v>37.575016022</v>
      </c>
      <c r="G1029">
        <v>1368.4763184000001</v>
      </c>
      <c r="H1029">
        <v>1358.2666016000001</v>
      </c>
      <c r="I1029">
        <v>1297.2508545000001</v>
      </c>
      <c r="J1029">
        <v>1281.4327393000001</v>
      </c>
      <c r="K1029">
        <v>1650</v>
      </c>
      <c r="L1029">
        <v>0</v>
      </c>
      <c r="M1029">
        <v>0</v>
      </c>
      <c r="N1029">
        <v>1650</v>
      </c>
    </row>
    <row r="1030" spans="1:14" x14ac:dyDescent="0.25">
      <c r="A1030">
        <v>775.67810899999995</v>
      </c>
      <c r="B1030" s="1">
        <f>DATE(2012,6,14) + TIME(16,16,28)</f>
        <v>41074.678101851852</v>
      </c>
      <c r="C1030">
        <v>80</v>
      </c>
      <c r="D1030">
        <v>79.930908203000001</v>
      </c>
      <c r="E1030">
        <v>40</v>
      </c>
      <c r="F1030">
        <v>37.530670166</v>
      </c>
      <c r="G1030">
        <v>1368.4290771000001</v>
      </c>
      <c r="H1030">
        <v>1358.2293701000001</v>
      </c>
      <c r="I1030">
        <v>1297.2380370999999</v>
      </c>
      <c r="J1030">
        <v>1281.4108887</v>
      </c>
      <c r="K1030">
        <v>1650</v>
      </c>
      <c r="L1030">
        <v>0</v>
      </c>
      <c r="M1030">
        <v>0</v>
      </c>
      <c r="N1030">
        <v>1650</v>
      </c>
    </row>
    <row r="1031" spans="1:14" x14ac:dyDescent="0.25">
      <c r="A1031">
        <v>776.66681300000005</v>
      </c>
      <c r="B1031" s="1">
        <f>DATE(2012,6,15) + TIME(16,0,12)</f>
        <v>41075.666805555556</v>
      </c>
      <c r="C1031">
        <v>80</v>
      </c>
      <c r="D1031">
        <v>79.930892943999993</v>
      </c>
      <c r="E1031">
        <v>40</v>
      </c>
      <c r="F1031">
        <v>37.485515593999999</v>
      </c>
      <c r="G1031">
        <v>1368.3814697</v>
      </c>
      <c r="H1031">
        <v>1358.1916504000001</v>
      </c>
      <c r="I1031">
        <v>1297.2246094</v>
      </c>
      <c r="J1031">
        <v>1281.3879394999999</v>
      </c>
      <c r="K1031">
        <v>1650</v>
      </c>
      <c r="L1031">
        <v>0</v>
      </c>
      <c r="M1031">
        <v>0</v>
      </c>
      <c r="N1031">
        <v>1650</v>
      </c>
    </row>
    <row r="1032" spans="1:14" x14ac:dyDescent="0.25">
      <c r="A1032">
        <v>777.67855199999997</v>
      </c>
      <c r="B1032" s="1">
        <f>DATE(2012,6,16) + TIME(16,17,6)</f>
        <v>41076.678541666668</v>
      </c>
      <c r="C1032">
        <v>80</v>
      </c>
      <c r="D1032">
        <v>79.930885314999998</v>
      </c>
      <c r="E1032">
        <v>40</v>
      </c>
      <c r="F1032">
        <v>37.439487456999998</v>
      </c>
      <c r="G1032">
        <v>1368.3336182</v>
      </c>
      <c r="H1032">
        <v>1358.1539307</v>
      </c>
      <c r="I1032">
        <v>1297.2108154</v>
      </c>
      <c r="J1032">
        <v>1281.3642577999999</v>
      </c>
      <c r="K1032">
        <v>1650</v>
      </c>
      <c r="L1032">
        <v>0</v>
      </c>
      <c r="M1032">
        <v>0</v>
      </c>
      <c r="N1032">
        <v>1650</v>
      </c>
    </row>
    <row r="1033" spans="1:14" x14ac:dyDescent="0.25">
      <c r="A1033">
        <v>778.71653400000002</v>
      </c>
      <c r="B1033" s="1">
        <f>DATE(2012,6,17) + TIME(17,11,48)</f>
        <v>41077.716527777775</v>
      </c>
      <c r="C1033">
        <v>80</v>
      </c>
      <c r="D1033">
        <v>79.930877686000002</v>
      </c>
      <c r="E1033">
        <v>40</v>
      </c>
      <c r="F1033">
        <v>37.392478943</v>
      </c>
      <c r="G1033">
        <v>1368.2854004000001</v>
      </c>
      <c r="H1033">
        <v>1358.1157227000001</v>
      </c>
      <c r="I1033">
        <v>1297.1964111</v>
      </c>
      <c r="J1033">
        <v>1281.3394774999999</v>
      </c>
      <c r="K1033">
        <v>1650</v>
      </c>
      <c r="L1033">
        <v>0</v>
      </c>
      <c r="M1033">
        <v>0</v>
      </c>
      <c r="N1033">
        <v>1650</v>
      </c>
    </row>
    <row r="1034" spans="1:14" x14ac:dyDescent="0.25">
      <c r="A1034">
        <v>779.76353400000005</v>
      </c>
      <c r="B1034" s="1">
        <f>DATE(2012,6,18) + TIME(18,19,29)</f>
        <v>41078.76353009259</v>
      </c>
      <c r="C1034">
        <v>80</v>
      </c>
      <c r="D1034">
        <v>79.930870056000003</v>
      </c>
      <c r="E1034">
        <v>40</v>
      </c>
      <c r="F1034">
        <v>37.344882964999996</v>
      </c>
      <c r="G1034">
        <v>1368.2368164</v>
      </c>
      <c r="H1034">
        <v>1358.0772704999999</v>
      </c>
      <c r="I1034">
        <v>1297.1813964999999</v>
      </c>
      <c r="J1034">
        <v>1281.3135986</v>
      </c>
      <c r="K1034">
        <v>1650</v>
      </c>
      <c r="L1034">
        <v>0</v>
      </c>
      <c r="M1034">
        <v>0</v>
      </c>
      <c r="N1034">
        <v>1650</v>
      </c>
    </row>
    <row r="1035" spans="1:14" x14ac:dyDescent="0.25">
      <c r="A1035">
        <v>780.81496400000003</v>
      </c>
      <c r="B1035" s="1">
        <f>DATE(2012,6,19) + TIME(19,33,32)</f>
        <v>41079.814953703702</v>
      </c>
      <c r="C1035">
        <v>80</v>
      </c>
      <c r="D1035">
        <v>79.930870056000003</v>
      </c>
      <c r="E1035">
        <v>40</v>
      </c>
      <c r="F1035">
        <v>37.296951294000003</v>
      </c>
      <c r="G1035">
        <v>1368.1884766000001</v>
      </c>
      <c r="H1035">
        <v>1358.0389404</v>
      </c>
      <c r="I1035">
        <v>1297.1658935999999</v>
      </c>
      <c r="J1035">
        <v>1281.2871094</v>
      </c>
      <c r="K1035">
        <v>1650</v>
      </c>
      <c r="L1035">
        <v>0</v>
      </c>
      <c r="M1035">
        <v>0</v>
      </c>
      <c r="N1035">
        <v>1650</v>
      </c>
    </row>
    <row r="1036" spans="1:14" x14ac:dyDescent="0.25">
      <c r="A1036">
        <v>781.87357999999995</v>
      </c>
      <c r="B1036" s="1">
        <f>DATE(2012,6,20) + TIME(20,57,57)</f>
        <v>41080.873576388891</v>
      </c>
      <c r="C1036">
        <v>80</v>
      </c>
      <c r="D1036">
        <v>79.930862426999994</v>
      </c>
      <c r="E1036">
        <v>40</v>
      </c>
      <c r="F1036">
        <v>37.248741150000001</v>
      </c>
      <c r="G1036">
        <v>1368.1407471</v>
      </c>
      <c r="H1036">
        <v>1358.0009766000001</v>
      </c>
      <c r="I1036">
        <v>1297.1502685999999</v>
      </c>
      <c r="J1036">
        <v>1281.2598877</v>
      </c>
      <c r="K1036">
        <v>1650</v>
      </c>
      <c r="L1036">
        <v>0</v>
      </c>
      <c r="M1036">
        <v>0</v>
      </c>
      <c r="N1036">
        <v>1650</v>
      </c>
    </row>
    <row r="1037" spans="1:14" x14ac:dyDescent="0.25">
      <c r="A1037">
        <v>782.94223199999999</v>
      </c>
      <c r="B1037" s="1">
        <f>DATE(2012,6,21) + TIME(22,36,48)</f>
        <v>41081.94222222222</v>
      </c>
      <c r="C1037">
        <v>80</v>
      </c>
      <c r="D1037">
        <v>79.930854796999995</v>
      </c>
      <c r="E1037">
        <v>40</v>
      </c>
      <c r="F1037">
        <v>37.200218200999998</v>
      </c>
      <c r="G1037">
        <v>1368.0932617000001</v>
      </c>
      <c r="H1037">
        <v>1357.9633789</v>
      </c>
      <c r="I1037">
        <v>1297.1342772999999</v>
      </c>
      <c r="J1037">
        <v>1281.2319336</v>
      </c>
      <c r="K1037">
        <v>1650</v>
      </c>
      <c r="L1037">
        <v>0</v>
      </c>
      <c r="M1037">
        <v>0</v>
      </c>
      <c r="N1037">
        <v>1650</v>
      </c>
    </row>
    <row r="1038" spans="1:14" x14ac:dyDescent="0.25">
      <c r="A1038">
        <v>784.02380800000003</v>
      </c>
      <c r="B1038" s="1">
        <f>DATE(2012,6,23) + TIME(0,34,16)</f>
        <v>41083.023796296293</v>
      </c>
      <c r="C1038">
        <v>80</v>
      </c>
      <c r="D1038">
        <v>79.930854796999995</v>
      </c>
      <c r="E1038">
        <v>40</v>
      </c>
      <c r="F1038">
        <v>37.151317595999998</v>
      </c>
      <c r="G1038">
        <v>1368.0462646000001</v>
      </c>
      <c r="H1038">
        <v>1357.9259033000001</v>
      </c>
      <c r="I1038">
        <v>1297.1177978999999</v>
      </c>
      <c r="J1038">
        <v>1281.2032471</v>
      </c>
      <c r="K1038">
        <v>1650</v>
      </c>
      <c r="L1038">
        <v>0</v>
      </c>
      <c r="M1038">
        <v>0</v>
      </c>
      <c r="N1038">
        <v>1650</v>
      </c>
    </row>
    <row r="1039" spans="1:14" x14ac:dyDescent="0.25">
      <c r="A1039">
        <v>785.11688700000002</v>
      </c>
      <c r="B1039" s="1">
        <f>DATE(2012,6,24) + TIME(2,48,19)</f>
        <v>41084.116886574076</v>
      </c>
      <c r="C1039">
        <v>80</v>
      </c>
      <c r="D1039">
        <v>79.930854796999995</v>
      </c>
      <c r="E1039">
        <v>40</v>
      </c>
      <c r="F1039">
        <v>37.102046967</v>
      </c>
      <c r="G1039">
        <v>1367.9992675999999</v>
      </c>
      <c r="H1039">
        <v>1357.8885498</v>
      </c>
      <c r="I1039">
        <v>1297.1009521000001</v>
      </c>
      <c r="J1039">
        <v>1281.1735839999999</v>
      </c>
      <c r="K1039">
        <v>1650</v>
      </c>
      <c r="L1039">
        <v>0</v>
      </c>
      <c r="M1039">
        <v>0</v>
      </c>
      <c r="N1039">
        <v>1650</v>
      </c>
    </row>
    <row r="1040" spans="1:14" x14ac:dyDescent="0.25">
      <c r="A1040">
        <v>786.22261000000003</v>
      </c>
      <c r="B1040" s="1">
        <f>DATE(2012,6,25) + TIME(5,20,33)</f>
        <v>41085.222604166665</v>
      </c>
      <c r="C1040">
        <v>80</v>
      </c>
      <c r="D1040">
        <v>79.930854796999995</v>
      </c>
      <c r="E1040">
        <v>40</v>
      </c>
      <c r="F1040">
        <v>37.052379608000003</v>
      </c>
      <c r="G1040">
        <v>1367.9523925999999</v>
      </c>
      <c r="H1040">
        <v>1357.8513184000001</v>
      </c>
      <c r="I1040">
        <v>1297.0837402</v>
      </c>
      <c r="J1040">
        <v>1281.1431885</v>
      </c>
      <c r="K1040">
        <v>1650</v>
      </c>
      <c r="L1040">
        <v>0</v>
      </c>
      <c r="M1040">
        <v>0</v>
      </c>
      <c r="N1040">
        <v>1650</v>
      </c>
    </row>
    <row r="1041" spans="1:14" x14ac:dyDescent="0.25">
      <c r="A1041">
        <v>787.34381800000006</v>
      </c>
      <c r="B1041" s="1">
        <f>DATE(2012,6,26) + TIME(8,15,5)</f>
        <v>41086.343807870369</v>
      </c>
      <c r="C1041">
        <v>80</v>
      </c>
      <c r="D1041">
        <v>79.930854796999995</v>
      </c>
      <c r="E1041">
        <v>40</v>
      </c>
      <c r="F1041">
        <v>37.002250670999999</v>
      </c>
      <c r="G1041">
        <v>1367.9057617000001</v>
      </c>
      <c r="H1041">
        <v>1357.8140868999999</v>
      </c>
      <c r="I1041">
        <v>1297.0660399999999</v>
      </c>
      <c r="J1041">
        <v>1281.1118164</v>
      </c>
      <c r="K1041">
        <v>1650</v>
      </c>
      <c r="L1041">
        <v>0</v>
      </c>
      <c r="M1041">
        <v>0</v>
      </c>
      <c r="N1041">
        <v>1650</v>
      </c>
    </row>
    <row r="1042" spans="1:14" x14ac:dyDescent="0.25">
      <c r="A1042">
        <v>788.483475</v>
      </c>
      <c r="B1042" s="1">
        <f>DATE(2012,6,27) + TIME(11,36,12)</f>
        <v>41087.483472222222</v>
      </c>
      <c r="C1042">
        <v>80</v>
      </c>
      <c r="D1042">
        <v>79.930854796999995</v>
      </c>
      <c r="E1042">
        <v>40</v>
      </c>
      <c r="F1042">
        <v>36.951557158999996</v>
      </c>
      <c r="G1042">
        <v>1367.8591309000001</v>
      </c>
      <c r="H1042">
        <v>1357.7768555</v>
      </c>
      <c r="I1042">
        <v>1297.0478516000001</v>
      </c>
      <c r="J1042">
        <v>1281.0794678</v>
      </c>
      <c r="K1042">
        <v>1650</v>
      </c>
      <c r="L1042">
        <v>0</v>
      </c>
      <c r="M1042">
        <v>0</v>
      </c>
      <c r="N1042">
        <v>1650</v>
      </c>
    </row>
    <row r="1043" spans="1:14" x14ac:dyDescent="0.25">
      <c r="A1043">
        <v>789.64471700000001</v>
      </c>
      <c r="B1043" s="1">
        <f>DATE(2012,6,28) + TIME(15,28,23)</f>
        <v>41088.64471064815</v>
      </c>
      <c r="C1043">
        <v>80</v>
      </c>
      <c r="D1043">
        <v>79.930854796999995</v>
      </c>
      <c r="E1043">
        <v>40</v>
      </c>
      <c r="F1043">
        <v>36.900196074999997</v>
      </c>
      <c r="G1043">
        <v>1367.8123779</v>
      </c>
      <c r="H1043">
        <v>1357.7395019999999</v>
      </c>
      <c r="I1043">
        <v>1297.0290527</v>
      </c>
      <c r="J1043">
        <v>1281.0460204999999</v>
      </c>
      <c r="K1043">
        <v>1650</v>
      </c>
      <c r="L1043">
        <v>0</v>
      </c>
      <c r="M1043">
        <v>0</v>
      </c>
      <c r="N1043">
        <v>1650</v>
      </c>
    </row>
    <row r="1044" spans="1:14" x14ac:dyDescent="0.25">
      <c r="A1044">
        <v>790.83090800000002</v>
      </c>
      <c r="B1044" s="1">
        <f>DATE(2012,6,29) + TIME(19,56,30)</f>
        <v>41089.83090277778</v>
      </c>
      <c r="C1044">
        <v>80</v>
      </c>
      <c r="D1044">
        <v>79.930862426999994</v>
      </c>
      <c r="E1044">
        <v>40</v>
      </c>
      <c r="F1044">
        <v>36.848049164000003</v>
      </c>
      <c r="G1044">
        <v>1367.7653809000001</v>
      </c>
      <c r="H1044">
        <v>1357.7020264</v>
      </c>
      <c r="I1044">
        <v>1297.0097656</v>
      </c>
      <c r="J1044">
        <v>1281.0113524999999</v>
      </c>
      <c r="K1044">
        <v>1650</v>
      </c>
      <c r="L1044">
        <v>0</v>
      </c>
      <c r="M1044">
        <v>0</v>
      </c>
      <c r="N1044">
        <v>1650</v>
      </c>
    </row>
    <row r="1045" spans="1:14" x14ac:dyDescent="0.25">
      <c r="A1045">
        <v>792</v>
      </c>
      <c r="B1045" s="1">
        <f>DATE(2012,7,1) + TIME(0,0,0)</f>
        <v>41091</v>
      </c>
      <c r="C1045">
        <v>80</v>
      </c>
      <c r="D1045">
        <v>79.930862426999994</v>
      </c>
      <c r="E1045">
        <v>40</v>
      </c>
      <c r="F1045">
        <v>36.796031952</v>
      </c>
      <c r="G1045">
        <v>1367.7181396000001</v>
      </c>
      <c r="H1045">
        <v>1357.6640625</v>
      </c>
      <c r="I1045">
        <v>1296.9897461</v>
      </c>
      <c r="J1045">
        <v>1280.9755858999999</v>
      </c>
      <c r="K1045">
        <v>1650</v>
      </c>
      <c r="L1045">
        <v>0</v>
      </c>
      <c r="M1045">
        <v>0</v>
      </c>
      <c r="N1045">
        <v>1650</v>
      </c>
    </row>
    <row r="1046" spans="1:14" x14ac:dyDescent="0.25">
      <c r="A1046">
        <v>793.21482300000002</v>
      </c>
      <c r="B1046" s="1">
        <f>DATE(2012,7,2) + TIME(5,9,20)</f>
        <v>41092.214814814812</v>
      </c>
      <c r="C1046">
        <v>80</v>
      </c>
      <c r="D1046">
        <v>79.930870056000003</v>
      </c>
      <c r="E1046">
        <v>40</v>
      </c>
      <c r="F1046">
        <v>36.743118285999998</v>
      </c>
      <c r="G1046">
        <v>1367.6721190999999</v>
      </c>
      <c r="H1046">
        <v>1357.6271973</v>
      </c>
      <c r="I1046">
        <v>1296.9697266000001</v>
      </c>
      <c r="J1046">
        <v>1280.9393310999999</v>
      </c>
      <c r="K1046">
        <v>1650</v>
      </c>
      <c r="L1046">
        <v>0</v>
      </c>
      <c r="M1046">
        <v>0</v>
      </c>
      <c r="N1046">
        <v>1650</v>
      </c>
    </row>
    <row r="1047" spans="1:14" x14ac:dyDescent="0.25">
      <c r="A1047">
        <v>794.47588800000005</v>
      </c>
      <c r="B1047" s="1">
        <f>DATE(2012,7,3) + TIME(11,25,16)</f>
        <v>41093.47587962963</v>
      </c>
      <c r="C1047">
        <v>80</v>
      </c>
      <c r="D1047">
        <v>79.930877686000002</v>
      </c>
      <c r="E1047">
        <v>40</v>
      </c>
      <c r="F1047">
        <v>36.688903809000003</v>
      </c>
      <c r="G1047">
        <v>1367.625</v>
      </c>
      <c r="H1047">
        <v>1357.5894774999999</v>
      </c>
      <c r="I1047">
        <v>1296.9487305</v>
      </c>
      <c r="J1047">
        <v>1280.9011230000001</v>
      </c>
      <c r="K1047">
        <v>1650</v>
      </c>
      <c r="L1047">
        <v>0</v>
      </c>
      <c r="M1047">
        <v>0</v>
      </c>
      <c r="N1047">
        <v>1650</v>
      </c>
    </row>
    <row r="1048" spans="1:14" x14ac:dyDescent="0.25">
      <c r="A1048">
        <v>795.74540999999999</v>
      </c>
      <c r="B1048" s="1">
        <f>DATE(2012,7,4) + TIME(17,53,23)</f>
        <v>41094.745405092595</v>
      </c>
      <c r="C1048">
        <v>80</v>
      </c>
      <c r="D1048">
        <v>79.930885314999998</v>
      </c>
      <c r="E1048">
        <v>40</v>
      </c>
      <c r="F1048">
        <v>36.633998871000003</v>
      </c>
      <c r="G1048">
        <v>1367.5767822</v>
      </c>
      <c r="H1048">
        <v>1357.5506591999999</v>
      </c>
      <c r="I1048">
        <v>1296.9266356999999</v>
      </c>
      <c r="J1048">
        <v>1280.8610839999999</v>
      </c>
      <c r="K1048">
        <v>1650</v>
      </c>
      <c r="L1048">
        <v>0</v>
      </c>
      <c r="M1048">
        <v>0</v>
      </c>
      <c r="N1048">
        <v>1650</v>
      </c>
    </row>
    <row r="1049" spans="1:14" x14ac:dyDescent="0.25">
      <c r="A1049">
        <v>797.01945699999999</v>
      </c>
      <c r="B1049" s="1">
        <f>DATE(2012,7,6) + TIME(0,28,1)</f>
        <v>41096.019456018519</v>
      </c>
      <c r="C1049">
        <v>80</v>
      </c>
      <c r="D1049">
        <v>79.930892943999993</v>
      </c>
      <c r="E1049">
        <v>40</v>
      </c>
      <c r="F1049">
        <v>36.578807830999999</v>
      </c>
      <c r="G1049">
        <v>1367.5289307</v>
      </c>
      <c r="H1049">
        <v>1357.5120850000001</v>
      </c>
      <c r="I1049">
        <v>1296.9041748</v>
      </c>
      <c r="J1049">
        <v>1280.8201904</v>
      </c>
      <c r="K1049">
        <v>1650</v>
      </c>
      <c r="L1049">
        <v>0</v>
      </c>
      <c r="M1049">
        <v>0</v>
      </c>
      <c r="N1049">
        <v>1650</v>
      </c>
    </row>
    <row r="1050" spans="1:14" x14ac:dyDescent="0.25">
      <c r="A1050">
        <v>798.30165399999998</v>
      </c>
      <c r="B1050" s="1">
        <f>DATE(2012,7,7) + TIME(7,14,22)</f>
        <v>41097.30164351852</v>
      </c>
      <c r="C1050">
        <v>80</v>
      </c>
      <c r="D1050">
        <v>79.930908203000001</v>
      </c>
      <c r="E1050">
        <v>40</v>
      </c>
      <c r="F1050">
        <v>36.523464203000003</v>
      </c>
      <c r="G1050">
        <v>1367.4814452999999</v>
      </c>
      <c r="H1050">
        <v>1357.4738769999999</v>
      </c>
      <c r="I1050">
        <v>1296.8813477000001</v>
      </c>
      <c r="J1050">
        <v>1280.7783202999999</v>
      </c>
      <c r="K1050">
        <v>1650</v>
      </c>
      <c r="L1050">
        <v>0</v>
      </c>
      <c r="M1050">
        <v>0</v>
      </c>
      <c r="N1050">
        <v>1650</v>
      </c>
    </row>
    <row r="1051" spans="1:14" x14ac:dyDescent="0.25">
      <c r="A1051">
        <v>799.59477600000002</v>
      </c>
      <c r="B1051" s="1">
        <f>DATE(2012,7,8) + TIME(14,16,28)</f>
        <v>41098.594768518517</v>
      </c>
      <c r="C1051">
        <v>80</v>
      </c>
      <c r="D1051">
        <v>79.930915833</v>
      </c>
      <c r="E1051">
        <v>40</v>
      </c>
      <c r="F1051">
        <v>36.467987061000002</v>
      </c>
      <c r="G1051">
        <v>1367.4343262</v>
      </c>
      <c r="H1051">
        <v>1357.4359131000001</v>
      </c>
      <c r="I1051">
        <v>1296.8581543</v>
      </c>
      <c r="J1051">
        <v>1280.7354736</v>
      </c>
      <c r="K1051">
        <v>1650</v>
      </c>
      <c r="L1051">
        <v>0</v>
      </c>
      <c r="M1051">
        <v>0</v>
      </c>
      <c r="N1051">
        <v>1650</v>
      </c>
    </row>
    <row r="1052" spans="1:14" x14ac:dyDescent="0.25">
      <c r="A1052">
        <v>800.90208600000005</v>
      </c>
      <c r="B1052" s="1">
        <f>DATE(2012,7,9) + TIME(21,39,0)</f>
        <v>41099.902083333334</v>
      </c>
      <c r="C1052">
        <v>80</v>
      </c>
      <c r="D1052">
        <v>79.930931091000005</v>
      </c>
      <c r="E1052">
        <v>40</v>
      </c>
      <c r="F1052">
        <v>36.412342072000001</v>
      </c>
      <c r="G1052">
        <v>1367.3874512</v>
      </c>
      <c r="H1052">
        <v>1357.3980713000001</v>
      </c>
      <c r="I1052">
        <v>1296.8345947</v>
      </c>
      <c r="J1052">
        <v>1280.6917725000001</v>
      </c>
      <c r="K1052">
        <v>1650</v>
      </c>
      <c r="L1052">
        <v>0</v>
      </c>
      <c r="M1052">
        <v>0</v>
      </c>
      <c r="N1052">
        <v>1650</v>
      </c>
    </row>
    <row r="1053" spans="1:14" x14ac:dyDescent="0.25">
      <c r="A1053">
        <v>802.22696399999995</v>
      </c>
      <c r="B1053" s="1">
        <f>DATE(2012,7,11) + TIME(5,26,49)</f>
        <v>41101.226956018516</v>
      </c>
      <c r="C1053">
        <v>80</v>
      </c>
      <c r="D1053">
        <v>79.930938721000004</v>
      </c>
      <c r="E1053">
        <v>40</v>
      </c>
      <c r="F1053">
        <v>36.356456756999997</v>
      </c>
      <c r="G1053">
        <v>1367.3406981999999</v>
      </c>
      <c r="H1053">
        <v>1357.3602295000001</v>
      </c>
      <c r="I1053">
        <v>1296.8104248</v>
      </c>
      <c r="J1053">
        <v>1280.6468506000001</v>
      </c>
      <c r="K1053">
        <v>1650</v>
      </c>
      <c r="L1053">
        <v>0</v>
      </c>
      <c r="M1053">
        <v>0</v>
      </c>
      <c r="N1053">
        <v>1650</v>
      </c>
    </row>
    <row r="1054" spans="1:14" x14ac:dyDescent="0.25">
      <c r="A1054">
        <v>803.57297700000004</v>
      </c>
      <c r="B1054" s="1">
        <f>DATE(2012,7,12) + TIME(13,45,5)</f>
        <v>41102.572974537034</v>
      </c>
      <c r="C1054">
        <v>80</v>
      </c>
      <c r="D1054">
        <v>79.930953978999995</v>
      </c>
      <c r="E1054">
        <v>40</v>
      </c>
      <c r="F1054">
        <v>36.300251007</v>
      </c>
      <c r="G1054">
        <v>1367.2939452999999</v>
      </c>
      <c r="H1054">
        <v>1357.3223877</v>
      </c>
      <c r="I1054">
        <v>1296.7858887</v>
      </c>
      <c r="J1054">
        <v>1280.6007079999999</v>
      </c>
      <c r="K1054">
        <v>1650</v>
      </c>
      <c r="L1054">
        <v>0</v>
      </c>
      <c r="M1054">
        <v>0</v>
      </c>
      <c r="N1054">
        <v>1650</v>
      </c>
    </row>
    <row r="1055" spans="1:14" x14ac:dyDescent="0.25">
      <c r="A1055">
        <v>804.94391399999995</v>
      </c>
      <c r="B1055" s="1">
        <f>DATE(2012,7,13) + TIME(22,39,14)</f>
        <v>41103.943912037037</v>
      </c>
      <c r="C1055">
        <v>80</v>
      </c>
      <c r="D1055">
        <v>79.930969238000003</v>
      </c>
      <c r="E1055">
        <v>40</v>
      </c>
      <c r="F1055">
        <v>36.243625641000001</v>
      </c>
      <c r="G1055">
        <v>1367.2469481999999</v>
      </c>
      <c r="H1055">
        <v>1357.2843018000001</v>
      </c>
      <c r="I1055">
        <v>1296.7607422000001</v>
      </c>
      <c r="J1055">
        <v>1280.5533447</v>
      </c>
      <c r="K1055">
        <v>1650</v>
      </c>
      <c r="L1055">
        <v>0</v>
      </c>
      <c r="M1055">
        <v>0</v>
      </c>
      <c r="N1055">
        <v>1650</v>
      </c>
    </row>
    <row r="1056" spans="1:14" x14ac:dyDescent="0.25">
      <c r="A1056">
        <v>806.34382100000005</v>
      </c>
      <c r="B1056" s="1">
        <f>DATE(2012,7,15) + TIME(8,15,6)</f>
        <v>41105.343819444446</v>
      </c>
      <c r="C1056">
        <v>80</v>
      </c>
      <c r="D1056">
        <v>79.930992126000007</v>
      </c>
      <c r="E1056">
        <v>40</v>
      </c>
      <c r="F1056">
        <v>36.186492919999999</v>
      </c>
      <c r="G1056">
        <v>1367.199707</v>
      </c>
      <c r="H1056">
        <v>1357.2459716999999</v>
      </c>
      <c r="I1056">
        <v>1296.7348632999999</v>
      </c>
      <c r="J1056">
        <v>1280.5045166</v>
      </c>
      <c r="K1056">
        <v>1650</v>
      </c>
      <c r="L1056">
        <v>0</v>
      </c>
      <c r="M1056">
        <v>0</v>
      </c>
      <c r="N1056">
        <v>1650</v>
      </c>
    </row>
    <row r="1057" spans="1:14" x14ac:dyDescent="0.25">
      <c r="A1057">
        <v>807.77711799999997</v>
      </c>
      <c r="B1057" s="1">
        <f>DATE(2012,7,16) + TIME(18,39,2)</f>
        <v>41106.777106481481</v>
      </c>
      <c r="C1057">
        <v>80</v>
      </c>
      <c r="D1057">
        <v>79.931007385000001</v>
      </c>
      <c r="E1057">
        <v>40</v>
      </c>
      <c r="F1057">
        <v>36.128753662000001</v>
      </c>
      <c r="G1057">
        <v>1367.1522216999999</v>
      </c>
      <c r="H1057">
        <v>1357.2072754000001</v>
      </c>
      <c r="I1057">
        <v>1296.708374</v>
      </c>
      <c r="J1057">
        <v>1280.4541016000001</v>
      </c>
      <c r="K1057">
        <v>1650</v>
      </c>
      <c r="L1057">
        <v>0</v>
      </c>
      <c r="M1057">
        <v>0</v>
      </c>
      <c r="N1057">
        <v>1650</v>
      </c>
    </row>
    <row r="1058" spans="1:14" x14ac:dyDescent="0.25">
      <c r="A1058">
        <v>809.23741299999995</v>
      </c>
      <c r="B1058" s="1">
        <f>DATE(2012,7,18) + TIME(5,41,52)</f>
        <v>41108.237407407411</v>
      </c>
      <c r="C1058">
        <v>80</v>
      </c>
      <c r="D1058">
        <v>79.931030273000005</v>
      </c>
      <c r="E1058">
        <v>40</v>
      </c>
      <c r="F1058">
        <v>36.070533752000003</v>
      </c>
      <c r="G1058">
        <v>1367.1040039</v>
      </c>
      <c r="H1058">
        <v>1357.1680908000001</v>
      </c>
      <c r="I1058">
        <v>1296.6810303</v>
      </c>
      <c r="J1058">
        <v>1280.4019774999999</v>
      </c>
      <c r="K1058">
        <v>1650</v>
      </c>
      <c r="L1058">
        <v>0</v>
      </c>
      <c r="M1058">
        <v>0</v>
      </c>
      <c r="N1058">
        <v>1650</v>
      </c>
    </row>
    <row r="1059" spans="1:14" x14ac:dyDescent="0.25">
      <c r="A1059">
        <v>810.715914</v>
      </c>
      <c r="B1059" s="1">
        <f>DATE(2012,7,19) + TIME(17,10,54)</f>
        <v>41109.715902777774</v>
      </c>
      <c r="C1059">
        <v>80</v>
      </c>
      <c r="D1059">
        <v>79.931053161999998</v>
      </c>
      <c r="E1059">
        <v>40</v>
      </c>
      <c r="F1059">
        <v>36.012107849000003</v>
      </c>
      <c r="G1059">
        <v>1367.0556641000001</v>
      </c>
      <c r="H1059">
        <v>1357.1286620999999</v>
      </c>
      <c r="I1059">
        <v>1296.6531981999999</v>
      </c>
      <c r="J1059">
        <v>1280.3483887</v>
      </c>
      <c r="K1059">
        <v>1650</v>
      </c>
      <c r="L1059">
        <v>0</v>
      </c>
      <c r="M1059">
        <v>0</v>
      </c>
      <c r="N1059">
        <v>1650</v>
      </c>
    </row>
    <row r="1060" spans="1:14" x14ac:dyDescent="0.25">
      <c r="A1060">
        <v>812.21376299999997</v>
      </c>
      <c r="B1060" s="1">
        <f>DATE(2012,7,21) + TIME(5,7,49)</f>
        <v>41111.213761574072</v>
      </c>
      <c r="C1060">
        <v>80</v>
      </c>
      <c r="D1060">
        <v>79.931076050000001</v>
      </c>
      <c r="E1060">
        <v>40</v>
      </c>
      <c r="F1060">
        <v>35.953662872000002</v>
      </c>
      <c r="G1060">
        <v>1367.0072021000001</v>
      </c>
      <c r="H1060">
        <v>1357.0891113</v>
      </c>
      <c r="I1060">
        <v>1296.6247559000001</v>
      </c>
      <c r="J1060">
        <v>1280.2935791</v>
      </c>
      <c r="K1060">
        <v>1650</v>
      </c>
      <c r="L1060">
        <v>0</v>
      </c>
      <c r="M1060">
        <v>0</v>
      </c>
      <c r="N1060">
        <v>1650</v>
      </c>
    </row>
    <row r="1061" spans="1:14" x14ac:dyDescent="0.25">
      <c r="A1061">
        <v>813.71736999999996</v>
      </c>
      <c r="B1061" s="1">
        <f>DATE(2012,7,22) + TIME(17,13,0)</f>
        <v>41112.717361111114</v>
      </c>
      <c r="C1061">
        <v>80</v>
      </c>
      <c r="D1061">
        <v>79.931098938000005</v>
      </c>
      <c r="E1061">
        <v>40</v>
      </c>
      <c r="F1061">
        <v>35.895576476999999</v>
      </c>
      <c r="G1061">
        <v>1366.9587402</v>
      </c>
      <c r="H1061">
        <v>1357.0495605000001</v>
      </c>
      <c r="I1061">
        <v>1296.5959473</v>
      </c>
      <c r="J1061">
        <v>1280.2375488</v>
      </c>
      <c r="K1061">
        <v>1650</v>
      </c>
      <c r="L1061">
        <v>0</v>
      </c>
      <c r="M1061">
        <v>0</v>
      </c>
      <c r="N1061">
        <v>1650</v>
      </c>
    </row>
    <row r="1062" spans="1:14" x14ac:dyDescent="0.25">
      <c r="A1062">
        <v>815.23188800000003</v>
      </c>
      <c r="B1062" s="1">
        <f>DATE(2012,7,24) + TIME(5,33,55)</f>
        <v>41114.231886574074</v>
      </c>
      <c r="C1062">
        <v>80</v>
      </c>
      <c r="D1062">
        <v>79.931121825999995</v>
      </c>
      <c r="E1062">
        <v>40</v>
      </c>
      <c r="F1062">
        <v>35.838027953999998</v>
      </c>
      <c r="G1062">
        <v>1366.9107666</v>
      </c>
      <c r="H1062">
        <v>1357.0101318</v>
      </c>
      <c r="I1062">
        <v>1296.5670166</v>
      </c>
      <c r="J1062">
        <v>1280.1809082</v>
      </c>
      <c r="K1062">
        <v>1650</v>
      </c>
      <c r="L1062">
        <v>0</v>
      </c>
      <c r="M1062">
        <v>0</v>
      </c>
      <c r="N1062">
        <v>1650</v>
      </c>
    </row>
    <row r="1063" spans="1:14" x14ac:dyDescent="0.25">
      <c r="A1063">
        <v>816.76083700000004</v>
      </c>
      <c r="B1063" s="1">
        <f>DATE(2012,7,25) + TIME(18,15,36)</f>
        <v>41115.760833333334</v>
      </c>
      <c r="C1063">
        <v>80</v>
      </c>
      <c r="D1063">
        <v>79.931144713999998</v>
      </c>
      <c r="E1063">
        <v>40</v>
      </c>
      <c r="F1063">
        <v>35.781085967999999</v>
      </c>
      <c r="G1063">
        <v>1366.8629149999999</v>
      </c>
      <c r="H1063">
        <v>1356.9709473</v>
      </c>
      <c r="I1063">
        <v>1296.5378418</v>
      </c>
      <c r="J1063">
        <v>1280.1234131000001</v>
      </c>
      <c r="K1063">
        <v>1650</v>
      </c>
      <c r="L1063">
        <v>0</v>
      </c>
      <c r="M1063">
        <v>0</v>
      </c>
      <c r="N1063">
        <v>1650</v>
      </c>
    </row>
    <row r="1064" spans="1:14" x14ac:dyDescent="0.25">
      <c r="A1064">
        <v>818.30821300000002</v>
      </c>
      <c r="B1064" s="1">
        <f>DATE(2012,7,27) + TIME(7,23,49)</f>
        <v>41117.308206018519</v>
      </c>
      <c r="C1064">
        <v>80</v>
      </c>
      <c r="D1064">
        <v>79.931167603000006</v>
      </c>
      <c r="E1064">
        <v>40</v>
      </c>
      <c r="F1064">
        <v>35.724754333</v>
      </c>
      <c r="G1064">
        <v>1366.8151855000001</v>
      </c>
      <c r="H1064">
        <v>1356.9317627</v>
      </c>
      <c r="I1064">
        <v>1296.5084228999999</v>
      </c>
      <c r="J1064">
        <v>1280.0650635</v>
      </c>
      <c r="K1064">
        <v>1650</v>
      </c>
      <c r="L1064">
        <v>0</v>
      </c>
      <c r="M1064">
        <v>0</v>
      </c>
      <c r="N1064">
        <v>1650</v>
      </c>
    </row>
    <row r="1065" spans="1:14" x14ac:dyDescent="0.25">
      <c r="A1065">
        <v>819.87818300000004</v>
      </c>
      <c r="B1065" s="1">
        <f>DATE(2012,7,28) + TIME(21,4,35)</f>
        <v>41118.878182870372</v>
      </c>
      <c r="C1065">
        <v>80</v>
      </c>
      <c r="D1065">
        <v>79.931198120000005</v>
      </c>
      <c r="E1065">
        <v>40</v>
      </c>
      <c r="F1065">
        <v>35.669044495000001</v>
      </c>
      <c r="G1065">
        <v>1366.7674560999999</v>
      </c>
      <c r="H1065">
        <v>1356.8924560999999</v>
      </c>
      <c r="I1065">
        <v>1296.4787598</v>
      </c>
      <c r="J1065">
        <v>1280.0057373</v>
      </c>
      <c r="K1065">
        <v>1650</v>
      </c>
      <c r="L1065">
        <v>0</v>
      </c>
      <c r="M1065">
        <v>0</v>
      </c>
      <c r="N1065">
        <v>1650</v>
      </c>
    </row>
    <row r="1066" spans="1:14" x14ac:dyDescent="0.25">
      <c r="A1066">
        <v>821.47517500000004</v>
      </c>
      <c r="B1066" s="1">
        <f>DATE(2012,7,30) + TIME(11,24,15)</f>
        <v>41120.475173611114</v>
      </c>
      <c r="C1066">
        <v>80</v>
      </c>
      <c r="D1066">
        <v>79.931228637999993</v>
      </c>
      <c r="E1066">
        <v>40</v>
      </c>
      <c r="F1066">
        <v>35.613956451</v>
      </c>
      <c r="G1066">
        <v>1366.7196045000001</v>
      </c>
      <c r="H1066">
        <v>1356.8530272999999</v>
      </c>
      <c r="I1066">
        <v>1296.4487305</v>
      </c>
      <c r="J1066">
        <v>1279.9453125</v>
      </c>
      <c r="K1066">
        <v>1650</v>
      </c>
      <c r="L1066">
        <v>0</v>
      </c>
      <c r="M1066">
        <v>0</v>
      </c>
      <c r="N1066">
        <v>1650</v>
      </c>
    </row>
    <row r="1067" spans="1:14" x14ac:dyDescent="0.25">
      <c r="A1067">
        <v>823</v>
      </c>
      <c r="B1067" s="1">
        <f>DATE(2012,8,1) + TIME(0,0,0)</f>
        <v>41122</v>
      </c>
      <c r="C1067">
        <v>80</v>
      </c>
      <c r="D1067">
        <v>79.931251525999997</v>
      </c>
      <c r="E1067">
        <v>40</v>
      </c>
      <c r="F1067">
        <v>35.561103821000003</v>
      </c>
      <c r="G1067">
        <v>1366.6713867000001</v>
      </c>
      <c r="H1067">
        <v>1356.8132324000001</v>
      </c>
      <c r="I1067">
        <v>1296.4185791</v>
      </c>
      <c r="J1067">
        <v>1279.8846435999999</v>
      </c>
      <c r="K1067">
        <v>1650</v>
      </c>
      <c r="L1067">
        <v>0</v>
      </c>
      <c r="M1067">
        <v>0</v>
      </c>
      <c r="N1067">
        <v>1650</v>
      </c>
    </row>
    <row r="1068" spans="1:14" x14ac:dyDescent="0.25">
      <c r="A1068">
        <v>824.62880600000005</v>
      </c>
      <c r="B1068" s="1">
        <f>DATE(2012,8,2) + TIME(15,5,28)</f>
        <v>41123.628796296296</v>
      </c>
      <c r="C1068">
        <v>80</v>
      </c>
      <c r="D1068">
        <v>79.931289672999995</v>
      </c>
      <c r="E1068">
        <v>40</v>
      </c>
      <c r="F1068">
        <v>35.508850098000003</v>
      </c>
      <c r="G1068">
        <v>1366.6259766000001</v>
      </c>
      <c r="H1068">
        <v>1356.7756348</v>
      </c>
      <c r="I1068">
        <v>1296.3896483999999</v>
      </c>
      <c r="J1068">
        <v>1279.8248291</v>
      </c>
      <c r="K1068">
        <v>1650</v>
      </c>
      <c r="L1068">
        <v>0</v>
      </c>
      <c r="M1068">
        <v>0</v>
      </c>
      <c r="N1068">
        <v>1650</v>
      </c>
    </row>
    <row r="1069" spans="1:14" x14ac:dyDescent="0.25">
      <c r="A1069">
        <v>826.31479999999999</v>
      </c>
      <c r="B1069" s="1">
        <f>DATE(2012,8,4) + TIME(7,33,18)</f>
        <v>41125.314791666664</v>
      </c>
      <c r="C1069">
        <v>80</v>
      </c>
      <c r="D1069">
        <v>79.931320189999994</v>
      </c>
      <c r="E1069">
        <v>40</v>
      </c>
      <c r="F1069">
        <v>35.456863403</v>
      </c>
      <c r="G1069">
        <v>1366.5778809000001</v>
      </c>
      <c r="H1069">
        <v>1356.7357178</v>
      </c>
      <c r="I1069">
        <v>1296.359375</v>
      </c>
      <c r="J1069">
        <v>1279.7623291</v>
      </c>
      <c r="K1069">
        <v>1650</v>
      </c>
      <c r="L1069">
        <v>0</v>
      </c>
      <c r="M1069">
        <v>0</v>
      </c>
      <c r="N1069">
        <v>1650</v>
      </c>
    </row>
    <row r="1070" spans="1:14" x14ac:dyDescent="0.25">
      <c r="A1070">
        <v>828.02319499999999</v>
      </c>
      <c r="B1070" s="1">
        <f>DATE(2012,8,6) + TIME(0,33,24)</f>
        <v>41127.023194444446</v>
      </c>
      <c r="C1070">
        <v>80</v>
      </c>
      <c r="D1070">
        <v>79.931358337000006</v>
      </c>
      <c r="E1070">
        <v>40</v>
      </c>
      <c r="F1070">
        <v>35.405754088999998</v>
      </c>
      <c r="G1070">
        <v>1366.5286865</v>
      </c>
      <c r="H1070">
        <v>1356.6949463000001</v>
      </c>
      <c r="I1070">
        <v>1296.3283690999999</v>
      </c>
      <c r="J1070">
        <v>1279.6979980000001</v>
      </c>
      <c r="K1070">
        <v>1650</v>
      </c>
      <c r="L1070">
        <v>0</v>
      </c>
      <c r="M1070">
        <v>0</v>
      </c>
      <c r="N1070">
        <v>1650</v>
      </c>
    </row>
    <row r="1071" spans="1:14" x14ac:dyDescent="0.25">
      <c r="A1071">
        <v>829.746937</v>
      </c>
      <c r="B1071" s="1">
        <f>DATE(2012,8,7) + TIME(17,55,35)</f>
        <v>41128.746932870374</v>
      </c>
      <c r="C1071">
        <v>80</v>
      </c>
      <c r="D1071">
        <v>79.931388854999994</v>
      </c>
      <c r="E1071">
        <v>40</v>
      </c>
      <c r="F1071">
        <v>35.356174469000003</v>
      </c>
      <c r="G1071">
        <v>1366.4793701000001</v>
      </c>
      <c r="H1071">
        <v>1356.6539307</v>
      </c>
      <c r="I1071">
        <v>1296.2973632999999</v>
      </c>
      <c r="J1071">
        <v>1279.6330565999999</v>
      </c>
      <c r="K1071">
        <v>1650</v>
      </c>
      <c r="L1071">
        <v>0</v>
      </c>
      <c r="M1071">
        <v>0</v>
      </c>
      <c r="N1071">
        <v>1650</v>
      </c>
    </row>
    <row r="1072" spans="1:14" x14ac:dyDescent="0.25">
      <c r="A1072">
        <v>831.49027699999999</v>
      </c>
      <c r="B1072" s="1">
        <f>DATE(2012,8,9) + TIME(11,45,59)</f>
        <v>41130.490266203706</v>
      </c>
      <c r="C1072">
        <v>80</v>
      </c>
      <c r="D1072">
        <v>79.931427002000007</v>
      </c>
      <c r="E1072">
        <v>40</v>
      </c>
      <c r="F1072">
        <v>35.308536529999998</v>
      </c>
      <c r="G1072">
        <v>1366.4301757999999</v>
      </c>
      <c r="H1072">
        <v>1356.6129149999999</v>
      </c>
      <c r="I1072">
        <v>1296.2666016000001</v>
      </c>
      <c r="J1072">
        <v>1279.567749</v>
      </c>
      <c r="K1072">
        <v>1650</v>
      </c>
      <c r="L1072">
        <v>0</v>
      </c>
      <c r="M1072">
        <v>0</v>
      </c>
      <c r="N1072">
        <v>1650</v>
      </c>
    </row>
    <row r="1073" spans="1:14" x14ac:dyDescent="0.25">
      <c r="A1073">
        <v>833.25789999999995</v>
      </c>
      <c r="B1073" s="1">
        <f>DATE(2012,8,11) + TIME(6,11,22)</f>
        <v>41132.257893518516</v>
      </c>
      <c r="C1073">
        <v>80</v>
      </c>
      <c r="D1073">
        <v>79.931465149000005</v>
      </c>
      <c r="E1073">
        <v>40</v>
      </c>
      <c r="F1073">
        <v>35.263114928999997</v>
      </c>
      <c r="G1073">
        <v>1366.3808594</v>
      </c>
      <c r="H1073">
        <v>1356.5717772999999</v>
      </c>
      <c r="I1073">
        <v>1296.2360839999999</v>
      </c>
      <c r="J1073">
        <v>1279.5023193</v>
      </c>
      <c r="K1073">
        <v>1650</v>
      </c>
      <c r="L1073">
        <v>0</v>
      </c>
      <c r="M1073">
        <v>0</v>
      </c>
      <c r="N1073">
        <v>1650</v>
      </c>
    </row>
    <row r="1074" spans="1:14" x14ac:dyDescent="0.25">
      <c r="A1074">
        <v>835.04580899999996</v>
      </c>
      <c r="B1074" s="1">
        <f>DATE(2012,8,13) + TIME(1,5,57)</f>
        <v>41134.045798611114</v>
      </c>
      <c r="C1074">
        <v>80</v>
      </c>
      <c r="D1074">
        <v>79.931503296000002</v>
      </c>
      <c r="E1074">
        <v>40</v>
      </c>
      <c r="F1074">
        <v>35.220252991000002</v>
      </c>
      <c r="G1074">
        <v>1366.3314209</v>
      </c>
      <c r="H1074">
        <v>1356.5305175999999</v>
      </c>
      <c r="I1074">
        <v>1296.2059326000001</v>
      </c>
      <c r="J1074">
        <v>1279.4366454999999</v>
      </c>
      <c r="K1074">
        <v>1650</v>
      </c>
      <c r="L1074">
        <v>0</v>
      </c>
      <c r="M1074">
        <v>0</v>
      </c>
      <c r="N1074">
        <v>1650</v>
      </c>
    </row>
    <row r="1075" spans="1:14" x14ac:dyDescent="0.25">
      <c r="A1075">
        <v>836.855278</v>
      </c>
      <c r="B1075" s="1">
        <f>DATE(2012,8,14) + TIME(20,31,36)</f>
        <v>41135.85527777778</v>
      </c>
      <c r="C1075">
        <v>80</v>
      </c>
      <c r="D1075">
        <v>79.931549071999996</v>
      </c>
      <c r="E1075">
        <v>40</v>
      </c>
      <c r="F1075">
        <v>35.18031311</v>
      </c>
      <c r="G1075">
        <v>1366.2819824000001</v>
      </c>
      <c r="H1075">
        <v>1356.4890137</v>
      </c>
      <c r="I1075">
        <v>1296.1761475000001</v>
      </c>
      <c r="J1075">
        <v>1279.3712158000001</v>
      </c>
      <c r="K1075">
        <v>1650</v>
      </c>
      <c r="L1075">
        <v>0</v>
      </c>
      <c r="M1075">
        <v>0</v>
      </c>
      <c r="N1075">
        <v>1650</v>
      </c>
    </row>
    <row r="1076" spans="1:14" x14ac:dyDescent="0.25">
      <c r="A1076">
        <v>838.69139199999995</v>
      </c>
      <c r="B1076" s="1">
        <f>DATE(2012,8,16) + TIME(16,35,36)</f>
        <v>41137.691388888888</v>
      </c>
      <c r="C1076">
        <v>80</v>
      </c>
      <c r="D1076">
        <v>79.931587218999994</v>
      </c>
      <c r="E1076">
        <v>40</v>
      </c>
      <c r="F1076">
        <v>35.143630981000001</v>
      </c>
      <c r="G1076">
        <v>1366.2322998</v>
      </c>
      <c r="H1076">
        <v>1356.4473877</v>
      </c>
      <c r="I1076">
        <v>1296.1468506000001</v>
      </c>
      <c r="J1076">
        <v>1279.3060303</v>
      </c>
      <c r="K1076">
        <v>1650</v>
      </c>
      <c r="L1076">
        <v>0</v>
      </c>
      <c r="M1076">
        <v>0</v>
      </c>
      <c r="N1076">
        <v>1650</v>
      </c>
    </row>
    <row r="1077" spans="1:14" x14ac:dyDescent="0.25">
      <c r="A1077">
        <v>840.55945499999996</v>
      </c>
      <c r="B1077" s="1">
        <f>DATE(2012,8,18) + TIME(13,25,36)</f>
        <v>41139.559444444443</v>
      </c>
      <c r="C1077">
        <v>80</v>
      </c>
      <c r="D1077">
        <v>79.931632996000005</v>
      </c>
      <c r="E1077">
        <v>40</v>
      </c>
      <c r="F1077">
        <v>35.110572814999998</v>
      </c>
      <c r="G1077">
        <v>1366.1824951000001</v>
      </c>
      <c r="H1077">
        <v>1356.4055175999999</v>
      </c>
      <c r="I1077">
        <v>1296.1181641000001</v>
      </c>
      <c r="J1077">
        <v>1279.2410889</v>
      </c>
      <c r="K1077">
        <v>1650</v>
      </c>
      <c r="L1077">
        <v>0</v>
      </c>
      <c r="M1077">
        <v>0</v>
      </c>
      <c r="N1077">
        <v>1650</v>
      </c>
    </row>
    <row r="1078" spans="1:14" x14ac:dyDescent="0.25">
      <c r="A1078">
        <v>842.45796099999995</v>
      </c>
      <c r="B1078" s="1">
        <f>DATE(2012,8,20) + TIME(10,59,27)</f>
        <v>41141.457951388889</v>
      </c>
      <c r="C1078">
        <v>80</v>
      </c>
      <c r="D1078">
        <v>79.931678771999998</v>
      </c>
      <c r="E1078">
        <v>40</v>
      </c>
      <c r="F1078">
        <v>35.081607818999998</v>
      </c>
      <c r="G1078">
        <v>1366.1322021000001</v>
      </c>
      <c r="H1078">
        <v>1356.3632812000001</v>
      </c>
      <c r="I1078">
        <v>1296.0900879000001</v>
      </c>
      <c r="J1078">
        <v>1279.1767577999999</v>
      </c>
      <c r="K1078">
        <v>1650</v>
      </c>
      <c r="L1078">
        <v>0</v>
      </c>
      <c r="M1078">
        <v>0</v>
      </c>
      <c r="N1078">
        <v>1650</v>
      </c>
    </row>
    <row r="1079" spans="1:14" x14ac:dyDescent="0.25">
      <c r="A1079">
        <v>844.37406299999998</v>
      </c>
      <c r="B1079" s="1">
        <f>DATE(2012,8,22) + TIME(8,58,39)</f>
        <v>41143.374062499999</v>
      </c>
      <c r="C1079">
        <v>80</v>
      </c>
      <c r="D1079">
        <v>79.931724548000005</v>
      </c>
      <c r="E1079">
        <v>40</v>
      </c>
      <c r="F1079">
        <v>35.057357787999997</v>
      </c>
      <c r="G1079">
        <v>1366.0816649999999</v>
      </c>
      <c r="H1079">
        <v>1356.3205565999999</v>
      </c>
      <c r="I1079">
        <v>1296.0628661999999</v>
      </c>
      <c r="J1079">
        <v>1279.1132812000001</v>
      </c>
      <c r="K1079">
        <v>1650</v>
      </c>
      <c r="L1079">
        <v>0</v>
      </c>
      <c r="M1079">
        <v>0</v>
      </c>
      <c r="N1079">
        <v>1650</v>
      </c>
    </row>
    <row r="1080" spans="1:14" x14ac:dyDescent="0.25">
      <c r="A1080">
        <v>846.30230700000004</v>
      </c>
      <c r="B1080" s="1">
        <f>DATE(2012,8,24) + TIME(7,15,19)</f>
        <v>41145.302303240744</v>
      </c>
      <c r="C1080">
        <v>80</v>
      </c>
      <c r="D1080">
        <v>79.931770325000002</v>
      </c>
      <c r="E1080">
        <v>40</v>
      </c>
      <c r="F1080">
        <v>35.038455962999997</v>
      </c>
      <c r="G1080">
        <v>1366.0311279</v>
      </c>
      <c r="H1080">
        <v>1356.277832</v>
      </c>
      <c r="I1080">
        <v>1296.0367432</v>
      </c>
      <c r="J1080">
        <v>1279.0511475000001</v>
      </c>
      <c r="K1080">
        <v>1650</v>
      </c>
      <c r="L1080">
        <v>0</v>
      </c>
      <c r="M1080">
        <v>0</v>
      </c>
      <c r="N1080">
        <v>1650</v>
      </c>
    </row>
    <row r="1081" spans="1:14" x14ac:dyDescent="0.25">
      <c r="A1081">
        <v>848.24764700000003</v>
      </c>
      <c r="B1081" s="1">
        <f>DATE(2012,8,26) + TIME(5,56,36)</f>
        <v>41147.24763888889</v>
      </c>
      <c r="C1081">
        <v>80</v>
      </c>
      <c r="D1081">
        <v>79.931816100999995</v>
      </c>
      <c r="E1081">
        <v>40</v>
      </c>
      <c r="F1081">
        <v>35.025474547999998</v>
      </c>
      <c r="G1081">
        <v>1365.9808350000001</v>
      </c>
      <c r="H1081">
        <v>1356.2351074000001</v>
      </c>
      <c r="I1081">
        <v>1296.0119629000001</v>
      </c>
      <c r="J1081">
        <v>1278.9909668</v>
      </c>
      <c r="K1081">
        <v>1650</v>
      </c>
      <c r="L1081">
        <v>0</v>
      </c>
      <c r="M1081">
        <v>0</v>
      </c>
      <c r="N1081">
        <v>1650</v>
      </c>
    </row>
    <row r="1082" spans="1:14" x14ac:dyDescent="0.25">
      <c r="A1082">
        <v>850.215236</v>
      </c>
      <c r="B1082" s="1">
        <f>DATE(2012,8,28) + TIME(5,9,56)</f>
        <v>41149.215231481481</v>
      </c>
      <c r="C1082">
        <v>80</v>
      </c>
      <c r="D1082">
        <v>79.931861877000003</v>
      </c>
      <c r="E1082">
        <v>40</v>
      </c>
      <c r="F1082">
        <v>35.019008636000002</v>
      </c>
      <c r="G1082">
        <v>1365.9304199000001</v>
      </c>
      <c r="H1082">
        <v>1356.1923827999999</v>
      </c>
      <c r="I1082">
        <v>1295.9886475000001</v>
      </c>
      <c r="J1082">
        <v>1278.9328613</v>
      </c>
      <c r="K1082">
        <v>1650</v>
      </c>
      <c r="L1082">
        <v>0</v>
      </c>
      <c r="M1082">
        <v>0</v>
      </c>
      <c r="N1082">
        <v>1650</v>
      </c>
    </row>
    <row r="1083" spans="1:14" x14ac:dyDescent="0.25">
      <c r="A1083">
        <v>852.21042499999999</v>
      </c>
      <c r="B1083" s="1">
        <f>DATE(2012,8,30) + TIME(5,3,0)</f>
        <v>41151.210416666669</v>
      </c>
      <c r="C1083">
        <v>80</v>
      </c>
      <c r="D1083">
        <v>79.931915282999995</v>
      </c>
      <c r="E1083">
        <v>40</v>
      </c>
      <c r="F1083">
        <v>35.019718169999997</v>
      </c>
      <c r="G1083">
        <v>1365.8798827999999</v>
      </c>
      <c r="H1083">
        <v>1356.1494141000001</v>
      </c>
      <c r="I1083">
        <v>1295.9667969</v>
      </c>
      <c r="J1083">
        <v>1278.8769531</v>
      </c>
      <c r="K1083">
        <v>1650</v>
      </c>
      <c r="L1083">
        <v>0</v>
      </c>
      <c r="M1083">
        <v>0</v>
      </c>
      <c r="N1083">
        <v>1650</v>
      </c>
    </row>
    <row r="1084" spans="1:14" x14ac:dyDescent="0.25">
      <c r="A1084">
        <v>854</v>
      </c>
      <c r="B1084" s="1">
        <f>DATE(2012,9,1) + TIME(0,0,0)</f>
        <v>41153</v>
      </c>
      <c r="C1084">
        <v>80</v>
      </c>
      <c r="D1084">
        <v>79.931961060000006</v>
      </c>
      <c r="E1084">
        <v>40</v>
      </c>
      <c r="F1084">
        <v>35.027976989999999</v>
      </c>
      <c r="G1084">
        <v>1365.8291016000001</v>
      </c>
      <c r="H1084">
        <v>1356.1060791</v>
      </c>
      <c r="I1084">
        <v>1295.9473877</v>
      </c>
      <c r="J1084">
        <v>1278.8250731999999</v>
      </c>
      <c r="K1084">
        <v>1650</v>
      </c>
      <c r="L1084">
        <v>0</v>
      </c>
      <c r="M1084">
        <v>0</v>
      </c>
      <c r="N1084">
        <v>1650</v>
      </c>
    </row>
    <row r="1085" spans="1:14" x14ac:dyDescent="0.25">
      <c r="A1085">
        <v>856.02842699999997</v>
      </c>
      <c r="B1085" s="1">
        <f>DATE(2012,9,3) + TIME(0,40,56)</f>
        <v>41155.028425925928</v>
      </c>
      <c r="C1085">
        <v>80</v>
      </c>
      <c r="D1085">
        <v>79.932014464999995</v>
      </c>
      <c r="E1085">
        <v>40</v>
      </c>
      <c r="F1085">
        <v>35.043968200999998</v>
      </c>
      <c r="G1085">
        <v>1365.7839355000001</v>
      </c>
      <c r="H1085">
        <v>1356.0675048999999</v>
      </c>
      <c r="I1085">
        <v>1295.9296875</v>
      </c>
      <c r="J1085">
        <v>1278.7783202999999</v>
      </c>
      <c r="K1085">
        <v>1650</v>
      </c>
      <c r="L1085">
        <v>0</v>
      </c>
      <c r="M1085">
        <v>0</v>
      </c>
      <c r="N1085">
        <v>1650</v>
      </c>
    </row>
    <row r="1086" spans="1:14" x14ac:dyDescent="0.25">
      <c r="A1086">
        <v>858.10877400000004</v>
      </c>
      <c r="B1086" s="1">
        <f>DATE(2012,9,5) + TIME(2,36,38)</f>
        <v>41157.108773148146</v>
      </c>
      <c r="C1086">
        <v>80</v>
      </c>
      <c r="D1086">
        <v>79.932067871000001</v>
      </c>
      <c r="E1086">
        <v>40</v>
      </c>
      <c r="F1086">
        <v>35.069713593000003</v>
      </c>
      <c r="G1086">
        <v>1365.7331543</v>
      </c>
      <c r="H1086">
        <v>1356.0241699000001</v>
      </c>
      <c r="I1086">
        <v>1295.9135742000001</v>
      </c>
      <c r="J1086">
        <v>1278.7319336</v>
      </c>
      <c r="K1086">
        <v>1650</v>
      </c>
      <c r="L1086">
        <v>0</v>
      </c>
      <c r="M1086">
        <v>0</v>
      </c>
      <c r="N1086">
        <v>1650</v>
      </c>
    </row>
    <row r="1087" spans="1:14" x14ac:dyDescent="0.25">
      <c r="A1087">
        <v>860.21689800000001</v>
      </c>
      <c r="B1087" s="1">
        <f>DATE(2012,9,7) + TIME(5,12,19)</f>
        <v>41159.216886574075</v>
      </c>
      <c r="C1087">
        <v>80</v>
      </c>
      <c r="D1087">
        <v>79.932128906000003</v>
      </c>
      <c r="E1087">
        <v>40</v>
      </c>
      <c r="F1087">
        <v>35.106197356999999</v>
      </c>
      <c r="G1087">
        <v>1365.6815185999999</v>
      </c>
      <c r="H1087">
        <v>1355.9798584</v>
      </c>
      <c r="I1087">
        <v>1295.8991699000001</v>
      </c>
      <c r="J1087">
        <v>1278.6887207</v>
      </c>
      <c r="K1087">
        <v>1650</v>
      </c>
      <c r="L1087">
        <v>0</v>
      </c>
      <c r="M1087">
        <v>0</v>
      </c>
      <c r="N1087">
        <v>1650</v>
      </c>
    </row>
    <row r="1088" spans="1:14" x14ac:dyDescent="0.25">
      <c r="A1088">
        <v>862.34094200000004</v>
      </c>
      <c r="B1088" s="1">
        <f>DATE(2012,9,9) + TIME(8,10,57)</f>
        <v>41161.340937499997</v>
      </c>
      <c r="C1088">
        <v>80</v>
      </c>
      <c r="D1088">
        <v>79.932182311999995</v>
      </c>
      <c r="E1088">
        <v>40</v>
      </c>
      <c r="F1088">
        <v>35.154247284</v>
      </c>
      <c r="G1088">
        <v>1365.6296387</v>
      </c>
      <c r="H1088">
        <v>1355.9353027</v>
      </c>
      <c r="I1088">
        <v>1295.887207</v>
      </c>
      <c r="J1088">
        <v>1278.6496582</v>
      </c>
      <c r="K1088">
        <v>1650</v>
      </c>
      <c r="L1088">
        <v>0</v>
      </c>
      <c r="M1088">
        <v>0</v>
      </c>
      <c r="N1088">
        <v>1650</v>
      </c>
    </row>
    <row r="1089" spans="1:14" x14ac:dyDescent="0.25">
      <c r="A1089">
        <v>864.48631399999999</v>
      </c>
      <c r="B1089" s="1">
        <f>DATE(2012,9,11) + TIME(11,40,17)</f>
        <v>41163.486307870371</v>
      </c>
      <c r="C1089">
        <v>80</v>
      </c>
      <c r="D1089">
        <v>79.932243346999996</v>
      </c>
      <c r="E1089">
        <v>40</v>
      </c>
      <c r="F1089">
        <v>35.214710236000002</v>
      </c>
      <c r="G1089">
        <v>1365.5778809000001</v>
      </c>
      <c r="H1089">
        <v>1355.890625</v>
      </c>
      <c r="I1089">
        <v>1295.8776855000001</v>
      </c>
      <c r="J1089">
        <v>1278.6156006000001</v>
      </c>
      <c r="K1089">
        <v>1650</v>
      </c>
      <c r="L1089">
        <v>0</v>
      </c>
      <c r="M1089">
        <v>0</v>
      </c>
      <c r="N1089">
        <v>1650</v>
      </c>
    </row>
    <row r="1090" spans="1:14" x14ac:dyDescent="0.25">
      <c r="A1090">
        <v>866.66075799999999</v>
      </c>
      <c r="B1090" s="1">
        <f>DATE(2012,9,13) + TIME(15,51,29)</f>
        <v>41165.660752314812</v>
      </c>
      <c r="C1090">
        <v>80</v>
      </c>
      <c r="D1090">
        <v>79.932296753000003</v>
      </c>
      <c r="E1090">
        <v>40</v>
      </c>
      <c r="F1090">
        <v>35.288623809999997</v>
      </c>
      <c r="G1090">
        <v>1365.526001</v>
      </c>
      <c r="H1090">
        <v>1355.8459473</v>
      </c>
      <c r="I1090">
        <v>1295.8708495999999</v>
      </c>
      <c r="J1090">
        <v>1278.5869141000001</v>
      </c>
      <c r="K1090">
        <v>1650</v>
      </c>
      <c r="L1090">
        <v>0</v>
      </c>
      <c r="M1090">
        <v>0</v>
      </c>
      <c r="N1090">
        <v>1650</v>
      </c>
    </row>
    <row r="1091" spans="1:14" x14ac:dyDescent="0.25">
      <c r="A1091">
        <v>868.86282400000005</v>
      </c>
      <c r="B1091" s="1">
        <f>DATE(2012,9,15) + TIME(20,42,28)</f>
        <v>41167.862824074073</v>
      </c>
      <c r="C1091">
        <v>80</v>
      </c>
      <c r="D1091">
        <v>79.932357788000004</v>
      </c>
      <c r="E1091">
        <v>40</v>
      </c>
      <c r="F1091">
        <v>35.377128601000003</v>
      </c>
      <c r="G1091">
        <v>1365.4737548999999</v>
      </c>
      <c r="H1091">
        <v>1355.8007812000001</v>
      </c>
      <c r="I1091">
        <v>1295.8669434000001</v>
      </c>
      <c r="J1091">
        <v>1278.5640868999999</v>
      </c>
      <c r="K1091">
        <v>1650</v>
      </c>
      <c r="L1091">
        <v>0</v>
      </c>
      <c r="M1091">
        <v>0</v>
      </c>
      <c r="N1091">
        <v>1650</v>
      </c>
    </row>
    <row r="1092" spans="1:14" x14ac:dyDescent="0.25">
      <c r="A1092">
        <v>871.09161300000005</v>
      </c>
      <c r="B1092" s="1">
        <f>DATE(2012,9,18) + TIME(2,11,55)</f>
        <v>41170.091608796298</v>
      </c>
      <c r="C1092">
        <v>80</v>
      </c>
      <c r="D1092">
        <v>79.932426453000005</v>
      </c>
      <c r="E1092">
        <v>40</v>
      </c>
      <c r="F1092">
        <v>35.481235503999997</v>
      </c>
      <c r="G1092">
        <v>1365.4213867000001</v>
      </c>
      <c r="H1092">
        <v>1355.7554932</v>
      </c>
      <c r="I1092">
        <v>1295.8662108999999</v>
      </c>
      <c r="J1092">
        <v>1278.5476074000001</v>
      </c>
      <c r="K1092">
        <v>1650</v>
      </c>
      <c r="L1092">
        <v>0</v>
      </c>
      <c r="M1092">
        <v>0</v>
      </c>
      <c r="N1092">
        <v>1650</v>
      </c>
    </row>
    <row r="1093" spans="1:14" x14ac:dyDescent="0.25">
      <c r="A1093">
        <v>873.35317599999996</v>
      </c>
      <c r="B1093" s="1">
        <f>DATE(2012,9,20) + TIME(8,28,34)</f>
        <v>41172.353171296294</v>
      </c>
      <c r="C1093">
        <v>80</v>
      </c>
      <c r="D1093">
        <v>79.932487488000007</v>
      </c>
      <c r="E1093">
        <v>40</v>
      </c>
      <c r="F1093">
        <v>35.602073668999999</v>
      </c>
      <c r="G1093">
        <v>1365.3688964999999</v>
      </c>
      <c r="H1093">
        <v>1355.7098389</v>
      </c>
      <c r="I1093">
        <v>1295.8685303</v>
      </c>
      <c r="J1093">
        <v>1278.5380858999999</v>
      </c>
      <c r="K1093">
        <v>1650</v>
      </c>
      <c r="L1093">
        <v>0</v>
      </c>
      <c r="M1093">
        <v>0</v>
      </c>
      <c r="N1093">
        <v>1650</v>
      </c>
    </row>
    <row r="1094" spans="1:14" x14ac:dyDescent="0.25">
      <c r="A1094">
        <v>875.65392099999997</v>
      </c>
      <c r="B1094" s="1">
        <f>DATE(2012,9,22) + TIME(15,41,38)</f>
        <v>41174.653912037036</v>
      </c>
      <c r="C1094">
        <v>80</v>
      </c>
      <c r="D1094">
        <v>79.932548522999994</v>
      </c>
      <c r="E1094">
        <v>40</v>
      </c>
      <c r="F1094">
        <v>35.740947722999998</v>
      </c>
      <c r="G1094">
        <v>1365.3160399999999</v>
      </c>
      <c r="H1094">
        <v>1355.6639404</v>
      </c>
      <c r="I1094">
        <v>1295.8742675999999</v>
      </c>
      <c r="J1094">
        <v>1278.5360106999999</v>
      </c>
      <c r="K1094">
        <v>1650</v>
      </c>
      <c r="L1094">
        <v>0</v>
      </c>
      <c r="M1094">
        <v>0</v>
      </c>
      <c r="N1094">
        <v>1650</v>
      </c>
    </row>
    <row r="1095" spans="1:14" x14ac:dyDescent="0.25">
      <c r="A1095">
        <v>877.99559499999998</v>
      </c>
      <c r="B1095" s="1">
        <f>DATE(2012,9,24) + TIME(23,53,39)</f>
        <v>41176.99559027778</v>
      </c>
      <c r="C1095">
        <v>80</v>
      </c>
      <c r="D1095">
        <v>79.932617187999995</v>
      </c>
      <c r="E1095">
        <v>40</v>
      </c>
      <c r="F1095">
        <v>35.899147034000002</v>
      </c>
      <c r="G1095">
        <v>1365.2626952999999</v>
      </c>
      <c r="H1095">
        <v>1355.6174315999999</v>
      </c>
      <c r="I1095">
        <v>1295.8836670000001</v>
      </c>
      <c r="J1095">
        <v>1278.5418701000001</v>
      </c>
      <c r="K1095">
        <v>1650</v>
      </c>
      <c r="L1095">
        <v>0</v>
      </c>
      <c r="M1095">
        <v>0</v>
      </c>
      <c r="N1095">
        <v>1650</v>
      </c>
    </row>
    <row r="1096" spans="1:14" x14ac:dyDescent="0.25">
      <c r="A1096">
        <v>880.35785799999996</v>
      </c>
      <c r="B1096" s="1">
        <f>DATE(2012,9,27) + TIME(8,35,18)</f>
        <v>41179.357847222222</v>
      </c>
      <c r="C1096">
        <v>80</v>
      </c>
      <c r="D1096">
        <v>79.932685852000006</v>
      </c>
      <c r="E1096">
        <v>40</v>
      </c>
      <c r="F1096">
        <v>36.077270507999998</v>
      </c>
      <c r="G1096">
        <v>1365.2089844</v>
      </c>
      <c r="H1096">
        <v>1355.5705565999999</v>
      </c>
      <c r="I1096">
        <v>1295.8968506000001</v>
      </c>
      <c r="J1096">
        <v>1278.5562743999999</v>
      </c>
      <c r="K1096">
        <v>1650</v>
      </c>
      <c r="L1096">
        <v>0</v>
      </c>
      <c r="M1096">
        <v>0</v>
      </c>
      <c r="N1096">
        <v>1650</v>
      </c>
    </row>
    <row r="1097" spans="1:14" x14ac:dyDescent="0.25">
      <c r="A1097">
        <v>881.54154700000004</v>
      </c>
      <c r="B1097" s="1">
        <f>DATE(2012,9,28) + TIME(12,59,49)</f>
        <v>41180.541539351849</v>
      </c>
      <c r="C1097">
        <v>80</v>
      </c>
      <c r="D1097">
        <v>79.932708739999995</v>
      </c>
      <c r="E1097">
        <v>40</v>
      </c>
      <c r="F1097">
        <v>36.225147247000002</v>
      </c>
      <c r="G1097">
        <v>1365.1553954999999</v>
      </c>
      <c r="H1097">
        <v>1355.5238036999999</v>
      </c>
      <c r="I1097">
        <v>1295.9239502</v>
      </c>
      <c r="J1097">
        <v>1278.5798339999999</v>
      </c>
      <c r="K1097">
        <v>1650</v>
      </c>
      <c r="L1097">
        <v>0</v>
      </c>
      <c r="M1097">
        <v>0</v>
      </c>
      <c r="N1097">
        <v>1650</v>
      </c>
    </row>
    <row r="1098" spans="1:14" x14ac:dyDescent="0.25">
      <c r="A1098">
        <v>882.77077299999996</v>
      </c>
      <c r="B1098" s="1">
        <f>DATE(2012,9,29) + TIME(18,29,54)</f>
        <v>41181.77076388889</v>
      </c>
      <c r="C1098">
        <v>80</v>
      </c>
      <c r="D1098">
        <v>79.932739257999998</v>
      </c>
      <c r="E1098">
        <v>40</v>
      </c>
      <c r="F1098">
        <v>36.357921599999997</v>
      </c>
      <c r="G1098">
        <v>1365.128418</v>
      </c>
      <c r="H1098">
        <v>1355.5001221</v>
      </c>
      <c r="I1098">
        <v>1295.9295654</v>
      </c>
      <c r="J1098">
        <v>1278.5968018000001</v>
      </c>
      <c r="K1098">
        <v>1650</v>
      </c>
      <c r="L1098">
        <v>0</v>
      </c>
      <c r="M1098">
        <v>0</v>
      </c>
      <c r="N1098">
        <v>1650</v>
      </c>
    </row>
    <row r="1099" spans="1:14" x14ac:dyDescent="0.25">
      <c r="A1099">
        <v>884</v>
      </c>
      <c r="B1099" s="1">
        <f>DATE(2012,10,1) + TIME(0,0,0)</f>
        <v>41183</v>
      </c>
      <c r="C1099">
        <v>80</v>
      </c>
      <c r="D1099">
        <v>79.932769774999997</v>
      </c>
      <c r="E1099">
        <v>40</v>
      </c>
      <c r="F1099">
        <v>36.484848022000001</v>
      </c>
      <c r="G1099">
        <v>1365.1008300999999</v>
      </c>
      <c r="H1099">
        <v>1355.4759521000001</v>
      </c>
      <c r="I1099">
        <v>1295.9392089999999</v>
      </c>
      <c r="J1099">
        <v>1278.6160889</v>
      </c>
      <c r="K1099">
        <v>1650</v>
      </c>
      <c r="L1099">
        <v>0</v>
      </c>
      <c r="M1099">
        <v>0</v>
      </c>
      <c r="N1099">
        <v>1650</v>
      </c>
    </row>
    <row r="1100" spans="1:14" x14ac:dyDescent="0.25">
      <c r="A1100">
        <v>885.21882200000005</v>
      </c>
      <c r="B1100" s="1">
        <f>DATE(2012,10,2) + TIME(5,15,6)</f>
        <v>41184.218819444446</v>
      </c>
      <c r="C1100">
        <v>80</v>
      </c>
      <c r="D1100">
        <v>79.932807921999995</v>
      </c>
      <c r="E1100">
        <v>40</v>
      </c>
      <c r="F1100">
        <v>36.610614777000002</v>
      </c>
      <c r="G1100">
        <v>1365.0734863</v>
      </c>
      <c r="H1100">
        <v>1355.4519043</v>
      </c>
      <c r="I1100">
        <v>1295.9509277</v>
      </c>
      <c r="J1100">
        <v>1278.6375731999999</v>
      </c>
      <c r="K1100">
        <v>1650</v>
      </c>
      <c r="L1100">
        <v>0</v>
      </c>
      <c r="M1100">
        <v>0</v>
      </c>
      <c r="N1100">
        <v>1650</v>
      </c>
    </row>
    <row r="1101" spans="1:14" x14ac:dyDescent="0.25">
      <c r="A1101">
        <v>886.43764499999997</v>
      </c>
      <c r="B1101" s="1">
        <f>DATE(2012,10,3) + TIME(10,30,12)</f>
        <v>41185.437638888892</v>
      </c>
      <c r="C1101">
        <v>80</v>
      </c>
      <c r="D1101">
        <v>79.932838439999998</v>
      </c>
      <c r="E1101">
        <v>40</v>
      </c>
      <c r="F1101">
        <v>36.737957000999998</v>
      </c>
      <c r="G1101">
        <v>1365.0463867000001</v>
      </c>
      <c r="H1101">
        <v>1355.4282227000001</v>
      </c>
      <c r="I1101">
        <v>1295.9638672000001</v>
      </c>
      <c r="J1101">
        <v>1278.6611327999999</v>
      </c>
      <c r="K1101">
        <v>1650</v>
      </c>
      <c r="L1101">
        <v>0</v>
      </c>
      <c r="M1101">
        <v>0</v>
      </c>
      <c r="N1101">
        <v>1650</v>
      </c>
    </row>
    <row r="1102" spans="1:14" x14ac:dyDescent="0.25">
      <c r="A1102">
        <v>887.65646700000002</v>
      </c>
      <c r="B1102" s="1">
        <f>DATE(2012,10,4) + TIME(15,45,18)</f>
        <v>41186.656458333331</v>
      </c>
      <c r="C1102">
        <v>80</v>
      </c>
      <c r="D1102">
        <v>79.932876586999996</v>
      </c>
      <c r="E1102">
        <v>40</v>
      </c>
      <c r="F1102">
        <v>36.868144989000001</v>
      </c>
      <c r="G1102">
        <v>1365.0196533000001</v>
      </c>
      <c r="H1102">
        <v>1355.4046631000001</v>
      </c>
      <c r="I1102">
        <v>1295.9779053</v>
      </c>
      <c r="J1102">
        <v>1278.6867675999999</v>
      </c>
      <c r="K1102">
        <v>1650</v>
      </c>
      <c r="L1102">
        <v>0</v>
      </c>
      <c r="M1102">
        <v>0</v>
      </c>
      <c r="N1102">
        <v>1650</v>
      </c>
    </row>
    <row r="1103" spans="1:14" x14ac:dyDescent="0.25">
      <c r="A1103">
        <v>888.87528899999995</v>
      </c>
      <c r="B1103" s="1">
        <f>DATE(2012,10,5) + TIME(21,0,24)</f>
        <v>41187.875277777777</v>
      </c>
      <c r="C1103">
        <v>80</v>
      </c>
      <c r="D1103">
        <v>79.932914733999993</v>
      </c>
      <c r="E1103">
        <v>40</v>
      </c>
      <c r="F1103">
        <v>37.001731872999997</v>
      </c>
      <c r="G1103">
        <v>1364.9929199000001</v>
      </c>
      <c r="H1103">
        <v>1355.3812256000001</v>
      </c>
      <c r="I1103">
        <v>1295.9929199000001</v>
      </c>
      <c r="J1103">
        <v>1278.7147216999999</v>
      </c>
      <c r="K1103">
        <v>1650</v>
      </c>
      <c r="L1103">
        <v>0</v>
      </c>
      <c r="M1103">
        <v>0</v>
      </c>
      <c r="N1103">
        <v>1650</v>
      </c>
    </row>
    <row r="1104" spans="1:14" x14ac:dyDescent="0.25">
      <c r="A1104">
        <v>890.094112</v>
      </c>
      <c r="B1104" s="1">
        <f>DATE(2012,10,7) + TIME(2,15,31)</f>
        <v>41189.094108796293</v>
      </c>
      <c r="C1104">
        <v>80</v>
      </c>
      <c r="D1104">
        <v>79.932945251000007</v>
      </c>
      <c r="E1104">
        <v>40</v>
      </c>
      <c r="F1104">
        <v>37.138900757000002</v>
      </c>
      <c r="G1104">
        <v>1364.9664307</v>
      </c>
      <c r="H1104">
        <v>1355.3579102000001</v>
      </c>
      <c r="I1104">
        <v>1296.0089111</v>
      </c>
      <c r="J1104">
        <v>1278.744751</v>
      </c>
      <c r="K1104">
        <v>1650</v>
      </c>
      <c r="L1104">
        <v>0</v>
      </c>
      <c r="M1104">
        <v>0</v>
      </c>
      <c r="N1104">
        <v>1650</v>
      </c>
    </row>
    <row r="1105" spans="1:14" x14ac:dyDescent="0.25">
      <c r="A1105">
        <v>892.53175599999997</v>
      </c>
      <c r="B1105" s="1">
        <f>DATE(2012,10,9) + TIME(12,45,43)</f>
        <v>41191.531747685185</v>
      </c>
      <c r="C1105">
        <v>80</v>
      </c>
      <c r="D1105">
        <v>79.933036803999997</v>
      </c>
      <c r="E1105">
        <v>40</v>
      </c>
      <c r="F1105">
        <v>37.325550079000003</v>
      </c>
      <c r="G1105">
        <v>1364.9401855000001</v>
      </c>
      <c r="H1105">
        <v>1355.3347168</v>
      </c>
      <c r="I1105">
        <v>1296.0183105000001</v>
      </c>
      <c r="J1105">
        <v>1278.7795410000001</v>
      </c>
      <c r="K1105">
        <v>1650</v>
      </c>
      <c r="L1105">
        <v>0</v>
      </c>
      <c r="M1105">
        <v>0</v>
      </c>
      <c r="N1105">
        <v>1650</v>
      </c>
    </row>
    <row r="1106" spans="1:14" x14ac:dyDescent="0.25">
      <c r="A1106">
        <v>894.98200799999995</v>
      </c>
      <c r="B1106" s="1">
        <f>DATE(2012,10,11) + TIME(23,34,5)</f>
        <v>41193.982002314813</v>
      </c>
      <c r="C1106">
        <v>80</v>
      </c>
      <c r="D1106">
        <v>79.933113098000007</v>
      </c>
      <c r="E1106">
        <v>40</v>
      </c>
      <c r="F1106">
        <v>37.585906981999997</v>
      </c>
      <c r="G1106">
        <v>1364.8880615</v>
      </c>
      <c r="H1106">
        <v>1355.2889404</v>
      </c>
      <c r="I1106">
        <v>1296.0567627</v>
      </c>
      <c r="J1106">
        <v>1278.8430175999999</v>
      </c>
      <c r="K1106">
        <v>1650</v>
      </c>
      <c r="L1106">
        <v>0</v>
      </c>
      <c r="M1106">
        <v>0</v>
      </c>
      <c r="N1106">
        <v>1650</v>
      </c>
    </row>
    <row r="1107" spans="1:14" x14ac:dyDescent="0.25">
      <c r="A1107">
        <v>897.49114199999997</v>
      </c>
      <c r="B1107" s="1">
        <f>DATE(2012,10,14) + TIME(11,47,14)</f>
        <v>41196.49113425926</v>
      </c>
      <c r="C1107">
        <v>80</v>
      </c>
      <c r="D1107">
        <v>79.933189392000003</v>
      </c>
      <c r="E1107">
        <v>40</v>
      </c>
      <c r="F1107">
        <v>37.882026672000002</v>
      </c>
      <c r="G1107">
        <v>1364.8361815999999</v>
      </c>
      <c r="H1107">
        <v>1355.2432861</v>
      </c>
      <c r="I1107">
        <v>1296.0961914</v>
      </c>
      <c r="J1107">
        <v>1278.9179687999999</v>
      </c>
      <c r="K1107">
        <v>1650</v>
      </c>
      <c r="L1107">
        <v>0</v>
      </c>
      <c r="M1107">
        <v>0</v>
      </c>
      <c r="N1107">
        <v>1650</v>
      </c>
    </row>
    <row r="1108" spans="1:14" x14ac:dyDescent="0.25">
      <c r="A1108">
        <v>900.066419</v>
      </c>
      <c r="B1108" s="1">
        <f>DATE(2012,10,17) + TIME(1,35,38)</f>
        <v>41199.066412037035</v>
      </c>
      <c r="C1108">
        <v>80</v>
      </c>
      <c r="D1108">
        <v>79.933265685999999</v>
      </c>
      <c r="E1108">
        <v>40</v>
      </c>
      <c r="F1108">
        <v>38.203147887999997</v>
      </c>
      <c r="G1108">
        <v>1364.7838135</v>
      </c>
      <c r="H1108">
        <v>1355.1971435999999</v>
      </c>
      <c r="I1108">
        <v>1296.1391602000001</v>
      </c>
      <c r="J1108">
        <v>1279.0031738</v>
      </c>
      <c r="K1108">
        <v>1650</v>
      </c>
      <c r="L1108">
        <v>0</v>
      </c>
      <c r="M1108">
        <v>0</v>
      </c>
      <c r="N1108">
        <v>1650</v>
      </c>
    </row>
    <row r="1109" spans="1:14" x14ac:dyDescent="0.25">
      <c r="A1109">
        <v>901.37670500000002</v>
      </c>
      <c r="B1109" s="1">
        <f>DATE(2012,10,18) + TIME(9,2,27)</f>
        <v>41200.376701388886</v>
      </c>
      <c r="C1109">
        <v>80</v>
      </c>
      <c r="D1109">
        <v>79.933296204000001</v>
      </c>
      <c r="E1109">
        <v>40</v>
      </c>
      <c r="F1109">
        <v>38.464260101000001</v>
      </c>
      <c r="G1109">
        <v>1364.730957</v>
      </c>
      <c r="H1109">
        <v>1355.1506348</v>
      </c>
      <c r="I1109">
        <v>1296.1973877</v>
      </c>
      <c r="J1109">
        <v>1279.0908202999999</v>
      </c>
      <c r="K1109">
        <v>1650</v>
      </c>
      <c r="L1109">
        <v>0</v>
      </c>
      <c r="M1109">
        <v>0</v>
      </c>
      <c r="N1109">
        <v>1650</v>
      </c>
    </row>
    <row r="1110" spans="1:14" x14ac:dyDescent="0.25">
      <c r="A1110">
        <v>902.68699200000003</v>
      </c>
      <c r="B1110" s="1">
        <f>DATE(2012,10,19) + TIME(16,29,16)</f>
        <v>41201.686990740738</v>
      </c>
      <c r="C1110">
        <v>80</v>
      </c>
      <c r="D1110">
        <v>79.933326721</v>
      </c>
      <c r="E1110">
        <v>40</v>
      </c>
      <c r="F1110">
        <v>38.682868958</v>
      </c>
      <c r="G1110">
        <v>1364.7041016000001</v>
      </c>
      <c r="H1110">
        <v>1355.1268310999999</v>
      </c>
      <c r="I1110">
        <v>1296.2192382999999</v>
      </c>
      <c r="J1110">
        <v>1279.1502685999999</v>
      </c>
      <c r="K1110">
        <v>1650</v>
      </c>
      <c r="L1110">
        <v>0</v>
      </c>
      <c r="M1110">
        <v>0</v>
      </c>
      <c r="N1110">
        <v>1650</v>
      </c>
    </row>
    <row r="1111" spans="1:14" x14ac:dyDescent="0.25">
      <c r="A1111">
        <v>903.99727800000005</v>
      </c>
      <c r="B1111" s="1">
        <f>DATE(2012,10,20) + TIME(23,56,4)</f>
        <v>41202.99726851852</v>
      </c>
      <c r="C1111">
        <v>80</v>
      </c>
      <c r="D1111">
        <v>79.933364867999998</v>
      </c>
      <c r="E1111">
        <v>40</v>
      </c>
      <c r="F1111">
        <v>38.882316588999998</v>
      </c>
      <c r="G1111">
        <v>1364.6777344</v>
      </c>
      <c r="H1111">
        <v>1355.1035156</v>
      </c>
      <c r="I1111">
        <v>1296.2437743999999</v>
      </c>
      <c r="J1111">
        <v>1279.2072754000001</v>
      </c>
      <c r="K1111">
        <v>1650</v>
      </c>
      <c r="L1111">
        <v>0</v>
      </c>
      <c r="M1111">
        <v>0</v>
      </c>
      <c r="N1111">
        <v>1650</v>
      </c>
    </row>
    <row r="1112" spans="1:14" x14ac:dyDescent="0.25">
      <c r="A1112">
        <v>906.61785099999997</v>
      </c>
      <c r="B1112" s="1">
        <f>DATE(2012,10,23) + TIME(14,49,42)</f>
        <v>41205.617847222224</v>
      </c>
      <c r="C1112">
        <v>80</v>
      </c>
      <c r="D1112">
        <v>79.933464049999998</v>
      </c>
      <c r="E1112">
        <v>40</v>
      </c>
      <c r="F1112">
        <v>39.131858825999998</v>
      </c>
      <c r="G1112">
        <v>1364.6516113</v>
      </c>
      <c r="H1112">
        <v>1355.0804443</v>
      </c>
      <c r="I1112">
        <v>1296.262207</v>
      </c>
      <c r="J1112">
        <v>1279.2698975000001</v>
      </c>
      <c r="K1112">
        <v>1650</v>
      </c>
      <c r="L1112">
        <v>0</v>
      </c>
      <c r="M1112">
        <v>0</v>
      </c>
      <c r="N1112">
        <v>1650</v>
      </c>
    </row>
    <row r="1113" spans="1:14" x14ac:dyDescent="0.25">
      <c r="A1113">
        <v>909.24048200000004</v>
      </c>
      <c r="B1113" s="1">
        <f>DATE(2012,10,26) + TIME(5,46,17)</f>
        <v>41208.240474537037</v>
      </c>
      <c r="C1113">
        <v>80</v>
      </c>
      <c r="D1113">
        <v>79.933547974000007</v>
      </c>
      <c r="E1113">
        <v>40</v>
      </c>
      <c r="F1113">
        <v>39.464725494</v>
      </c>
      <c r="G1113">
        <v>1364.6000977000001</v>
      </c>
      <c r="H1113">
        <v>1355.0349120999999</v>
      </c>
      <c r="I1113">
        <v>1296.3188477000001</v>
      </c>
      <c r="J1113">
        <v>1279.3742675999999</v>
      </c>
      <c r="K1113">
        <v>1650</v>
      </c>
      <c r="L1113">
        <v>0</v>
      </c>
      <c r="M1113">
        <v>0</v>
      </c>
      <c r="N1113">
        <v>1650</v>
      </c>
    </row>
    <row r="1114" spans="1:14" x14ac:dyDescent="0.25">
      <c r="A1114">
        <v>911.90766499999995</v>
      </c>
      <c r="B1114" s="1">
        <f>DATE(2012,10,28) + TIME(21,47,2)</f>
        <v>41210.90766203704</v>
      </c>
      <c r="C1114">
        <v>80</v>
      </c>
      <c r="D1114">
        <v>79.933624268000003</v>
      </c>
      <c r="E1114">
        <v>40</v>
      </c>
      <c r="F1114">
        <v>39.827308655000003</v>
      </c>
      <c r="G1114">
        <v>1364.5491943</v>
      </c>
      <c r="H1114">
        <v>1354.9901123</v>
      </c>
      <c r="I1114">
        <v>1296.3765868999999</v>
      </c>
      <c r="J1114">
        <v>1279.4899902</v>
      </c>
      <c r="K1114">
        <v>1650</v>
      </c>
      <c r="L1114">
        <v>0</v>
      </c>
      <c r="M1114">
        <v>0</v>
      </c>
      <c r="N1114">
        <v>1650</v>
      </c>
    </row>
    <row r="1115" spans="1:14" x14ac:dyDescent="0.25">
      <c r="A1115">
        <v>914.63060700000005</v>
      </c>
      <c r="B1115" s="1">
        <f>DATE(2012,10,31) + TIME(15,8,4)</f>
        <v>41213.630601851852</v>
      </c>
      <c r="C1115">
        <v>80</v>
      </c>
      <c r="D1115">
        <v>79.933708190999994</v>
      </c>
      <c r="E1115">
        <v>40</v>
      </c>
      <c r="F1115">
        <v>40.204692841000004</v>
      </c>
      <c r="G1115">
        <v>1364.4984131000001</v>
      </c>
      <c r="H1115">
        <v>1354.9451904</v>
      </c>
      <c r="I1115">
        <v>1296.4370117000001</v>
      </c>
      <c r="J1115">
        <v>1279.6136475000001</v>
      </c>
      <c r="K1115">
        <v>1650</v>
      </c>
      <c r="L1115">
        <v>0</v>
      </c>
      <c r="M1115">
        <v>0</v>
      </c>
      <c r="N1115">
        <v>1650</v>
      </c>
    </row>
    <row r="1116" spans="1:14" x14ac:dyDescent="0.25">
      <c r="A1116">
        <v>915</v>
      </c>
      <c r="B1116" s="1">
        <f>DATE(2012,11,1) + TIME(0,0,0)</f>
        <v>41214</v>
      </c>
      <c r="C1116">
        <v>80</v>
      </c>
      <c r="D1116">
        <v>79.933708190999994</v>
      </c>
      <c r="E1116">
        <v>40</v>
      </c>
      <c r="F1116">
        <v>40.338478088000002</v>
      </c>
      <c r="G1116">
        <v>1364.4490966999999</v>
      </c>
      <c r="H1116">
        <v>1354.9019774999999</v>
      </c>
      <c r="I1116">
        <v>1296.5285644999999</v>
      </c>
      <c r="J1116">
        <v>1279.7117920000001</v>
      </c>
      <c r="K1116">
        <v>1650</v>
      </c>
      <c r="L1116">
        <v>0</v>
      </c>
      <c r="M1116">
        <v>0</v>
      </c>
      <c r="N1116">
        <v>1650</v>
      </c>
    </row>
    <row r="1117" spans="1:14" x14ac:dyDescent="0.25">
      <c r="A1117">
        <v>915.000001</v>
      </c>
      <c r="B1117" s="1">
        <f>DATE(2012,11,1) + TIME(0,0,0)</f>
        <v>41214</v>
      </c>
      <c r="C1117">
        <v>80</v>
      </c>
      <c r="D1117">
        <v>79.933624268000003</v>
      </c>
      <c r="E1117">
        <v>40</v>
      </c>
      <c r="F1117">
        <v>40.338558196999998</v>
      </c>
      <c r="G1117">
        <v>1354.3026123</v>
      </c>
      <c r="H1117">
        <v>1346.4451904</v>
      </c>
      <c r="I1117">
        <v>1314.0206298999999</v>
      </c>
      <c r="J1117">
        <v>1297.1802978999999</v>
      </c>
      <c r="K1117">
        <v>0</v>
      </c>
      <c r="L1117">
        <v>1650</v>
      </c>
      <c r="M1117">
        <v>1650</v>
      </c>
      <c r="N1117">
        <v>0</v>
      </c>
    </row>
    <row r="1118" spans="1:14" x14ac:dyDescent="0.25">
      <c r="A1118">
        <v>915.00000399999999</v>
      </c>
      <c r="B1118" s="1">
        <f>DATE(2012,11,1) + TIME(0,0,0)</f>
        <v>41214</v>
      </c>
      <c r="C1118">
        <v>80</v>
      </c>
      <c r="D1118">
        <v>79.933410644999995</v>
      </c>
      <c r="E1118">
        <v>40</v>
      </c>
      <c r="F1118">
        <v>40.338771819999998</v>
      </c>
      <c r="G1118">
        <v>1352.7885742000001</v>
      </c>
      <c r="H1118">
        <v>1344.9305420000001</v>
      </c>
      <c r="I1118">
        <v>1315.6832274999999</v>
      </c>
      <c r="J1118">
        <v>1298.9482422000001</v>
      </c>
      <c r="K1118">
        <v>0</v>
      </c>
      <c r="L1118">
        <v>1650</v>
      </c>
      <c r="M1118">
        <v>1650</v>
      </c>
      <c r="N1118">
        <v>0</v>
      </c>
    </row>
    <row r="1119" spans="1:14" x14ac:dyDescent="0.25">
      <c r="A1119">
        <v>915.00001299999997</v>
      </c>
      <c r="B1119" s="1">
        <f>DATE(2012,11,1) + TIME(0,0,1)</f>
        <v>41214.000011574077</v>
      </c>
      <c r="C1119">
        <v>80</v>
      </c>
      <c r="D1119">
        <v>79.932975768999995</v>
      </c>
      <c r="E1119">
        <v>40</v>
      </c>
      <c r="F1119">
        <v>40.339267731</v>
      </c>
      <c r="G1119">
        <v>1349.7319336</v>
      </c>
      <c r="H1119">
        <v>1341.8734131000001</v>
      </c>
      <c r="I1119">
        <v>1319.6125488</v>
      </c>
      <c r="J1119">
        <v>1303.0633545000001</v>
      </c>
      <c r="K1119">
        <v>0</v>
      </c>
      <c r="L1119">
        <v>1650</v>
      </c>
      <c r="M1119">
        <v>1650</v>
      </c>
      <c r="N1119">
        <v>0</v>
      </c>
    </row>
    <row r="1120" spans="1:14" x14ac:dyDescent="0.25">
      <c r="A1120">
        <v>915.00004000000001</v>
      </c>
      <c r="B1120" s="1">
        <f>DATE(2012,11,1) + TIME(0,0,3)</f>
        <v>41214.000034722223</v>
      </c>
      <c r="C1120">
        <v>80</v>
      </c>
      <c r="D1120">
        <v>79.932334900000001</v>
      </c>
      <c r="E1120">
        <v>40</v>
      </c>
      <c r="F1120">
        <v>40.340126038000001</v>
      </c>
      <c r="G1120">
        <v>1345.2648925999999</v>
      </c>
      <c r="H1120">
        <v>1337.4082031</v>
      </c>
      <c r="I1120">
        <v>1326.6777344</v>
      </c>
      <c r="J1120">
        <v>1310.2659911999999</v>
      </c>
      <c r="K1120">
        <v>0</v>
      </c>
      <c r="L1120">
        <v>1650</v>
      </c>
      <c r="M1120">
        <v>1650</v>
      </c>
      <c r="N1120">
        <v>0</v>
      </c>
    </row>
    <row r="1121" spans="1:14" x14ac:dyDescent="0.25">
      <c r="A1121">
        <v>915.00012100000004</v>
      </c>
      <c r="B1121" s="1">
        <f>DATE(2012,11,1) + TIME(0,0,10)</f>
        <v>41214.000115740739</v>
      </c>
      <c r="C1121">
        <v>80</v>
      </c>
      <c r="D1121">
        <v>79.931610106999997</v>
      </c>
      <c r="E1121">
        <v>40</v>
      </c>
      <c r="F1121">
        <v>40.341209411999998</v>
      </c>
      <c r="G1121">
        <v>1340.2913818</v>
      </c>
      <c r="H1121">
        <v>1332.4393310999999</v>
      </c>
      <c r="I1121">
        <v>1335.9068603999999</v>
      </c>
      <c r="J1121">
        <v>1319.5098877</v>
      </c>
      <c r="K1121">
        <v>0</v>
      </c>
      <c r="L1121">
        <v>1650</v>
      </c>
      <c r="M1121">
        <v>1650</v>
      </c>
      <c r="N1121">
        <v>0</v>
      </c>
    </row>
    <row r="1122" spans="1:14" x14ac:dyDescent="0.25">
      <c r="A1122">
        <v>915.00036399999999</v>
      </c>
      <c r="B1122" s="1">
        <f>DATE(2012,11,1) + TIME(0,0,31)</f>
        <v>41214.000358796293</v>
      </c>
      <c r="C1122">
        <v>80</v>
      </c>
      <c r="D1122">
        <v>79.930854796999995</v>
      </c>
      <c r="E1122">
        <v>40</v>
      </c>
      <c r="F1122">
        <v>40.342315673999998</v>
      </c>
      <c r="G1122">
        <v>1335.2807617000001</v>
      </c>
      <c r="H1122">
        <v>1327.4288329999999</v>
      </c>
      <c r="I1122">
        <v>1345.7504882999999</v>
      </c>
      <c r="J1122">
        <v>1329.3496094</v>
      </c>
      <c r="K1122">
        <v>0</v>
      </c>
      <c r="L1122">
        <v>1650</v>
      </c>
      <c r="M1122">
        <v>1650</v>
      </c>
      <c r="N1122">
        <v>0</v>
      </c>
    </row>
    <row r="1123" spans="1:14" x14ac:dyDescent="0.25">
      <c r="A1123">
        <v>915.00109299999997</v>
      </c>
      <c r="B1123" s="1">
        <f>DATE(2012,11,1) + TIME(0,1,34)</f>
        <v>41214.001087962963</v>
      </c>
      <c r="C1123">
        <v>80</v>
      </c>
      <c r="D1123">
        <v>79.929977417000003</v>
      </c>
      <c r="E1123">
        <v>40</v>
      </c>
      <c r="F1123">
        <v>40.343288422000001</v>
      </c>
      <c r="G1123">
        <v>1330.1802978999999</v>
      </c>
      <c r="H1123">
        <v>1322.2761230000001</v>
      </c>
      <c r="I1123">
        <v>1355.7570800999999</v>
      </c>
      <c r="J1123">
        <v>1339.3551024999999</v>
      </c>
      <c r="K1123">
        <v>0</v>
      </c>
      <c r="L1123">
        <v>1650</v>
      </c>
      <c r="M1123">
        <v>1650</v>
      </c>
      <c r="N1123">
        <v>0</v>
      </c>
    </row>
    <row r="1124" spans="1:14" x14ac:dyDescent="0.25">
      <c r="A1124">
        <v>915.00328000000002</v>
      </c>
      <c r="B1124" s="1">
        <f>DATE(2012,11,1) + TIME(0,4,43)</f>
        <v>41214.003275462965</v>
      </c>
      <c r="C1124">
        <v>80</v>
      </c>
      <c r="D1124">
        <v>79.928756714000002</v>
      </c>
      <c r="E1124">
        <v>40</v>
      </c>
      <c r="F1124">
        <v>40.343769072999997</v>
      </c>
      <c r="G1124">
        <v>1324.8479004000001</v>
      </c>
      <c r="H1124">
        <v>1316.7963867000001</v>
      </c>
      <c r="I1124">
        <v>1365.625</v>
      </c>
      <c r="J1124">
        <v>1349.1627197</v>
      </c>
      <c r="K1124">
        <v>0</v>
      </c>
      <c r="L1124">
        <v>1650</v>
      </c>
      <c r="M1124">
        <v>1650</v>
      </c>
      <c r="N1124">
        <v>0</v>
      </c>
    </row>
    <row r="1125" spans="1:14" x14ac:dyDescent="0.25">
      <c r="A1125">
        <v>915.00984100000005</v>
      </c>
      <c r="B1125" s="1">
        <f>DATE(2012,11,1) + TIME(0,14,10)</f>
        <v>41214.009837962964</v>
      </c>
      <c r="C1125">
        <v>80</v>
      </c>
      <c r="D1125">
        <v>79.926612853999998</v>
      </c>
      <c r="E1125">
        <v>40</v>
      </c>
      <c r="F1125">
        <v>40.342662810999997</v>
      </c>
      <c r="G1125">
        <v>1319.6862793</v>
      </c>
      <c r="H1125">
        <v>1311.4926757999999</v>
      </c>
      <c r="I1125">
        <v>1374.0732422000001</v>
      </c>
      <c r="J1125">
        <v>1357.4860839999999</v>
      </c>
      <c r="K1125">
        <v>0</v>
      </c>
      <c r="L1125">
        <v>1650</v>
      </c>
      <c r="M1125">
        <v>1650</v>
      </c>
      <c r="N1125">
        <v>0</v>
      </c>
    </row>
    <row r="1126" spans="1:14" x14ac:dyDescent="0.25">
      <c r="A1126">
        <v>915.02952400000004</v>
      </c>
      <c r="B1126" s="1">
        <f>DATE(2012,11,1) + TIME(0,42,30)</f>
        <v>41214.029513888891</v>
      </c>
      <c r="C1126">
        <v>80</v>
      </c>
      <c r="D1126">
        <v>79.921859741000006</v>
      </c>
      <c r="E1126">
        <v>40</v>
      </c>
      <c r="F1126">
        <v>40.337036132999998</v>
      </c>
      <c r="G1126">
        <v>1315.7474365</v>
      </c>
      <c r="H1126">
        <v>1307.4962158000001</v>
      </c>
      <c r="I1126">
        <v>1379.4344481999999</v>
      </c>
      <c r="J1126">
        <v>1362.7395019999999</v>
      </c>
      <c r="K1126">
        <v>0</v>
      </c>
      <c r="L1126">
        <v>1650</v>
      </c>
      <c r="M1126">
        <v>1650</v>
      </c>
      <c r="N1126">
        <v>0</v>
      </c>
    </row>
    <row r="1127" spans="1:14" x14ac:dyDescent="0.25">
      <c r="A1127">
        <v>915.088573</v>
      </c>
      <c r="B1127" s="1">
        <f>DATE(2012,11,1) + TIME(2,7,32)</f>
        <v>41214.088564814818</v>
      </c>
      <c r="C1127">
        <v>80</v>
      </c>
      <c r="D1127">
        <v>79.909423828000001</v>
      </c>
      <c r="E1127">
        <v>40</v>
      </c>
      <c r="F1127">
        <v>40.319351196</v>
      </c>
      <c r="G1127">
        <v>1313.7353516000001</v>
      </c>
      <c r="H1127">
        <v>1305.4709473</v>
      </c>
      <c r="I1127">
        <v>1381.3959961</v>
      </c>
      <c r="J1127">
        <v>1364.6683350000001</v>
      </c>
      <c r="K1127">
        <v>0</v>
      </c>
      <c r="L1127">
        <v>1650</v>
      </c>
      <c r="M1127">
        <v>1650</v>
      </c>
      <c r="N1127">
        <v>0</v>
      </c>
    </row>
    <row r="1128" spans="1:14" x14ac:dyDescent="0.25">
      <c r="A1128">
        <v>915.207446</v>
      </c>
      <c r="B1128" s="1">
        <f>DATE(2012,11,1) + TIME(4,58,43)</f>
        <v>41214.207442129627</v>
      </c>
      <c r="C1128">
        <v>80</v>
      </c>
      <c r="D1128">
        <v>79.886253357000001</v>
      </c>
      <c r="E1128">
        <v>40</v>
      </c>
      <c r="F1128">
        <v>40.286697388</v>
      </c>
      <c r="G1128">
        <v>1313.197876</v>
      </c>
      <c r="H1128">
        <v>1304.9309082</v>
      </c>
      <c r="I1128">
        <v>1381.5460204999999</v>
      </c>
      <c r="J1128">
        <v>1364.84375</v>
      </c>
      <c r="K1128">
        <v>0</v>
      </c>
      <c r="L1128">
        <v>1650</v>
      </c>
      <c r="M1128">
        <v>1650</v>
      </c>
      <c r="N1128">
        <v>0</v>
      </c>
    </row>
    <row r="1129" spans="1:14" x14ac:dyDescent="0.25">
      <c r="A1129">
        <v>915.33465200000001</v>
      </c>
      <c r="B1129" s="1">
        <f>DATE(2012,11,1) + TIME(8,1,53)</f>
        <v>41214.334641203706</v>
      </c>
      <c r="C1129">
        <v>80</v>
      </c>
      <c r="D1129">
        <v>79.862243652000004</v>
      </c>
      <c r="E1129">
        <v>40</v>
      </c>
      <c r="F1129">
        <v>40.255226135000001</v>
      </c>
      <c r="G1129">
        <v>1313.1026611</v>
      </c>
      <c r="H1129">
        <v>1304.8348389</v>
      </c>
      <c r="I1129">
        <v>1381.4179687999999</v>
      </c>
      <c r="J1129">
        <v>1364.7489014</v>
      </c>
      <c r="K1129">
        <v>0</v>
      </c>
      <c r="L1129">
        <v>1650</v>
      </c>
      <c r="M1129">
        <v>1650</v>
      </c>
      <c r="N1129">
        <v>0</v>
      </c>
    </row>
    <row r="1130" spans="1:14" x14ac:dyDescent="0.25">
      <c r="A1130">
        <v>915.47145799999998</v>
      </c>
      <c r="B1130" s="1">
        <f>DATE(2012,11,1) + TIME(11,18,53)</f>
        <v>41214.471446759257</v>
      </c>
      <c r="C1130">
        <v>80</v>
      </c>
      <c r="D1130">
        <v>79.837181091000005</v>
      </c>
      <c r="E1130">
        <v>40</v>
      </c>
      <c r="F1130">
        <v>40.224994658999996</v>
      </c>
      <c r="G1130">
        <v>1313.0802002</v>
      </c>
      <c r="H1130">
        <v>1304.8117675999999</v>
      </c>
      <c r="I1130">
        <v>1381.2839355000001</v>
      </c>
      <c r="J1130">
        <v>1364.6488036999999</v>
      </c>
      <c r="K1130">
        <v>0</v>
      </c>
      <c r="L1130">
        <v>1650</v>
      </c>
      <c r="M1130">
        <v>1650</v>
      </c>
      <c r="N1130">
        <v>0</v>
      </c>
    </row>
    <row r="1131" spans="1:14" x14ac:dyDescent="0.25">
      <c r="A1131">
        <v>915.61960999999997</v>
      </c>
      <c r="B1131" s="1">
        <f>DATE(2012,11,1) + TIME(14,52,14)</f>
        <v>41214.619606481479</v>
      </c>
      <c r="C1131">
        <v>80</v>
      </c>
      <c r="D1131">
        <v>79.810859679999993</v>
      </c>
      <c r="E1131">
        <v>40</v>
      </c>
      <c r="F1131">
        <v>40.195991515999999</v>
      </c>
      <c r="G1131">
        <v>1313.0708007999999</v>
      </c>
      <c r="H1131">
        <v>1304.8020019999999</v>
      </c>
      <c r="I1131">
        <v>1381.1573486</v>
      </c>
      <c r="J1131">
        <v>1364.5556641000001</v>
      </c>
      <c r="K1131">
        <v>0</v>
      </c>
      <c r="L1131">
        <v>1650</v>
      </c>
      <c r="M1131">
        <v>1650</v>
      </c>
      <c r="N1131">
        <v>0</v>
      </c>
    </row>
    <row r="1132" spans="1:14" x14ac:dyDescent="0.25">
      <c r="A1132">
        <v>915.78133400000002</v>
      </c>
      <c r="B1132" s="1">
        <f>DATE(2012,11,1) + TIME(18,45,7)</f>
        <v>41214.781331018516</v>
      </c>
      <c r="C1132">
        <v>80</v>
      </c>
      <c r="D1132">
        <v>79.783020019999995</v>
      </c>
      <c r="E1132">
        <v>40</v>
      </c>
      <c r="F1132">
        <v>40.168224334999998</v>
      </c>
      <c r="G1132">
        <v>1313.0638428</v>
      </c>
      <c r="H1132">
        <v>1304.7943115</v>
      </c>
      <c r="I1132">
        <v>1381.0354004000001</v>
      </c>
      <c r="J1132">
        <v>1364.4667969</v>
      </c>
      <c r="K1132">
        <v>0</v>
      </c>
      <c r="L1132">
        <v>1650</v>
      </c>
      <c r="M1132">
        <v>1650</v>
      </c>
      <c r="N1132">
        <v>0</v>
      </c>
    </row>
    <row r="1133" spans="1:14" x14ac:dyDescent="0.25">
      <c r="A1133">
        <v>915.95961999999997</v>
      </c>
      <c r="B1133" s="1">
        <f>DATE(2012,11,1) + TIME(23,1,51)</f>
        <v>41214.959618055553</v>
      </c>
      <c r="C1133">
        <v>80</v>
      </c>
      <c r="D1133">
        <v>79.753326415999993</v>
      </c>
      <c r="E1133">
        <v>40</v>
      </c>
      <c r="F1133">
        <v>40.141689301</v>
      </c>
      <c r="G1133">
        <v>1313.0568848</v>
      </c>
      <c r="H1133">
        <v>1304.7867432</v>
      </c>
      <c r="I1133">
        <v>1380.9167480000001</v>
      </c>
      <c r="J1133">
        <v>1364.3808594</v>
      </c>
      <c r="K1133">
        <v>0</v>
      </c>
      <c r="L1133">
        <v>1650</v>
      </c>
      <c r="M1133">
        <v>1650</v>
      </c>
      <c r="N1133">
        <v>0</v>
      </c>
    </row>
    <row r="1134" spans="1:14" x14ac:dyDescent="0.25">
      <c r="A1134">
        <v>916.15844900000002</v>
      </c>
      <c r="B1134" s="1">
        <f>DATE(2012,11,2) + TIME(3,48,10)</f>
        <v>41215.158449074072</v>
      </c>
      <c r="C1134">
        <v>80</v>
      </c>
      <c r="D1134">
        <v>79.721343993999994</v>
      </c>
      <c r="E1134">
        <v>40</v>
      </c>
      <c r="F1134">
        <v>40.116420746000003</v>
      </c>
      <c r="G1134">
        <v>1313.0495605000001</v>
      </c>
      <c r="H1134">
        <v>1304.7785644999999</v>
      </c>
      <c r="I1134">
        <v>1380.8009033000001</v>
      </c>
      <c r="J1134">
        <v>1364.2973632999999</v>
      </c>
      <c r="K1134">
        <v>0</v>
      </c>
      <c r="L1134">
        <v>1650</v>
      </c>
      <c r="M1134">
        <v>1650</v>
      </c>
      <c r="N1134">
        <v>0</v>
      </c>
    </row>
    <row r="1135" spans="1:14" x14ac:dyDescent="0.25">
      <c r="A1135">
        <v>916.383331</v>
      </c>
      <c r="B1135" s="1">
        <f>DATE(2012,11,2) + TIME(9,11,59)</f>
        <v>41215.383321759262</v>
      </c>
      <c r="C1135">
        <v>80</v>
      </c>
      <c r="D1135">
        <v>79.686462402000004</v>
      </c>
      <c r="E1135">
        <v>40</v>
      </c>
      <c r="F1135">
        <v>40.092453003000003</v>
      </c>
      <c r="G1135">
        <v>1313.0413818</v>
      </c>
      <c r="H1135">
        <v>1304.7695312000001</v>
      </c>
      <c r="I1135">
        <v>1380.6877440999999</v>
      </c>
      <c r="J1135">
        <v>1364.2163086</v>
      </c>
      <c r="K1135">
        <v>0</v>
      </c>
      <c r="L1135">
        <v>1650</v>
      </c>
      <c r="M1135">
        <v>1650</v>
      </c>
      <c r="N1135">
        <v>0</v>
      </c>
    </row>
    <row r="1136" spans="1:14" x14ac:dyDescent="0.25">
      <c r="A1136">
        <v>916.64216099999999</v>
      </c>
      <c r="B1136" s="1">
        <f>DATE(2012,11,2) + TIME(15,24,42)</f>
        <v>41215.642152777778</v>
      </c>
      <c r="C1136">
        <v>80</v>
      </c>
      <c r="D1136">
        <v>79.647888183999996</v>
      </c>
      <c r="E1136">
        <v>40</v>
      </c>
      <c r="F1136">
        <v>40.069862366000002</v>
      </c>
      <c r="G1136">
        <v>1313.0323486</v>
      </c>
      <c r="H1136">
        <v>1304.7595214999999</v>
      </c>
      <c r="I1136">
        <v>1380.5773925999999</v>
      </c>
      <c r="J1136">
        <v>1364.1376952999999</v>
      </c>
      <c r="K1136">
        <v>0</v>
      </c>
      <c r="L1136">
        <v>1650</v>
      </c>
      <c r="M1136">
        <v>1650</v>
      </c>
      <c r="N1136">
        <v>0</v>
      </c>
    </row>
    <row r="1137" spans="1:14" x14ac:dyDescent="0.25">
      <c r="A1137">
        <v>916.94676500000003</v>
      </c>
      <c r="B1137" s="1">
        <f>DATE(2012,11,2) + TIME(22,43,20)</f>
        <v>41215.946759259263</v>
      </c>
      <c r="C1137">
        <v>80</v>
      </c>
      <c r="D1137">
        <v>79.604438782000003</v>
      </c>
      <c r="E1137">
        <v>40</v>
      </c>
      <c r="F1137">
        <v>40.048755645999996</v>
      </c>
      <c r="G1137">
        <v>1313.0222168</v>
      </c>
      <c r="H1137">
        <v>1304.7480469</v>
      </c>
      <c r="I1137">
        <v>1380.4697266000001</v>
      </c>
      <c r="J1137">
        <v>1364.0614014</v>
      </c>
      <c r="K1137">
        <v>0</v>
      </c>
      <c r="L1137">
        <v>1650</v>
      </c>
      <c r="M1137">
        <v>1650</v>
      </c>
      <c r="N1137">
        <v>0</v>
      </c>
    </row>
    <row r="1138" spans="1:14" x14ac:dyDescent="0.25">
      <c r="A1138">
        <v>917.27880700000003</v>
      </c>
      <c r="B1138" s="1">
        <f>DATE(2012,11,3) + TIME(6,41,28)</f>
        <v>41216.278796296298</v>
      </c>
      <c r="C1138">
        <v>80</v>
      </c>
      <c r="D1138">
        <v>79.558334350999999</v>
      </c>
      <c r="E1138">
        <v>40</v>
      </c>
      <c r="F1138">
        <v>40.030807494999998</v>
      </c>
      <c r="G1138">
        <v>1313.010376</v>
      </c>
      <c r="H1138">
        <v>1304.7349853999999</v>
      </c>
      <c r="I1138">
        <v>1380.3725586</v>
      </c>
      <c r="J1138">
        <v>1363.9931641000001</v>
      </c>
      <c r="K1138">
        <v>0</v>
      </c>
      <c r="L1138">
        <v>1650</v>
      </c>
      <c r="M1138">
        <v>1650</v>
      </c>
      <c r="N1138">
        <v>0</v>
      </c>
    </row>
    <row r="1139" spans="1:14" x14ac:dyDescent="0.25">
      <c r="A1139">
        <v>917.64407600000004</v>
      </c>
      <c r="B1139" s="1">
        <f>DATE(2012,11,3) + TIME(15,27,28)</f>
        <v>41216.644074074073</v>
      </c>
      <c r="C1139">
        <v>80</v>
      </c>
      <c r="D1139">
        <v>79.508979796999995</v>
      </c>
      <c r="E1139">
        <v>40</v>
      </c>
      <c r="F1139">
        <v>40.015739441000001</v>
      </c>
      <c r="G1139">
        <v>1312.9976807</v>
      </c>
      <c r="H1139">
        <v>1304.7208252</v>
      </c>
      <c r="I1139">
        <v>1380.2852783000001</v>
      </c>
      <c r="J1139">
        <v>1363.9324951000001</v>
      </c>
      <c r="K1139">
        <v>0</v>
      </c>
      <c r="L1139">
        <v>1650</v>
      </c>
      <c r="M1139">
        <v>1650</v>
      </c>
      <c r="N1139">
        <v>0</v>
      </c>
    </row>
    <row r="1140" spans="1:14" x14ac:dyDescent="0.25">
      <c r="A1140">
        <v>918.05001200000004</v>
      </c>
      <c r="B1140" s="1">
        <f>DATE(2012,11,4) + TIME(1,12,1)</f>
        <v>41217.050011574072</v>
      </c>
      <c r="C1140">
        <v>80</v>
      </c>
      <c r="D1140">
        <v>79.455657959000007</v>
      </c>
      <c r="E1140">
        <v>40</v>
      </c>
      <c r="F1140">
        <v>40.003292084000002</v>
      </c>
      <c r="G1140">
        <v>1312.9837646000001</v>
      </c>
      <c r="H1140">
        <v>1304.7054443</v>
      </c>
      <c r="I1140">
        <v>1380.2071533000001</v>
      </c>
      <c r="J1140">
        <v>1363.8785399999999</v>
      </c>
      <c r="K1140">
        <v>0</v>
      </c>
      <c r="L1140">
        <v>1650</v>
      </c>
      <c r="M1140">
        <v>1650</v>
      </c>
      <c r="N1140">
        <v>0</v>
      </c>
    </row>
    <row r="1141" spans="1:14" x14ac:dyDescent="0.25">
      <c r="A1141">
        <v>918.50669300000004</v>
      </c>
      <c r="B1141" s="1">
        <f>DATE(2012,11,4) + TIME(12,9,38)</f>
        <v>41217.506689814814</v>
      </c>
      <c r="C1141">
        <v>80</v>
      </c>
      <c r="D1141">
        <v>79.397422790999997</v>
      </c>
      <c r="E1141">
        <v>40</v>
      </c>
      <c r="F1141">
        <v>39.993209839000002</v>
      </c>
      <c r="G1141">
        <v>1312.9686279</v>
      </c>
      <c r="H1141">
        <v>1304.6885986</v>
      </c>
      <c r="I1141">
        <v>1380.1368408000001</v>
      </c>
      <c r="J1141">
        <v>1363.8305664</v>
      </c>
      <c r="K1141">
        <v>0</v>
      </c>
      <c r="L1141">
        <v>1650</v>
      </c>
      <c r="M1141">
        <v>1650</v>
      </c>
      <c r="N1141">
        <v>0</v>
      </c>
    </row>
    <row r="1142" spans="1:14" x14ac:dyDescent="0.25">
      <c r="A1142">
        <v>918.98936800000001</v>
      </c>
      <c r="B1142" s="1">
        <f>DATE(2012,11,4) + TIME(23,44,41)</f>
        <v>41217.989363425928</v>
      </c>
      <c r="C1142">
        <v>80</v>
      </c>
      <c r="D1142">
        <v>79.336463928000001</v>
      </c>
      <c r="E1142">
        <v>40</v>
      </c>
      <c r="F1142">
        <v>39.985671996999997</v>
      </c>
      <c r="G1142">
        <v>1312.9516602000001</v>
      </c>
      <c r="H1142">
        <v>1304.6697998</v>
      </c>
      <c r="I1142">
        <v>1380.0760498</v>
      </c>
      <c r="J1142">
        <v>1363.7895507999999</v>
      </c>
      <c r="K1142">
        <v>0</v>
      </c>
      <c r="L1142">
        <v>1650</v>
      </c>
      <c r="M1142">
        <v>1650</v>
      </c>
      <c r="N1142">
        <v>0</v>
      </c>
    </row>
    <row r="1143" spans="1:14" x14ac:dyDescent="0.25">
      <c r="A1143">
        <v>919.48078299999997</v>
      </c>
      <c r="B1143" s="1">
        <f>DATE(2012,11,5) + TIME(11,32,19)</f>
        <v>41218.480775462966</v>
      </c>
      <c r="C1143">
        <v>80</v>
      </c>
      <c r="D1143">
        <v>79.274414062000005</v>
      </c>
      <c r="E1143">
        <v>40</v>
      </c>
      <c r="F1143">
        <v>39.980281830000003</v>
      </c>
      <c r="G1143">
        <v>1312.9338379000001</v>
      </c>
      <c r="H1143">
        <v>1304.6500243999999</v>
      </c>
      <c r="I1143">
        <v>1380.0245361</v>
      </c>
      <c r="J1143">
        <v>1363.7553711</v>
      </c>
      <c r="K1143">
        <v>0</v>
      </c>
      <c r="L1143">
        <v>1650</v>
      </c>
      <c r="M1143">
        <v>1650</v>
      </c>
      <c r="N1143">
        <v>0</v>
      </c>
    </row>
    <row r="1144" spans="1:14" x14ac:dyDescent="0.25">
      <c r="A1144">
        <v>919.98672499999998</v>
      </c>
      <c r="B1144" s="1">
        <f>DATE(2012,11,5) + TIME(23,40,53)</f>
        <v>41218.986724537041</v>
      </c>
      <c r="C1144">
        <v>80</v>
      </c>
      <c r="D1144">
        <v>79.210983275999993</v>
      </c>
      <c r="E1144">
        <v>40</v>
      </c>
      <c r="F1144">
        <v>39.976428986000002</v>
      </c>
      <c r="G1144">
        <v>1312.9158935999999</v>
      </c>
      <c r="H1144">
        <v>1304.6298827999999</v>
      </c>
      <c r="I1144">
        <v>1379.9808350000001</v>
      </c>
      <c r="J1144">
        <v>1363.7265625</v>
      </c>
      <c r="K1144">
        <v>0</v>
      </c>
      <c r="L1144">
        <v>1650</v>
      </c>
      <c r="M1144">
        <v>1650</v>
      </c>
      <c r="N1144">
        <v>0</v>
      </c>
    </row>
    <row r="1145" spans="1:14" x14ac:dyDescent="0.25">
      <c r="A1145">
        <v>920.51253099999997</v>
      </c>
      <c r="B1145" s="1">
        <f>DATE(2012,11,6) + TIME(12,18,2)</f>
        <v>41219.512523148151</v>
      </c>
      <c r="C1145">
        <v>80</v>
      </c>
      <c r="D1145">
        <v>79.145820618000002</v>
      </c>
      <c r="E1145">
        <v>40</v>
      </c>
      <c r="F1145">
        <v>39.973697661999999</v>
      </c>
      <c r="G1145">
        <v>1312.8974608999999</v>
      </c>
      <c r="H1145">
        <v>1304.609375</v>
      </c>
      <c r="I1145">
        <v>1379.9429932</v>
      </c>
      <c r="J1145">
        <v>1363.7019043</v>
      </c>
      <c r="K1145">
        <v>0</v>
      </c>
      <c r="L1145">
        <v>1650</v>
      </c>
      <c r="M1145">
        <v>1650</v>
      </c>
      <c r="N1145">
        <v>0</v>
      </c>
    </row>
    <row r="1146" spans="1:14" x14ac:dyDescent="0.25">
      <c r="A1146">
        <v>921.06382699999995</v>
      </c>
      <c r="B1146" s="1">
        <f>DATE(2012,11,7) + TIME(1,31,54)</f>
        <v>41220.063819444447</v>
      </c>
      <c r="C1146">
        <v>80</v>
      </c>
      <c r="D1146">
        <v>79.078498839999995</v>
      </c>
      <c r="E1146">
        <v>40</v>
      </c>
      <c r="F1146">
        <v>39.971790314000003</v>
      </c>
      <c r="G1146">
        <v>1312.878418</v>
      </c>
      <c r="H1146">
        <v>1304.5878906</v>
      </c>
      <c r="I1146">
        <v>1379.9093018000001</v>
      </c>
      <c r="J1146">
        <v>1363.6801757999999</v>
      </c>
      <c r="K1146">
        <v>0</v>
      </c>
      <c r="L1146">
        <v>1650</v>
      </c>
      <c r="M1146">
        <v>1650</v>
      </c>
      <c r="N1146">
        <v>0</v>
      </c>
    </row>
    <row r="1147" spans="1:14" x14ac:dyDescent="0.25">
      <c r="A1147">
        <v>921.64684499999998</v>
      </c>
      <c r="B1147" s="1">
        <f>DATE(2012,11,7) + TIME(15,31,27)</f>
        <v>41220.646840277775</v>
      </c>
      <c r="C1147">
        <v>80</v>
      </c>
      <c r="D1147">
        <v>79.008529663000004</v>
      </c>
      <c r="E1147">
        <v>40</v>
      </c>
      <c r="F1147">
        <v>39.970485687</v>
      </c>
      <c r="G1147">
        <v>1312.8585204999999</v>
      </c>
      <c r="H1147">
        <v>1304.5655518000001</v>
      </c>
      <c r="I1147">
        <v>1379.8790283000001</v>
      </c>
      <c r="J1147">
        <v>1363.6607666</v>
      </c>
      <c r="K1147">
        <v>0</v>
      </c>
      <c r="L1147">
        <v>1650</v>
      </c>
      <c r="M1147">
        <v>1650</v>
      </c>
      <c r="N1147">
        <v>0</v>
      </c>
    </row>
    <row r="1148" spans="1:14" x14ac:dyDescent="0.25">
      <c r="A1148">
        <v>922.26876300000004</v>
      </c>
      <c r="B1148" s="1">
        <f>DATE(2012,11,8) + TIME(6,27,1)</f>
        <v>41221.268761574072</v>
      </c>
      <c r="C1148">
        <v>80</v>
      </c>
      <c r="D1148">
        <v>78.935310364000003</v>
      </c>
      <c r="E1148">
        <v>40</v>
      </c>
      <c r="F1148">
        <v>39.969623566000003</v>
      </c>
      <c r="G1148">
        <v>1312.8375243999999</v>
      </c>
      <c r="H1148">
        <v>1304.5418701000001</v>
      </c>
      <c r="I1148">
        <v>1379.8510742000001</v>
      </c>
      <c r="J1148">
        <v>1363.6429443</v>
      </c>
      <c r="K1148">
        <v>0</v>
      </c>
      <c r="L1148">
        <v>1650</v>
      </c>
      <c r="M1148">
        <v>1650</v>
      </c>
      <c r="N1148">
        <v>0</v>
      </c>
    </row>
    <row r="1149" spans="1:14" x14ac:dyDescent="0.25">
      <c r="A1149">
        <v>922.93836899999997</v>
      </c>
      <c r="B1149" s="1">
        <f>DATE(2012,11,8) + TIME(22,31,15)</f>
        <v>41221.938368055555</v>
      </c>
      <c r="C1149">
        <v>80</v>
      </c>
      <c r="D1149">
        <v>78.858123778999996</v>
      </c>
      <c r="E1149">
        <v>40</v>
      </c>
      <c r="F1149">
        <v>39.969085692999997</v>
      </c>
      <c r="G1149">
        <v>1312.8151855000001</v>
      </c>
      <c r="H1149">
        <v>1304.5166016000001</v>
      </c>
      <c r="I1149">
        <v>1379.8248291</v>
      </c>
      <c r="J1149">
        <v>1363.6263428</v>
      </c>
      <c r="K1149">
        <v>0</v>
      </c>
      <c r="L1149">
        <v>1650</v>
      </c>
      <c r="M1149">
        <v>1650</v>
      </c>
      <c r="N1149">
        <v>0</v>
      </c>
    </row>
    <row r="1150" spans="1:14" x14ac:dyDescent="0.25">
      <c r="A1150">
        <v>923.66701799999998</v>
      </c>
      <c r="B1150" s="1">
        <f>DATE(2012,11,9) + TIME(16,0,30)</f>
        <v>41222.667013888888</v>
      </c>
      <c r="C1150">
        <v>80</v>
      </c>
      <c r="D1150">
        <v>78.776062011999997</v>
      </c>
      <c r="E1150">
        <v>40</v>
      </c>
      <c r="F1150">
        <v>39.968776703000003</v>
      </c>
      <c r="G1150">
        <v>1312.7912598</v>
      </c>
      <c r="H1150">
        <v>1304.4893798999999</v>
      </c>
      <c r="I1150">
        <v>1379.7996826000001</v>
      </c>
      <c r="J1150">
        <v>1363.6107178</v>
      </c>
      <c r="K1150">
        <v>0</v>
      </c>
      <c r="L1150">
        <v>1650</v>
      </c>
      <c r="M1150">
        <v>1650</v>
      </c>
      <c r="N1150">
        <v>0</v>
      </c>
    </row>
    <row r="1151" spans="1:14" x14ac:dyDescent="0.25">
      <c r="A1151">
        <v>924.40470800000003</v>
      </c>
      <c r="B1151" s="1">
        <f>DATE(2012,11,10) + TIME(9,42,46)</f>
        <v>41223.404699074075</v>
      </c>
      <c r="C1151">
        <v>80</v>
      </c>
      <c r="D1151">
        <v>78.692436217999997</v>
      </c>
      <c r="E1151">
        <v>40</v>
      </c>
      <c r="F1151">
        <v>39.968635558999999</v>
      </c>
      <c r="G1151">
        <v>1312.7648925999999</v>
      </c>
      <c r="H1151">
        <v>1304.4598389</v>
      </c>
      <c r="I1151">
        <v>1379.7753906</v>
      </c>
      <c r="J1151">
        <v>1363.5954589999999</v>
      </c>
      <c r="K1151">
        <v>0</v>
      </c>
      <c r="L1151">
        <v>1650</v>
      </c>
      <c r="M1151">
        <v>1650</v>
      </c>
      <c r="N1151">
        <v>0</v>
      </c>
    </row>
    <row r="1152" spans="1:14" x14ac:dyDescent="0.25">
      <c r="A1152">
        <v>925.15621899999996</v>
      </c>
      <c r="B1152" s="1">
        <f>DATE(2012,11,11) + TIME(3,44,57)</f>
        <v>41224.156215277777</v>
      </c>
      <c r="C1152">
        <v>80</v>
      </c>
      <c r="D1152">
        <v>78.607536315999994</v>
      </c>
      <c r="E1152">
        <v>40</v>
      </c>
      <c r="F1152">
        <v>39.968593597000002</v>
      </c>
      <c r="G1152">
        <v>1312.7382812000001</v>
      </c>
      <c r="H1152">
        <v>1304.4296875</v>
      </c>
      <c r="I1152">
        <v>1379.7531738</v>
      </c>
      <c r="J1152">
        <v>1363.5816649999999</v>
      </c>
      <c r="K1152">
        <v>0</v>
      </c>
      <c r="L1152">
        <v>1650</v>
      </c>
      <c r="M1152">
        <v>1650</v>
      </c>
      <c r="N1152">
        <v>0</v>
      </c>
    </row>
    <row r="1153" spans="1:14" x14ac:dyDescent="0.25">
      <c r="A1153">
        <v>925.92798000000005</v>
      </c>
      <c r="B1153" s="1">
        <f>DATE(2012,11,11) + TIME(22,16,17)</f>
        <v>41224.927974537037</v>
      </c>
      <c r="C1153">
        <v>80</v>
      </c>
      <c r="D1153">
        <v>78.521240234000004</v>
      </c>
      <c r="E1153">
        <v>40</v>
      </c>
      <c r="F1153">
        <v>39.968608856000003</v>
      </c>
      <c r="G1153">
        <v>1312.7111815999999</v>
      </c>
      <c r="H1153">
        <v>1304.3988036999999</v>
      </c>
      <c r="I1153">
        <v>1379.7325439000001</v>
      </c>
      <c r="J1153">
        <v>1363.5688477000001</v>
      </c>
      <c r="K1153">
        <v>0</v>
      </c>
      <c r="L1153">
        <v>1650</v>
      </c>
      <c r="M1153">
        <v>1650</v>
      </c>
      <c r="N1153">
        <v>0</v>
      </c>
    </row>
    <row r="1154" spans="1:14" x14ac:dyDescent="0.25">
      <c r="A1154">
        <v>926.72650099999998</v>
      </c>
      <c r="B1154" s="1">
        <f>DATE(2012,11,12) + TIME(17,26,9)</f>
        <v>41225.726493055554</v>
      </c>
      <c r="C1154">
        <v>80</v>
      </c>
      <c r="D1154">
        <v>78.433242797999995</v>
      </c>
      <c r="E1154">
        <v>40</v>
      </c>
      <c r="F1154">
        <v>39.968654633</v>
      </c>
      <c r="G1154">
        <v>1312.6831055</v>
      </c>
      <c r="H1154">
        <v>1304.3668213000001</v>
      </c>
      <c r="I1154">
        <v>1379.7131348</v>
      </c>
      <c r="J1154">
        <v>1363.5568848</v>
      </c>
      <c r="K1154">
        <v>0</v>
      </c>
      <c r="L1154">
        <v>1650</v>
      </c>
      <c r="M1154">
        <v>1650</v>
      </c>
      <c r="N1154">
        <v>0</v>
      </c>
    </row>
    <row r="1155" spans="1:14" x14ac:dyDescent="0.25">
      <c r="A1155">
        <v>927.558673</v>
      </c>
      <c r="B1155" s="1">
        <f>DATE(2012,11,13) + TIME(13,24,29)</f>
        <v>41226.558668981481</v>
      </c>
      <c r="C1155">
        <v>80</v>
      </c>
      <c r="D1155">
        <v>78.343093871999997</v>
      </c>
      <c r="E1155">
        <v>40</v>
      </c>
      <c r="F1155">
        <v>39.968719481999997</v>
      </c>
      <c r="G1155">
        <v>1312.6541748</v>
      </c>
      <c r="H1155">
        <v>1304.3336182</v>
      </c>
      <c r="I1155">
        <v>1379.6945800999999</v>
      </c>
      <c r="J1155">
        <v>1363.5454102000001</v>
      </c>
      <c r="K1155">
        <v>0</v>
      </c>
      <c r="L1155">
        <v>1650</v>
      </c>
      <c r="M1155">
        <v>1650</v>
      </c>
      <c r="N1155">
        <v>0</v>
      </c>
    </row>
    <row r="1156" spans="1:14" x14ac:dyDescent="0.25">
      <c r="A1156">
        <v>928.43222400000002</v>
      </c>
      <c r="B1156" s="1">
        <f>DATE(2012,11,14) + TIME(10,22,24)</f>
        <v>41227.432222222225</v>
      </c>
      <c r="C1156">
        <v>80</v>
      </c>
      <c r="D1156">
        <v>78.250244140999996</v>
      </c>
      <c r="E1156">
        <v>40</v>
      </c>
      <c r="F1156">
        <v>39.968788146999998</v>
      </c>
      <c r="G1156">
        <v>1312.6237793</v>
      </c>
      <c r="H1156">
        <v>1304.2985839999999</v>
      </c>
      <c r="I1156">
        <v>1379.6767577999999</v>
      </c>
      <c r="J1156">
        <v>1363.5344238</v>
      </c>
      <c r="K1156">
        <v>0</v>
      </c>
      <c r="L1156">
        <v>1650</v>
      </c>
      <c r="M1156">
        <v>1650</v>
      </c>
      <c r="N1156">
        <v>0</v>
      </c>
    </row>
    <row r="1157" spans="1:14" x14ac:dyDescent="0.25">
      <c r="A1157">
        <v>929.35635200000002</v>
      </c>
      <c r="B1157" s="1">
        <f>DATE(2012,11,15) + TIME(8,33,8)</f>
        <v>41228.356342592589</v>
      </c>
      <c r="C1157">
        <v>80</v>
      </c>
      <c r="D1157">
        <v>78.154014587000006</v>
      </c>
      <c r="E1157">
        <v>40</v>
      </c>
      <c r="F1157">
        <v>39.968860626000001</v>
      </c>
      <c r="G1157">
        <v>1312.5916748</v>
      </c>
      <c r="H1157">
        <v>1304.2617187999999</v>
      </c>
      <c r="I1157">
        <v>1379.6594238</v>
      </c>
      <c r="J1157">
        <v>1363.5238036999999</v>
      </c>
      <c r="K1157">
        <v>0</v>
      </c>
      <c r="L1157">
        <v>1650</v>
      </c>
      <c r="M1157">
        <v>1650</v>
      </c>
      <c r="N1157">
        <v>0</v>
      </c>
    </row>
    <row r="1158" spans="1:14" x14ac:dyDescent="0.25">
      <c r="A1158">
        <v>930.34186599999998</v>
      </c>
      <c r="B1158" s="1">
        <f>DATE(2012,11,16) + TIME(8,12,17)</f>
        <v>41229.341863425929</v>
      </c>
      <c r="C1158">
        <v>80</v>
      </c>
      <c r="D1158">
        <v>78.053611755000006</v>
      </c>
      <c r="E1158">
        <v>40</v>
      </c>
      <c r="F1158">
        <v>39.968933104999998</v>
      </c>
      <c r="G1158">
        <v>1312.5574951000001</v>
      </c>
      <c r="H1158">
        <v>1304.222168</v>
      </c>
      <c r="I1158">
        <v>1379.6424560999999</v>
      </c>
      <c r="J1158">
        <v>1363.5134277</v>
      </c>
      <c r="K1158">
        <v>0</v>
      </c>
      <c r="L1158">
        <v>1650</v>
      </c>
      <c r="M1158">
        <v>1650</v>
      </c>
      <c r="N1158">
        <v>0</v>
      </c>
    </row>
    <row r="1159" spans="1:14" x14ac:dyDescent="0.25">
      <c r="A1159">
        <v>931.34790799999996</v>
      </c>
      <c r="B1159" s="1">
        <f>DATE(2012,11,17) + TIME(8,20,59)</f>
        <v>41230.347905092596</v>
      </c>
      <c r="C1159">
        <v>80</v>
      </c>
      <c r="D1159">
        <v>77.951072693</v>
      </c>
      <c r="E1159">
        <v>40</v>
      </c>
      <c r="F1159">
        <v>39.968994141000003</v>
      </c>
      <c r="G1159">
        <v>1312.5207519999999</v>
      </c>
      <c r="H1159">
        <v>1304.1798096</v>
      </c>
      <c r="I1159">
        <v>1379.6256103999999</v>
      </c>
      <c r="J1159">
        <v>1363.5031738</v>
      </c>
      <c r="K1159">
        <v>0</v>
      </c>
      <c r="L1159">
        <v>1650</v>
      </c>
      <c r="M1159">
        <v>1650</v>
      </c>
      <c r="N1159">
        <v>0</v>
      </c>
    </row>
    <row r="1160" spans="1:14" x14ac:dyDescent="0.25">
      <c r="A1160">
        <v>932.36968300000001</v>
      </c>
      <c r="B1160" s="1">
        <f>DATE(2012,11,18) + TIME(8,52,20)</f>
        <v>41231.369675925926</v>
      </c>
      <c r="C1160">
        <v>80</v>
      </c>
      <c r="D1160">
        <v>77.847335814999994</v>
      </c>
      <c r="E1160">
        <v>40</v>
      </c>
      <c r="F1160">
        <v>39.969051360999998</v>
      </c>
      <c r="G1160">
        <v>1312.4829102000001</v>
      </c>
      <c r="H1160">
        <v>1304.1358643000001</v>
      </c>
      <c r="I1160">
        <v>1379.6097411999999</v>
      </c>
      <c r="J1160">
        <v>1363.4935303</v>
      </c>
      <c r="K1160">
        <v>0</v>
      </c>
      <c r="L1160">
        <v>1650</v>
      </c>
      <c r="M1160">
        <v>1650</v>
      </c>
      <c r="N1160">
        <v>0</v>
      </c>
    </row>
    <row r="1161" spans="1:14" x14ac:dyDescent="0.25">
      <c r="A1161">
        <v>933.41454099999999</v>
      </c>
      <c r="B1161" s="1">
        <f>DATE(2012,11,19) + TIME(9,56,56)</f>
        <v>41232.414537037039</v>
      </c>
      <c r="C1161">
        <v>80</v>
      </c>
      <c r="D1161">
        <v>77.742500304999993</v>
      </c>
      <c r="E1161">
        <v>40</v>
      </c>
      <c r="F1161">
        <v>39.969100951999998</v>
      </c>
      <c r="G1161">
        <v>1312.4440918</v>
      </c>
      <c r="H1161">
        <v>1304.0905762</v>
      </c>
      <c r="I1161">
        <v>1379.5946045000001</v>
      </c>
      <c r="J1161">
        <v>1363.484375</v>
      </c>
      <c r="K1161">
        <v>0</v>
      </c>
      <c r="L1161">
        <v>1650</v>
      </c>
      <c r="M1161">
        <v>1650</v>
      </c>
      <c r="N1161">
        <v>0</v>
      </c>
    </row>
    <row r="1162" spans="1:14" x14ac:dyDescent="0.25">
      <c r="A1162">
        <v>934.489914</v>
      </c>
      <c r="B1162" s="1">
        <f>DATE(2012,11,20) + TIME(11,45,28)</f>
        <v>41233.489907407406</v>
      </c>
      <c r="C1162">
        <v>80</v>
      </c>
      <c r="D1162">
        <v>77.636306762999993</v>
      </c>
      <c r="E1162">
        <v>40</v>
      </c>
      <c r="F1162">
        <v>39.969146729000002</v>
      </c>
      <c r="G1162">
        <v>1312.4040527</v>
      </c>
      <c r="H1162">
        <v>1304.0437012</v>
      </c>
      <c r="I1162">
        <v>1379.5803223</v>
      </c>
      <c r="J1162">
        <v>1363.4757079999999</v>
      </c>
      <c r="K1162">
        <v>0</v>
      </c>
      <c r="L1162">
        <v>1650</v>
      </c>
      <c r="M1162">
        <v>1650</v>
      </c>
      <c r="N1162">
        <v>0</v>
      </c>
    </row>
    <row r="1163" spans="1:14" x14ac:dyDescent="0.25">
      <c r="A1163">
        <v>935.60374999999999</v>
      </c>
      <c r="B1163" s="1">
        <f>DATE(2012,11,21) + TIME(14,29,24)</f>
        <v>41234.603750000002</v>
      </c>
      <c r="C1163">
        <v>80</v>
      </c>
      <c r="D1163">
        <v>77.528305054</v>
      </c>
      <c r="E1163">
        <v>40</v>
      </c>
      <c r="F1163">
        <v>39.969184875000003</v>
      </c>
      <c r="G1163">
        <v>1312.3624268000001</v>
      </c>
      <c r="H1163">
        <v>1303.9946289</v>
      </c>
      <c r="I1163">
        <v>1379.5665283000001</v>
      </c>
      <c r="J1163">
        <v>1363.4672852000001</v>
      </c>
      <c r="K1163">
        <v>0</v>
      </c>
      <c r="L1163">
        <v>1650</v>
      </c>
      <c r="M1163">
        <v>1650</v>
      </c>
      <c r="N1163">
        <v>0</v>
      </c>
    </row>
    <row r="1164" spans="1:14" x14ac:dyDescent="0.25">
      <c r="A1164">
        <v>936.76488800000004</v>
      </c>
      <c r="B1164" s="1">
        <f>DATE(2012,11,22) + TIME(18,21,26)</f>
        <v>41235.764884259261</v>
      </c>
      <c r="C1164">
        <v>80</v>
      </c>
      <c r="D1164">
        <v>77.417930603000002</v>
      </c>
      <c r="E1164">
        <v>40</v>
      </c>
      <c r="F1164">
        <v>39.969223022000001</v>
      </c>
      <c r="G1164">
        <v>1312.3188477000001</v>
      </c>
      <c r="H1164">
        <v>1303.9429932</v>
      </c>
      <c r="I1164">
        <v>1379.5531006000001</v>
      </c>
      <c r="J1164">
        <v>1363.4592285000001</v>
      </c>
      <c r="K1164">
        <v>0</v>
      </c>
      <c r="L1164">
        <v>1650</v>
      </c>
      <c r="M1164">
        <v>1650</v>
      </c>
      <c r="N1164">
        <v>0</v>
      </c>
    </row>
    <row r="1165" spans="1:14" x14ac:dyDescent="0.25">
      <c r="A1165">
        <v>937.98312699999997</v>
      </c>
      <c r="B1165" s="1">
        <f>DATE(2012,11,23) + TIME(23,35,42)</f>
        <v>41236.983124999999</v>
      </c>
      <c r="C1165">
        <v>80</v>
      </c>
      <c r="D1165">
        <v>77.304512024000005</v>
      </c>
      <c r="E1165">
        <v>40</v>
      </c>
      <c r="F1165">
        <v>39.969257355000003</v>
      </c>
      <c r="G1165">
        <v>1312.2728271000001</v>
      </c>
      <c r="H1165">
        <v>1303.8884277</v>
      </c>
      <c r="I1165">
        <v>1379.5400391000001</v>
      </c>
      <c r="J1165">
        <v>1363.4514160000001</v>
      </c>
      <c r="K1165">
        <v>0</v>
      </c>
      <c r="L1165">
        <v>1650</v>
      </c>
      <c r="M1165">
        <v>1650</v>
      </c>
      <c r="N1165">
        <v>0</v>
      </c>
    </row>
    <row r="1166" spans="1:14" x14ac:dyDescent="0.25">
      <c r="A1166">
        <v>939.26267600000006</v>
      </c>
      <c r="B1166" s="1">
        <f>DATE(2012,11,25) + TIME(6,18,15)</f>
        <v>41238.262673611112</v>
      </c>
      <c r="C1166">
        <v>80</v>
      </c>
      <c r="D1166">
        <v>77.187599182</v>
      </c>
      <c r="E1166">
        <v>40</v>
      </c>
      <c r="F1166">
        <v>39.969291687000002</v>
      </c>
      <c r="G1166">
        <v>1312.2238769999999</v>
      </c>
      <c r="H1166">
        <v>1303.8302002</v>
      </c>
      <c r="I1166">
        <v>1379.5270995999999</v>
      </c>
      <c r="J1166">
        <v>1363.4437256000001</v>
      </c>
      <c r="K1166">
        <v>0</v>
      </c>
      <c r="L1166">
        <v>1650</v>
      </c>
      <c r="M1166">
        <v>1650</v>
      </c>
      <c r="N1166">
        <v>0</v>
      </c>
    </row>
    <row r="1167" spans="1:14" x14ac:dyDescent="0.25">
      <c r="A1167">
        <v>940.55511100000001</v>
      </c>
      <c r="B1167" s="1">
        <f>DATE(2012,11,26) + TIME(13,19,21)</f>
        <v>41239.555104166669</v>
      </c>
      <c r="C1167">
        <v>80</v>
      </c>
      <c r="D1167">
        <v>77.069213867000002</v>
      </c>
      <c r="E1167">
        <v>40</v>
      </c>
      <c r="F1167">
        <v>39.969322204999997</v>
      </c>
      <c r="G1167">
        <v>1312.1717529</v>
      </c>
      <c r="H1167">
        <v>1303.7680664</v>
      </c>
      <c r="I1167">
        <v>1379.5144043</v>
      </c>
      <c r="J1167">
        <v>1363.4361572</v>
      </c>
      <c r="K1167">
        <v>0</v>
      </c>
      <c r="L1167">
        <v>1650</v>
      </c>
      <c r="M1167">
        <v>1650</v>
      </c>
      <c r="N1167">
        <v>0</v>
      </c>
    </row>
    <row r="1168" spans="1:14" x14ac:dyDescent="0.25">
      <c r="A1168">
        <v>941.86873200000002</v>
      </c>
      <c r="B1168" s="1">
        <f>DATE(2012,11,27) + TIME(20,50,58)</f>
        <v>41240.868726851855</v>
      </c>
      <c r="C1168">
        <v>80</v>
      </c>
      <c r="D1168">
        <v>76.950027465999995</v>
      </c>
      <c r="E1168">
        <v>40</v>
      </c>
      <c r="F1168">
        <v>39.969352721999996</v>
      </c>
      <c r="G1168">
        <v>1312.1184082</v>
      </c>
      <c r="H1168">
        <v>1303.7039795000001</v>
      </c>
      <c r="I1168">
        <v>1379.5024414</v>
      </c>
      <c r="J1168">
        <v>1363.4290771000001</v>
      </c>
      <c r="K1168">
        <v>0</v>
      </c>
      <c r="L1168">
        <v>1650</v>
      </c>
      <c r="M1168">
        <v>1650</v>
      </c>
      <c r="N1168">
        <v>0</v>
      </c>
    </row>
    <row r="1169" spans="1:14" x14ac:dyDescent="0.25">
      <c r="A1169">
        <v>943.21170199999995</v>
      </c>
      <c r="B1169" s="1">
        <f>DATE(2012,11,29) + TIME(5,4,51)</f>
        <v>41242.211701388886</v>
      </c>
      <c r="C1169">
        <v>80</v>
      </c>
      <c r="D1169">
        <v>76.830039978000002</v>
      </c>
      <c r="E1169">
        <v>40</v>
      </c>
      <c r="F1169">
        <v>39.969383239999999</v>
      </c>
      <c r="G1169">
        <v>1312.0632324000001</v>
      </c>
      <c r="H1169">
        <v>1303.6374512</v>
      </c>
      <c r="I1169">
        <v>1379.4909668</v>
      </c>
      <c r="J1169">
        <v>1363.4222411999999</v>
      </c>
      <c r="K1169">
        <v>0</v>
      </c>
      <c r="L1169">
        <v>1650</v>
      </c>
      <c r="M1169">
        <v>1650</v>
      </c>
      <c r="N1169">
        <v>0</v>
      </c>
    </row>
    <row r="1170" spans="1:14" x14ac:dyDescent="0.25">
      <c r="A1170">
        <v>944.59250999999995</v>
      </c>
      <c r="B1170" s="1">
        <f>DATE(2012,11,30) + TIME(14,13,12)</f>
        <v>41243.592499999999</v>
      </c>
      <c r="C1170">
        <v>80</v>
      </c>
      <c r="D1170">
        <v>76.708885193</v>
      </c>
      <c r="E1170">
        <v>40</v>
      </c>
      <c r="F1170">
        <v>39.969413756999998</v>
      </c>
      <c r="G1170">
        <v>1312.0061035000001</v>
      </c>
      <c r="H1170">
        <v>1303.5681152</v>
      </c>
      <c r="I1170">
        <v>1379.4799805</v>
      </c>
      <c r="J1170">
        <v>1363.4157714999999</v>
      </c>
      <c r="K1170">
        <v>0</v>
      </c>
      <c r="L1170">
        <v>1650</v>
      </c>
      <c r="M1170">
        <v>1650</v>
      </c>
      <c r="N1170">
        <v>0</v>
      </c>
    </row>
    <row r="1171" spans="1:14" x14ac:dyDescent="0.25">
      <c r="A1171">
        <v>945</v>
      </c>
      <c r="B1171" s="1">
        <f>DATE(2012,12,1) + TIME(0,0,0)</f>
        <v>41244</v>
      </c>
      <c r="C1171">
        <v>80</v>
      </c>
      <c r="D1171">
        <v>76.652496338000006</v>
      </c>
      <c r="E1171">
        <v>40</v>
      </c>
      <c r="F1171">
        <v>39.969421386999997</v>
      </c>
      <c r="G1171">
        <v>1311.9466553</v>
      </c>
      <c r="H1171">
        <v>1303.5014647999999</v>
      </c>
      <c r="I1171">
        <v>1379.4686279</v>
      </c>
      <c r="J1171">
        <v>1363.4088135</v>
      </c>
      <c r="K1171">
        <v>0</v>
      </c>
      <c r="L1171">
        <v>1650</v>
      </c>
      <c r="M1171">
        <v>1650</v>
      </c>
      <c r="N1171">
        <v>0</v>
      </c>
    </row>
    <row r="1172" spans="1:14" x14ac:dyDescent="0.25">
      <c r="A1172">
        <v>946.42785100000003</v>
      </c>
      <c r="B1172" s="1">
        <f>DATE(2012,12,2) + TIME(10,16,6)</f>
        <v>41245.427847222221</v>
      </c>
      <c r="C1172">
        <v>80</v>
      </c>
      <c r="D1172">
        <v>76.540870666999993</v>
      </c>
      <c r="E1172">
        <v>40</v>
      </c>
      <c r="F1172">
        <v>39.969451904000003</v>
      </c>
      <c r="G1172">
        <v>1311.9274902</v>
      </c>
      <c r="H1172">
        <v>1303.4711914</v>
      </c>
      <c r="I1172">
        <v>1379.4663086</v>
      </c>
      <c r="J1172">
        <v>1363.4077147999999</v>
      </c>
      <c r="K1172">
        <v>0</v>
      </c>
      <c r="L1172">
        <v>1650</v>
      </c>
      <c r="M1172">
        <v>1650</v>
      </c>
      <c r="N1172">
        <v>0</v>
      </c>
    </row>
    <row r="1173" spans="1:14" x14ac:dyDescent="0.25">
      <c r="A1173">
        <v>947.93222900000001</v>
      </c>
      <c r="B1173" s="1">
        <f>DATE(2012,12,3) + TIME(22,22,24)</f>
        <v>41246.932222222225</v>
      </c>
      <c r="C1173">
        <v>80</v>
      </c>
      <c r="D1173">
        <v>76.420608521000005</v>
      </c>
      <c r="E1173">
        <v>40</v>
      </c>
      <c r="F1173">
        <v>39.969482421999999</v>
      </c>
      <c r="G1173">
        <v>1311.8649902</v>
      </c>
      <c r="H1173">
        <v>1303.3951416</v>
      </c>
      <c r="I1173">
        <v>1379.4560547000001</v>
      </c>
      <c r="J1173">
        <v>1363.4016113</v>
      </c>
      <c r="K1173">
        <v>0</v>
      </c>
      <c r="L1173">
        <v>1650</v>
      </c>
      <c r="M1173">
        <v>1650</v>
      </c>
      <c r="N1173">
        <v>0</v>
      </c>
    </row>
    <row r="1174" spans="1:14" x14ac:dyDescent="0.25">
      <c r="A1174">
        <v>949.49769800000001</v>
      </c>
      <c r="B1174" s="1">
        <f>DATE(2012,12,5) + TIME(11,56,41)</f>
        <v>41248.497696759259</v>
      </c>
      <c r="C1174">
        <v>80</v>
      </c>
      <c r="D1174">
        <v>76.294364928999997</v>
      </c>
      <c r="E1174">
        <v>40</v>
      </c>
      <c r="F1174">
        <v>39.969516753999997</v>
      </c>
      <c r="G1174">
        <v>1311.7977295000001</v>
      </c>
      <c r="H1174">
        <v>1303.3127440999999</v>
      </c>
      <c r="I1174">
        <v>1379.4458007999999</v>
      </c>
      <c r="J1174">
        <v>1363.3956298999999</v>
      </c>
      <c r="K1174">
        <v>0</v>
      </c>
      <c r="L1174">
        <v>1650</v>
      </c>
      <c r="M1174">
        <v>1650</v>
      </c>
      <c r="N1174">
        <v>0</v>
      </c>
    </row>
    <row r="1175" spans="1:14" x14ac:dyDescent="0.25">
      <c r="A1175">
        <v>951.07847600000002</v>
      </c>
      <c r="B1175" s="1">
        <f>DATE(2012,12,7) + TIME(1,53,0)</f>
        <v>41250.078472222223</v>
      </c>
      <c r="C1175">
        <v>80</v>
      </c>
      <c r="D1175">
        <v>76.165313721000004</v>
      </c>
      <c r="E1175">
        <v>40</v>
      </c>
      <c r="F1175">
        <v>39.969547272</v>
      </c>
      <c r="G1175">
        <v>1311.7264404</v>
      </c>
      <c r="H1175">
        <v>1303.2248535000001</v>
      </c>
      <c r="I1175">
        <v>1379.4357910000001</v>
      </c>
      <c r="J1175">
        <v>1363.3897704999999</v>
      </c>
      <c r="K1175">
        <v>0</v>
      </c>
      <c r="L1175">
        <v>1650</v>
      </c>
      <c r="M1175">
        <v>1650</v>
      </c>
      <c r="N1175">
        <v>0</v>
      </c>
    </row>
    <row r="1176" spans="1:14" x14ac:dyDescent="0.25">
      <c r="A1176">
        <v>952.68355199999996</v>
      </c>
      <c r="B1176" s="1">
        <f>DATE(2012,12,8) + TIME(16,24,18)</f>
        <v>41251.683541666665</v>
      </c>
      <c r="C1176">
        <v>80</v>
      </c>
      <c r="D1176">
        <v>76.035072326999995</v>
      </c>
      <c r="E1176">
        <v>40</v>
      </c>
      <c r="F1176">
        <v>39.969581603999998</v>
      </c>
      <c r="G1176">
        <v>1311.652832</v>
      </c>
      <c r="H1176">
        <v>1303.1336670000001</v>
      </c>
      <c r="I1176">
        <v>1379.4262695</v>
      </c>
      <c r="J1176">
        <v>1363.3842772999999</v>
      </c>
      <c r="K1176">
        <v>0</v>
      </c>
      <c r="L1176">
        <v>1650</v>
      </c>
      <c r="M1176">
        <v>1650</v>
      </c>
      <c r="N1176">
        <v>0</v>
      </c>
    </row>
    <row r="1177" spans="1:14" x14ac:dyDescent="0.25">
      <c r="A1177">
        <v>954.32194300000003</v>
      </c>
      <c r="B1177" s="1">
        <f>DATE(2012,12,10) + TIME(7,43,35)</f>
        <v>41253.321932870371</v>
      </c>
      <c r="C1177">
        <v>80</v>
      </c>
      <c r="D1177">
        <v>75.903945922999995</v>
      </c>
      <c r="E1177">
        <v>40</v>
      </c>
      <c r="F1177">
        <v>39.969615935999997</v>
      </c>
      <c r="G1177">
        <v>1311.5767822</v>
      </c>
      <c r="H1177">
        <v>1303.0388184000001</v>
      </c>
      <c r="I1177">
        <v>1379.4171143000001</v>
      </c>
      <c r="J1177">
        <v>1363.3789062000001</v>
      </c>
      <c r="K1177">
        <v>0</v>
      </c>
      <c r="L1177">
        <v>1650</v>
      </c>
      <c r="M1177">
        <v>1650</v>
      </c>
      <c r="N1177">
        <v>0</v>
      </c>
    </row>
    <row r="1178" spans="1:14" x14ac:dyDescent="0.25">
      <c r="A1178">
        <v>956.00310999999999</v>
      </c>
      <c r="B1178" s="1">
        <f>DATE(2012,12,12) + TIME(0,4,28)</f>
        <v>41255.003101851849</v>
      </c>
      <c r="C1178">
        <v>80</v>
      </c>
      <c r="D1178">
        <v>75.771690368999998</v>
      </c>
      <c r="E1178">
        <v>40</v>
      </c>
      <c r="F1178">
        <v>39.969650268999999</v>
      </c>
      <c r="G1178">
        <v>1311.4976807</v>
      </c>
      <c r="H1178">
        <v>1302.9398193</v>
      </c>
      <c r="I1178">
        <v>1379.4082031</v>
      </c>
      <c r="J1178">
        <v>1363.3737793</v>
      </c>
      <c r="K1178">
        <v>0</v>
      </c>
      <c r="L1178">
        <v>1650</v>
      </c>
      <c r="M1178">
        <v>1650</v>
      </c>
      <c r="N1178">
        <v>0</v>
      </c>
    </row>
    <row r="1179" spans="1:14" x14ac:dyDescent="0.25">
      <c r="A1179">
        <v>957.73725400000001</v>
      </c>
      <c r="B1179" s="1">
        <f>DATE(2012,12,13) + TIME(17,41,38)</f>
        <v>41256.737245370372</v>
      </c>
      <c r="C1179">
        <v>80</v>
      </c>
      <c r="D1179">
        <v>75.637794494999994</v>
      </c>
      <c r="E1179">
        <v>40</v>
      </c>
      <c r="F1179">
        <v>39.969684600999997</v>
      </c>
      <c r="G1179">
        <v>1311.4151611</v>
      </c>
      <c r="H1179">
        <v>1302.8359375</v>
      </c>
      <c r="I1179">
        <v>1379.3996582</v>
      </c>
      <c r="J1179">
        <v>1363.3687743999999</v>
      </c>
      <c r="K1179">
        <v>0</v>
      </c>
      <c r="L1179">
        <v>1650</v>
      </c>
      <c r="M1179">
        <v>1650</v>
      </c>
      <c r="N1179">
        <v>0</v>
      </c>
    </row>
    <row r="1180" spans="1:14" x14ac:dyDescent="0.25">
      <c r="A1180">
        <v>959.53577399999995</v>
      </c>
      <c r="B1180" s="1">
        <f>DATE(2012,12,15) + TIME(12,51,30)</f>
        <v>41258.535763888889</v>
      </c>
      <c r="C1180">
        <v>80</v>
      </c>
      <c r="D1180">
        <v>75.501586914000001</v>
      </c>
      <c r="E1180">
        <v>40</v>
      </c>
      <c r="F1180">
        <v>39.969722748000002</v>
      </c>
      <c r="G1180">
        <v>1311.3283690999999</v>
      </c>
      <c r="H1180">
        <v>1302.7263184000001</v>
      </c>
      <c r="I1180">
        <v>1379.3912353999999</v>
      </c>
      <c r="J1180">
        <v>1363.3640137</v>
      </c>
      <c r="K1180">
        <v>0</v>
      </c>
      <c r="L1180">
        <v>1650</v>
      </c>
      <c r="M1180">
        <v>1650</v>
      </c>
      <c r="N1180">
        <v>0</v>
      </c>
    </row>
    <row r="1181" spans="1:14" x14ac:dyDescent="0.25">
      <c r="A1181">
        <v>961.38686199999995</v>
      </c>
      <c r="B1181" s="1">
        <f>DATE(2012,12,17) + TIME(9,17,4)</f>
        <v>41260.38685185185</v>
      </c>
      <c r="C1181">
        <v>80</v>
      </c>
      <c r="D1181">
        <v>75.363052367999998</v>
      </c>
      <c r="E1181">
        <v>40</v>
      </c>
      <c r="F1181">
        <v>39.969760895</v>
      </c>
      <c r="G1181">
        <v>1311.2366943</v>
      </c>
      <c r="H1181">
        <v>1302.6101074000001</v>
      </c>
      <c r="I1181">
        <v>1379.3829346</v>
      </c>
      <c r="J1181">
        <v>1363.3592529</v>
      </c>
      <c r="K1181">
        <v>0</v>
      </c>
      <c r="L1181">
        <v>1650</v>
      </c>
      <c r="M1181">
        <v>1650</v>
      </c>
      <c r="N1181">
        <v>0</v>
      </c>
    </row>
    <row r="1182" spans="1:14" x14ac:dyDescent="0.25">
      <c r="A1182">
        <v>963.25675000000001</v>
      </c>
      <c r="B1182" s="1">
        <f>DATE(2012,12,19) + TIME(6,9,43)</f>
        <v>41262.256747685184</v>
      </c>
      <c r="C1182">
        <v>80</v>
      </c>
      <c r="D1182">
        <v>75.223365783999995</v>
      </c>
      <c r="E1182">
        <v>40</v>
      </c>
      <c r="F1182">
        <v>39.969799041999998</v>
      </c>
      <c r="G1182">
        <v>1311.140625</v>
      </c>
      <c r="H1182">
        <v>1302.4879149999999</v>
      </c>
      <c r="I1182">
        <v>1379.3748779</v>
      </c>
      <c r="J1182">
        <v>1363.3546143000001</v>
      </c>
      <c r="K1182">
        <v>0</v>
      </c>
      <c r="L1182">
        <v>1650</v>
      </c>
      <c r="M1182">
        <v>1650</v>
      </c>
      <c r="N1182">
        <v>0</v>
      </c>
    </row>
    <row r="1183" spans="1:14" x14ac:dyDescent="0.25">
      <c r="A1183">
        <v>965.15523700000006</v>
      </c>
      <c r="B1183" s="1">
        <f>DATE(2012,12,21) + TIME(3,43,32)</f>
        <v>41264.155231481483</v>
      </c>
      <c r="C1183">
        <v>80</v>
      </c>
      <c r="D1183">
        <v>75.083213806000003</v>
      </c>
      <c r="E1183">
        <v>40</v>
      </c>
      <c r="F1183">
        <v>39.969837189000003</v>
      </c>
      <c r="G1183">
        <v>1311.0415039</v>
      </c>
      <c r="H1183">
        <v>1302.3612060999999</v>
      </c>
      <c r="I1183">
        <v>1379.3670654</v>
      </c>
      <c r="J1183">
        <v>1363.3500977000001</v>
      </c>
      <c r="K1183">
        <v>0</v>
      </c>
      <c r="L1183">
        <v>1650</v>
      </c>
      <c r="M1183">
        <v>1650</v>
      </c>
      <c r="N1183">
        <v>0</v>
      </c>
    </row>
    <row r="1184" spans="1:14" x14ac:dyDescent="0.25">
      <c r="A1184">
        <v>967.092129</v>
      </c>
      <c r="B1184" s="1">
        <f>DATE(2012,12,23) + TIME(2,12,39)</f>
        <v>41266.092118055552</v>
      </c>
      <c r="C1184">
        <v>80</v>
      </c>
      <c r="D1184">
        <v>74.942375182999996</v>
      </c>
      <c r="E1184">
        <v>40</v>
      </c>
      <c r="F1184">
        <v>39.969879149999997</v>
      </c>
      <c r="G1184">
        <v>1310.9388428</v>
      </c>
      <c r="H1184">
        <v>1302.2294922000001</v>
      </c>
      <c r="I1184">
        <v>1379.3596190999999</v>
      </c>
      <c r="J1184">
        <v>1363.3458252</v>
      </c>
      <c r="K1184">
        <v>0</v>
      </c>
      <c r="L1184">
        <v>1650</v>
      </c>
      <c r="M1184">
        <v>1650</v>
      </c>
      <c r="N1184">
        <v>0</v>
      </c>
    </row>
    <row r="1185" spans="1:14" x14ac:dyDescent="0.25">
      <c r="A1185">
        <v>969.07791299999997</v>
      </c>
      <c r="B1185" s="1">
        <f>DATE(2012,12,25) + TIME(1,52,11)</f>
        <v>41268.077905092592</v>
      </c>
      <c r="C1185">
        <v>80</v>
      </c>
      <c r="D1185">
        <v>74.800239563000005</v>
      </c>
      <c r="E1185">
        <v>40</v>
      </c>
      <c r="F1185">
        <v>39.969921112000002</v>
      </c>
      <c r="G1185">
        <v>1310.8322754000001</v>
      </c>
      <c r="H1185">
        <v>1302.0920410000001</v>
      </c>
      <c r="I1185">
        <v>1379.3522949000001</v>
      </c>
      <c r="J1185">
        <v>1363.3417969</v>
      </c>
      <c r="K1185">
        <v>0</v>
      </c>
      <c r="L1185">
        <v>1650</v>
      </c>
      <c r="M1185">
        <v>1650</v>
      </c>
      <c r="N1185">
        <v>0</v>
      </c>
    </row>
    <row r="1186" spans="1:14" x14ac:dyDescent="0.25">
      <c r="A1186">
        <v>971.12392999999997</v>
      </c>
      <c r="B1186" s="1">
        <f>DATE(2012,12,27) + TIME(2,58,27)</f>
        <v>41270.123923611114</v>
      </c>
      <c r="C1186">
        <v>80</v>
      </c>
      <c r="D1186">
        <v>74.656173706000004</v>
      </c>
      <c r="E1186">
        <v>40</v>
      </c>
      <c r="F1186">
        <v>39.969963073999999</v>
      </c>
      <c r="G1186">
        <v>1310.7208252</v>
      </c>
      <c r="H1186">
        <v>1301.947876</v>
      </c>
      <c r="I1186">
        <v>1379.3452147999999</v>
      </c>
      <c r="J1186">
        <v>1363.3377685999999</v>
      </c>
      <c r="K1186">
        <v>0</v>
      </c>
      <c r="L1186">
        <v>1650</v>
      </c>
      <c r="M1186">
        <v>1650</v>
      </c>
      <c r="N1186">
        <v>0</v>
      </c>
    </row>
    <row r="1187" spans="1:14" x14ac:dyDescent="0.25">
      <c r="A1187">
        <v>973.21890199999996</v>
      </c>
      <c r="B1187" s="1">
        <f>DATE(2012,12,29) + TIME(5,15,13)</f>
        <v>41272.218900462962</v>
      </c>
      <c r="C1187">
        <v>80</v>
      </c>
      <c r="D1187">
        <v>74.510002135999997</v>
      </c>
      <c r="E1187">
        <v>40</v>
      </c>
      <c r="F1187">
        <v>39.970005035</v>
      </c>
      <c r="G1187">
        <v>1310.6040039</v>
      </c>
      <c r="H1187">
        <v>1301.7961425999999</v>
      </c>
      <c r="I1187">
        <v>1379.3382568</v>
      </c>
      <c r="J1187">
        <v>1363.3337402</v>
      </c>
      <c r="K1187">
        <v>0</v>
      </c>
      <c r="L1187">
        <v>1650</v>
      </c>
      <c r="M1187">
        <v>1650</v>
      </c>
      <c r="N1187">
        <v>0</v>
      </c>
    </row>
    <row r="1188" spans="1:14" x14ac:dyDescent="0.25">
      <c r="A1188">
        <v>975.34053400000005</v>
      </c>
      <c r="B1188" s="1">
        <f>DATE(2012,12,31) + TIME(8,10,22)</f>
        <v>41274.340532407405</v>
      </c>
      <c r="C1188">
        <v>80</v>
      </c>
      <c r="D1188">
        <v>74.362365722999996</v>
      </c>
      <c r="E1188">
        <v>40</v>
      </c>
      <c r="F1188">
        <v>39.970050811999997</v>
      </c>
      <c r="G1188">
        <v>1310.4820557</v>
      </c>
      <c r="H1188">
        <v>1301.6373291</v>
      </c>
      <c r="I1188">
        <v>1379.3314209</v>
      </c>
      <c r="J1188">
        <v>1363.3299560999999</v>
      </c>
      <c r="K1188">
        <v>0</v>
      </c>
      <c r="L1188">
        <v>1650</v>
      </c>
      <c r="M1188">
        <v>1650</v>
      </c>
      <c r="N1188">
        <v>0</v>
      </c>
    </row>
    <row r="1189" spans="1:14" x14ac:dyDescent="0.25">
      <c r="A1189">
        <v>976</v>
      </c>
      <c r="B1189" s="1">
        <f>DATE(2013,1,1) + TIME(0,0,0)</f>
        <v>41275</v>
      </c>
      <c r="C1189">
        <v>80</v>
      </c>
      <c r="D1189">
        <v>74.281234741000006</v>
      </c>
      <c r="E1189">
        <v>40</v>
      </c>
      <c r="F1189">
        <v>39.970062255999999</v>
      </c>
      <c r="G1189">
        <v>1310.3616943</v>
      </c>
      <c r="H1189">
        <v>1301.4886475000001</v>
      </c>
      <c r="I1189">
        <v>1379.3238524999999</v>
      </c>
      <c r="J1189">
        <v>1363.3253173999999</v>
      </c>
      <c r="K1189">
        <v>0</v>
      </c>
      <c r="L1189">
        <v>1650</v>
      </c>
      <c r="M1189">
        <v>1650</v>
      </c>
      <c r="N1189">
        <v>0</v>
      </c>
    </row>
    <row r="1190" spans="1:14" x14ac:dyDescent="0.25">
      <c r="A1190">
        <v>978.15318400000001</v>
      </c>
      <c r="B1190" s="1">
        <f>DATE(2013,1,3) + TIME(3,40,35)</f>
        <v>41277.153182870374</v>
      </c>
      <c r="C1190">
        <v>80</v>
      </c>
      <c r="D1190">
        <v>74.154953003000003</v>
      </c>
      <c r="E1190">
        <v>40</v>
      </c>
      <c r="F1190">
        <v>39.970108031999999</v>
      </c>
      <c r="G1190">
        <v>1310.3114014</v>
      </c>
      <c r="H1190">
        <v>1301.4111327999999</v>
      </c>
      <c r="I1190">
        <v>1379.3229980000001</v>
      </c>
      <c r="J1190">
        <v>1363.3250731999999</v>
      </c>
      <c r="K1190">
        <v>0</v>
      </c>
      <c r="L1190">
        <v>1650</v>
      </c>
      <c r="M1190">
        <v>1650</v>
      </c>
      <c r="N1190">
        <v>0</v>
      </c>
    </row>
    <row r="1191" spans="1:14" x14ac:dyDescent="0.25">
      <c r="A1191">
        <v>980.35507199999995</v>
      </c>
      <c r="B1191" s="1">
        <f>DATE(2013,1,5) + TIME(8,31,18)</f>
        <v>41279.355069444442</v>
      </c>
      <c r="C1191">
        <v>80</v>
      </c>
      <c r="D1191">
        <v>74.013298035000005</v>
      </c>
      <c r="E1191">
        <v>40</v>
      </c>
      <c r="F1191">
        <v>39.970153809000003</v>
      </c>
      <c r="G1191">
        <v>1310.1834716999999</v>
      </c>
      <c r="H1191">
        <v>1301.244751</v>
      </c>
      <c r="I1191">
        <v>1379.3165283000001</v>
      </c>
      <c r="J1191">
        <v>1363.3215332</v>
      </c>
      <c r="K1191">
        <v>0</v>
      </c>
      <c r="L1191">
        <v>1650</v>
      </c>
      <c r="M1191">
        <v>1650</v>
      </c>
      <c r="N1191">
        <v>0</v>
      </c>
    </row>
    <row r="1192" spans="1:14" x14ac:dyDescent="0.25">
      <c r="A1192">
        <v>982.59781599999997</v>
      </c>
      <c r="B1192" s="1">
        <f>DATE(2013,1,7) + TIME(14,20,51)</f>
        <v>41281.597812499997</v>
      </c>
      <c r="C1192">
        <v>80</v>
      </c>
      <c r="D1192">
        <v>73.864624023000005</v>
      </c>
      <c r="E1192">
        <v>40</v>
      </c>
      <c r="F1192">
        <v>39.970203400000003</v>
      </c>
      <c r="G1192">
        <v>1310.0482178</v>
      </c>
      <c r="H1192">
        <v>1301.0670166</v>
      </c>
      <c r="I1192">
        <v>1379.3104248</v>
      </c>
      <c r="J1192">
        <v>1363.3181152</v>
      </c>
      <c r="K1192">
        <v>0</v>
      </c>
      <c r="L1192">
        <v>1650</v>
      </c>
      <c r="M1192">
        <v>1650</v>
      </c>
      <c r="N1192">
        <v>0</v>
      </c>
    </row>
    <row r="1193" spans="1:14" x14ac:dyDescent="0.25">
      <c r="A1193">
        <v>984.88620900000001</v>
      </c>
      <c r="B1193" s="1">
        <f>DATE(2013,1,9) + TIME(21,16,8)</f>
        <v>41283.886203703703</v>
      </c>
      <c r="C1193">
        <v>80</v>
      </c>
      <c r="D1193">
        <v>73.711997986</v>
      </c>
      <c r="E1193">
        <v>40</v>
      </c>
      <c r="F1193">
        <v>39.970249176000003</v>
      </c>
      <c r="G1193">
        <v>1309.9071045000001</v>
      </c>
      <c r="H1193">
        <v>1300.8806152</v>
      </c>
      <c r="I1193">
        <v>1379.3043213000001</v>
      </c>
      <c r="J1193">
        <v>1363.3146973</v>
      </c>
      <c r="K1193">
        <v>0</v>
      </c>
      <c r="L1193">
        <v>1650</v>
      </c>
      <c r="M1193">
        <v>1650</v>
      </c>
      <c r="N1193">
        <v>0</v>
      </c>
    </row>
    <row r="1194" spans="1:14" x14ac:dyDescent="0.25">
      <c r="A1194">
        <v>987.22482300000001</v>
      </c>
      <c r="B1194" s="1">
        <f>DATE(2013,1,12) + TIME(5,23,44)</f>
        <v>41286.224814814814</v>
      </c>
      <c r="C1194">
        <v>80</v>
      </c>
      <c r="D1194">
        <v>73.556243895999998</v>
      </c>
      <c r="E1194">
        <v>40</v>
      </c>
      <c r="F1194">
        <v>39.970298767000003</v>
      </c>
      <c r="G1194">
        <v>1309.760376</v>
      </c>
      <c r="H1194">
        <v>1300.6859131000001</v>
      </c>
      <c r="I1194">
        <v>1379.2983397999999</v>
      </c>
      <c r="J1194">
        <v>1363.3114014</v>
      </c>
      <c r="K1194">
        <v>0</v>
      </c>
      <c r="L1194">
        <v>1650</v>
      </c>
      <c r="M1194">
        <v>1650</v>
      </c>
      <c r="N1194">
        <v>0</v>
      </c>
    </row>
    <row r="1195" spans="1:14" x14ac:dyDescent="0.25">
      <c r="A1195">
        <v>989.59959900000001</v>
      </c>
      <c r="B1195" s="1">
        <f>DATE(2013,1,14) + TIME(14,23,25)</f>
        <v>41288.599594907406</v>
      </c>
      <c r="C1195">
        <v>80</v>
      </c>
      <c r="D1195">
        <v>73.397735596000004</v>
      </c>
      <c r="E1195">
        <v>40</v>
      </c>
      <c r="F1195">
        <v>39.970348358000003</v>
      </c>
      <c r="G1195">
        <v>1309.6077881000001</v>
      </c>
      <c r="H1195">
        <v>1300.4827881000001</v>
      </c>
      <c r="I1195">
        <v>1379.2924805</v>
      </c>
      <c r="J1195">
        <v>1363.3081055</v>
      </c>
      <c r="K1195">
        <v>0</v>
      </c>
      <c r="L1195">
        <v>1650</v>
      </c>
      <c r="M1195">
        <v>1650</v>
      </c>
      <c r="N1195">
        <v>0</v>
      </c>
    </row>
    <row r="1196" spans="1:14" x14ac:dyDescent="0.25">
      <c r="A1196">
        <v>992.010223</v>
      </c>
      <c r="B1196" s="1">
        <f>DATE(2013,1,17) + TIME(0,14,43)</f>
        <v>41291.01021990741</v>
      </c>
      <c r="C1196">
        <v>80</v>
      </c>
      <c r="D1196">
        <v>73.236762999999996</v>
      </c>
      <c r="E1196">
        <v>40</v>
      </c>
      <c r="F1196">
        <v>39.970397949000002</v>
      </c>
      <c r="G1196">
        <v>1309.4500731999999</v>
      </c>
      <c r="H1196">
        <v>1300.2720947</v>
      </c>
      <c r="I1196">
        <v>1379.2867432</v>
      </c>
      <c r="J1196">
        <v>1363.3049315999999</v>
      </c>
      <c r="K1196">
        <v>0</v>
      </c>
      <c r="L1196">
        <v>1650</v>
      </c>
      <c r="M1196">
        <v>1650</v>
      </c>
      <c r="N1196">
        <v>0</v>
      </c>
    </row>
    <row r="1197" spans="1:14" x14ac:dyDescent="0.25">
      <c r="A1197">
        <v>994.46160899999995</v>
      </c>
      <c r="B1197" s="1">
        <f>DATE(2013,1,19) + TIME(11,4,43)</f>
        <v>41293.461608796293</v>
      </c>
      <c r="C1197">
        <v>80</v>
      </c>
      <c r="D1197">
        <v>73.073135375999996</v>
      </c>
      <c r="E1197">
        <v>40</v>
      </c>
      <c r="F1197">
        <v>39.970447540000002</v>
      </c>
      <c r="G1197">
        <v>1309.2871094</v>
      </c>
      <c r="H1197">
        <v>1300.0537108999999</v>
      </c>
      <c r="I1197">
        <v>1379.2811279</v>
      </c>
      <c r="J1197">
        <v>1363.3017577999999</v>
      </c>
      <c r="K1197">
        <v>0</v>
      </c>
      <c r="L1197">
        <v>1650</v>
      </c>
      <c r="M1197">
        <v>1650</v>
      </c>
      <c r="N1197">
        <v>0</v>
      </c>
    </row>
    <row r="1198" spans="1:14" x14ac:dyDescent="0.25">
      <c r="A1198">
        <v>996.95538799999997</v>
      </c>
      <c r="B1198" s="1">
        <f>DATE(2013,1,21) + TIME(22,55,45)</f>
        <v>41295.955381944441</v>
      </c>
      <c r="C1198">
        <v>80</v>
      </c>
      <c r="D1198">
        <v>72.906448363999999</v>
      </c>
      <c r="E1198">
        <v>40</v>
      </c>
      <c r="F1198">
        <v>39.970497131000002</v>
      </c>
      <c r="G1198">
        <v>1309.1186522999999</v>
      </c>
      <c r="H1198">
        <v>1299.8272704999999</v>
      </c>
      <c r="I1198">
        <v>1379.2756348</v>
      </c>
      <c r="J1198">
        <v>1363.2987060999999</v>
      </c>
      <c r="K1198">
        <v>0</v>
      </c>
      <c r="L1198">
        <v>1650</v>
      </c>
      <c r="M1198">
        <v>1650</v>
      </c>
      <c r="N1198">
        <v>0</v>
      </c>
    </row>
    <row r="1199" spans="1:14" x14ac:dyDescent="0.25">
      <c r="A1199">
        <v>999.48635899999999</v>
      </c>
      <c r="B1199" s="1">
        <f>DATE(2013,1,24) + TIME(11,40,21)</f>
        <v>41298.486354166664</v>
      </c>
      <c r="C1199">
        <v>80</v>
      </c>
      <c r="D1199">
        <v>72.736419678000004</v>
      </c>
      <c r="E1199">
        <v>40</v>
      </c>
      <c r="F1199">
        <v>39.970550537000001</v>
      </c>
      <c r="G1199">
        <v>1308.9445800999999</v>
      </c>
      <c r="H1199">
        <v>1299.5926514</v>
      </c>
      <c r="I1199">
        <v>1379.2701416</v>
      </c>
      <c r="J1199">
        <v>1363.2955322</v>
      </c>
      <c r="K1199">
        <v>0</v>
      </c>
      <c r="L1199">
        <v>1650</v>
      </c>
      <c r="M1199">
        <v>1650</v>
      </c>
      <c r="N1199">
        <v>0</v>
      </c>
    </row>
    <row r="1200" spans="1:14" x14ac:dyDescent="0.25">
      <c r="A1200">
        <v>1002.059751</v>
      </c>
      <c r="B1200" s="1">
        <f>DATE(2013,1,27) + TIME(1,26,2)</f>
        <v>41301.059745370374</v>
      </c>
      <c r="C1200">
        <v>80</v>
      </c>
      <c r="D1200">
        <v>72.562728882000002</v>
      </c>
      <c r="E1200">
        <v>40</v>
      </c>
      <c r="F1200">
        <v>39.970603943</v>
      </c>
      <c r="G1200">
        <v>1308.7651367000001</v>
      </c>
      <c r="H1200">
        <v>1299.3498535000001</v>
      </c>
      <c r="I1200">
        <v>1379.2647704999999</v>
      </c>
      <c r="J1200">
        <v>1363.2926024999999</v>
      </c>
      <c r="K1200">
        <v>0</v>
      </c>
      <c r="L1200">
        <v>1650</v>
      </c>
      <c r="M1200">
        <v>1650</v>
      </c>
      <c r="N1200">
        <v>0</v>
      </c>
    </row>
    <row r="1201" spans="1:14" x14ac:dyDescent="0.25">
      <c r="A1201">
        <v>1004.680844</v>
      </c>
      <c r="B1201" s="1">
        <f>DATE(2013,1,29) + TIME(16,20,24)</f>
        <v>41303.680833333332</v>
      </c>
      <c r="C1201">
        <v>80</v>
      </c>
      <c r="D1201">
        <v>72.384742736999996</v>
      </c>
      <c r="E1201">
        <v>40</v>
      </c>
      <c r="F1201">
        <v>39.970657349</v>
      </c>
      <c r="G1201">
        <v>1308.5798339999999</v>
      </c>
      <c r="H1201">
        <v>1299.0985106999999</v>
      </c>
      <c r="I1201">
        <v>1379.2593993999999</v>
      </c>
      <c r="J1201">
        <v>1363.2895507999999</v>
      </c>
      <c r="K1201">
        <v>0</v>
      </c>
      <c r="L1201">
        <v>1650</v>
      </c>
      <c r="M1201">
        <v>1650</v>
      </c>
      <c r="N1201">
        <v>0</v>
      </c>
    </row>
    <row r="1202" spans="1:14" x14ac:dyDescent="0.25">
      <c r="A1202">
        <v>1007</v>
      </c>
      <c r="B1202" s="1">
        <f>DATE(2013,2,1) + TIME(0,0,0)</f>
        <v>41306</v>
      </c>
      <c r="C1202">
        <v>80</v>
      </c>
      <c r="D1202">
        <v>72.210006714000002</v>
      </c>
      <c r="E1202">
        <v>40</v>
      </c>
      <c r="F1202">
        <v>39.970703125</v>
      </c>
      <c r="G1202">
        <v>1308.3896483999999</v>
      </c>
      <c r="H1202">
        <v>1298.8409423999999</v>
      </c>
      <c r="I1202">
        <v>1379.2539062000001</v>
      </c>
      <c r="J1202">
        <v>1363.2863769999999</v>
      </c>
      <c r="K1202">
        <v>0</v>
      </c>
      <c r="L1202">
        <v>1650</v>
      </c>
      <c r="M1202">
        <v>1650</v>
      </c>
      <c r="N1202">
        <v>0</v>
      </c>
    </row>
    <row r="1203" spans="1:14" x14ac:dyDescent="0.25">
      <c r="A1203">
        <v>1009.674022</v>
      </c>
      <c r="B1203" s="1">
        <f>DATE(2013,2,3) + TIME(16,10,35)</f>
        <v>41308.674016203702</v>
      </c>
      <c r="C1203">
        <v>80</v>
      </c>
      <c r="D1203">
        <v>72.033958435000002</v>
      </c>
      <c r="E1203">
        <v>40</v>
      </c>
      <c r="F1203">
        <v>39.970756530999999</v>
      </c>
      <c r="G1203">
        <v>1308.2137451000001</v>
      </c>
      <c r="H1203">
        <v>1298.5982666</v>
      </c>
      <c r="I1203">
        <v>1379.2493896000001</v>
      </c>
      <c r="J1203">
        <v>1363.2838135</v>
      </c>
      <c r="K1203">
        <v>0</v>
      </c>
      <c r="L1203">
        <v>1650</v>
      </c>
      <c r="M1203">
        <v>1650</v>
      </c>
      <c r="N1203">
        <v>0</v>
      </c>
    </row>
    <row r="1204" spans="1:14" x14ac:dyDescent="0.25">
      <c r="A1204">
        <v>1012.40859</v>
      </c>
      <c r="B1204" s="1">
        <f>DATE(2013,2,6) + TIME(9,48,22)</f>
        <v>41311.408587962964</v>
      </c>
      <c r="C1204">
        <v>80</v>
      </c>
      <c r="D1204">
        <v>71.845504761000001</v>
      </c>
      <c r="E1204">
        <v>40</v>
      </c>
      <c r="F1204">
        <v>39.970809936999999</v>
      </c>
      <c r="G1204">
        <v>1308.0151367000001</v>
      </c>
      <c r="H1204">
        <v>1298.3272704999999</v>
      </c>
      <c r="I1204">
        <v>1379.2440185999999</v>
      </c>
      <c r="J1204">
        <v>1363.2808838000001</v>
      </c>
      <c r="K1204">
        <v>0</v>
      </c>
      <c r="L1204">
        <v>1650</v>
      </c>
      <c r="M1204">
        <v>1650</v>
      </c>
      <c r="N1204">
        <v>0</v>
      </c>
    </row>
    <row r="1205" spans="1:14" x14ac:dyDescent="0.25">
      <c r="A1205">
        <v>1015.176655</v>
      </c>
      <c r="B1205" s="1">
        <f>DATE(2013,2,9) + TIME(4,14,23)</f>
        <v>41314.176655092589</v>
      </c>
      <c r="C1205">
        <v>80</v>
      </c>
      <c r="D1205">
        <v>71.648513793999996</v>
      </c>
      <c r="E1205">
        <v>40</v>
      </c>
      <c r="F1205">
        <v>39.970867157000001</v>
      </c>
      <c r="G1205">
        <v>1307.8081055</v>
      </c>
      <c r="H1205">
        <v>1298.0437012</v>
      </c>
      <c r="I1205">
        <v>1379.2386475000001</v>
      </c>
      <c r="J1205">
        <v>1363.2777100000001</v>
      </c>
      <c r="K1205">
        <v>0</v>
      </c>
      <c r="L1205">
        <v>1650</v>
      </c>
      <c r="M1205">
        <v>1650</v>
      </c>
      <c r="N1205">
        <v>0</v>
      </c>
    </row>
    <row r="1206" spans="1:14" x14ac:dyDescent="0.25">
      <c r="A1206">
        <v>1017.984239</v>
      </c>
      <c r="B1206" s="1">
        <f>DATE(2013,2,11) + TIME(23,37,18)</f>
        <v>41316.984236111108</v>
      </c>
      <c r="C1206">
        <v>80</v>
      </c>
      <c r="D1206">
        <v>71.444480896000002</v>
      </c>
      <c r="E1206">
        <v>40</v>
      </c>
      <c r="F1206">
        <v>39.970920563</v>
      </c>
      <c r="G1206">
        <v>1307.5952147999999</v>
      </c>
      <c r="H1206">
        <v>1297.7508545000001</v>
      </c>
      <c r="I1206">
        <v>1379.2332764</v>
      </c>
      <c r="J1206">
        <v>1363.2746582</v>
      </c>
      <c r="K1206">
        <v>0</v>
      </c>
      <c r="L1206">
        <v>1650</v>
      </c>
      <c r="M1206">
        <v>1650</v>
      </c>
      <c r="N1206">
        <v>0</v>
      </c>
    </row>
    <row r="1207" spans="1:14" x14ac:dyDescent="0.25">
      <c r="A1207">
        <v>1020.837043</v>
      </c>
      <c r="B1207" s="1">
        <f>DATE(2013,2,14) + TIME(20,5,20)</f>
        <v>41319.837037037039</v>
      </c>
      <c r="C1207">
        <v>80</v>
      </c>
      <c r="D1207">
        <v>71.233146667</v>
      </c>
      <c r="E1207">
        <v>40</v>
      </c>
      <c r="F1207">
        <v>39.970977783000002</v>
      </c>
      <c r="G1207">
        <v>1307.3765868999999</v>
      </c>
      <c r="H1207">
        <v>1297.4490966999999</v>
      </c>
      <c r="I1207">
        <v>1379.2279053</v>
      </c>
      <c r="J1207">
        <v>1363.2714844</v>
      </c>
      <c r="K1207">
        <v>0</v>
      </c>
      <c r="L1207">
        <v>1650</v>
      </c>
      <c r="M1207">
        <v>1650</v>
      </c>
      <c r="N1207">
        <v>0</v>
      </c>
    </row>
    <row r="1208" spans="1:14" x14ac:dyDescent="0.25">
      <c r="A1208">
        <v>1023.7408349999999</v>
      </c>
      <c r="B1208" s="1">
        <f>DATE(2013,2,17) + TIME(17,46,48)</f>
        <v>41322.740833333337</v>
      </c>
      <c r="C1208">
        <v>80</v>
      </c>
      <c r="D1208">
        <v>71.013679503999995</v>
      </c>
      <c r="E1208">
        <v>40</v>
      </c>
      <c r="F1208">
        <v>39.971035004000001</v>
      </c>
      <c r="G1208">
        <v>1307.1518555</v>
      </c>
      <c r="H1208">
        <v>1297.1380615</v>
      </c>
      <c r="I1208">
        <v>1379.2224120999999</v>
      </c>
      <c r="J1208">
        <v>1363.2681885</v>
      </c>
      <c r="K1208">
        <v>0</v>
      </c>
      <c r="L1208">
        <v>1650</v>
      </c>
      <c r="M1208">
        <v>1650</v>
      </c>
      <c r="N1208">
        <v>0</v>
      </c>
    </row>
    <row r="1209" spans="1:14" x14ac:dyDescent="0.25">
      <c r="A1209">
        <v>1026.6813560000001</v>
      </c>
      <c r="B1209" s="1">
        <f>DATE(2013,2,20) + TIME(16,21,9)</f>
        <v>41325.681354166663</v>
      </c>
      <c r="C1209">
        <v>80</v>
      </c>
      <c r="D1209">
        <v>70.785484314000001</v>
      </c>
      <c r="E1209">
        <v>40</v>
      </c>
      <c r="F1209">
        <v>39.971092224000003</v>
      </c>
      <c r="G1209">
        <v>1306.9207764</v>
      </c>
      <c r="H1209">
        <v>1296.8173827999999</v>
      </c>
      <c r="I1209">
        <v>1379.2167969</v>
      </c>
      <c r="J1209">
        <v>1363.2648925999999</v>
      </c>
      <c r="K1209">
        <v>0</v>
      </c>
      <c r="L1209">
        <v>1650</v>
      </c>
      <c r="M1209">
        <v>1650</v>
      </c>
      <c r="N1209">
        <v>0</v>
      </c>
    </row>
    <row r="1210" spans="1:14" x14ac:dyDescent="0.25">
      <c r="A1210">
        <v>1029.6609510000001</v>
      </c>
      <c r="B1210" s="1">
        <f>DATE(2013,2,23) + TIME(15,51,46)</f>
        <v>41328.660949074074</v>
      </c>
      <c r="C1210">
        <v>80</v>
      </c>
      <c r="D1210">
        <v>70.548332213999998</v>
      </c>
      <c r="E1210">
        <v>40</v>
      </c>
      <c r="F1210">
        <v>39.971149445000002</v>
      </c>
      <c r="G1210">
        <v>1306.6842041</v>
      </c>
      <c r="H1210">
        <v>1296.4879149999999</v>
      </c>
      <c r="I1210">
        <v>1379.2110596</v>
      </c>
      <c r="J1210">
        <v>1363.2614745999999</v>
      </c>
      <c r="K1210">
        <v>0</v>
      </c>
      <c r="L1210">
        <v>1650</v>
      </c>
      <c r="M1210">
        <v>1650</v>
      </c>
      <c r="N1210">
        <v>0</v>
      </c>
    </row>
    <row r="1211" spans="1:14" x14ac:dyDescent="0.25">
      <c r="A1211">
        <v>1032.6857319999999</v>
      </c>
      <c r="B1211" s="1">
        <f>DATE(2013,2,26) + TIME(16,27,27)</f>
        <v>41331.685729166667</v>
      </c>
      <c r="C1211">
        <v>80</v>
      </c>
      <c r="D1211">
        <v>70.301483153999996</v>
      </c>
      <c r="E1211">
        <v>40</v>
      </c>
      <c r="F1211">
        <v>39.971206664999997</v>
      </c>
      <c r="G1211">
        <v>1306.4420166</v>
      </c>
      <c r="H1211">
        <v>1296.1499022999999</v>
      </c>
      <c r="I1211">
        <v>1379.2052002</v>
      </c>
      <c r="J1211">
        <v>1363.2579346</v>
      </c>
      <c r="K1211">
        <v>0</v>
      </c>
      <c r="L1211">
        <v>1650</v>
      </c>
      <c r="M1211">
        <v>1650</v>
      </c>
      <c r="N1211">
        <v>0</v>
      </c>
    </row>
    <row r="1212" spans="1:14" x14ac:dyDescent="0.25">
      <c r="A1212">
        <v>1035</v>
      </c>
      <c r="B1212" s="1">
        <f>DATE(2013,3,1) + TIME(0,0,0)</f>
        <v>41334</v>
      </c>
      <c r="C1212">
        <v>80</v>
      </c>
      <c r="D1212">
        <v>70.064994811999995</v>
      </c>
      <c r="E1212">
        <v>40</v>
      </c>
      <c r="F1212">
        <v>39.971248627000001</v>
      </c>
      <c r="G1212">
        <v>1306.1971435999999</v>
      </c>
      <c r="H1212">
        <v>1295.8106689000001</v>
      </c>
      <c r="I1212">
        <v>1379.1989745999999</v>
      </c>
      <c r="J1212">
        <v>1363.2539062000001</v>
      </c>
      <c r="K1212">
        <v>0</v>
      </c>
      <c r="L1212">
        <v>1650</v>
      </c>
      <c r="M1212">
        <v>1650</v>
      </c>
      <c r="N1212">
        <v>0</v>
      </c>
    </row>
    <row r="1213" spans="1:14" x14ac:dyDescent="0.25">
      <c r="A1213">
        <v>1038.0761500000001</v>
      </c>
      <c r="B1213" s="1">
        <f>DATE(2013,3,4) + TIME(1,49,39)</f>
        <v>41337.076145833336</v>
      </c>
      <c r="C1213">
        <v>80</v>
      </c>
      <c r="D1213">
        <v>69.830322265999996</v>
      </c>
      <c r="E1213">
        <v>40</v>
      </c>
      <c r="F1213">
        <v>39.971309662000003</v>
      </c>
      <c r="G1213">
        <v>1305.9953613</v>
      </c>
      <c r="H1213">
        <v>1295.5200195</v>
      </c>
      <c r="I1213">
        <v>1379.1947021000001</v>
      </c>
      <c r="J1213">
        <v>1363.2513428</v>
      </c>
      <c r="K1213">
        <v>0</v>
      </c>
      <c r="L1213">
        <v>1650</v>
      </c>
      <c r="M1213">
        <v>1650</v>
      </c>
      <c r="N1213">
        <v>0</v>
      </c>
    </row>
    <row r="1214" spans="1:14" x14ac:dyDescent="0.25">
      <c r="A1214">
        <v>1041.249542</v>
      </c>
      <c r="B1214" s="1">
        <f>DATE(2013,3,7) + TIME(5,59,20)</f>
        <v>41340.249537037038</v>
      </c>
      <c r="C1214">
        <v>80</v>
      </c>
      <c r="D1214">
        <v>69.561035156000003</v>
      </c>
      <c r="E1214">
        <v>40</v>
      </c>
      <c r="F1214">
        <v>39.971370696999998</v>
      </c>
      <c r="G1214">
        <v>1305.7449951000001</v>
      </c>
      <c r="H1214">
        <v>1295.1696777</v>
      </c>
      <c r="I1214">
        <v>1379.1883545000001</v>
      </c>
      <c r="J1214">
        <v>1363.2474365</v>
      </c>
      <c r="K1214">
        <v>0</v>
      </c>
      <c r="L1214">
        <v>1650</v>
      </c>
      <c r="M1214">
        <v>1650</v>
      </c>
      <c r="N1214">
        <v>0</v>
      </c>
    </row>
    <row r="1215" spans="1:14" x14ac:dyDescent="0.25">
      <c r="A1215">
        <v>1044.461292</v>
      </c>
      <c r="B1215" s="1">
        <f>DATE(2013,3,10) + TIME(11,4,15)</f>
        <v>41343.461284722223</v>
      </c>
      <c r="C1215">
        <v>80</v>
      </c>
      <c r="D1215">
        <v>69.270614624000004</v>
      </c>
      <c r="E1215">
        <v>40</v>
      </c>
      <c r="F1215">
        <v>39.971427917</v>
      </c>
      <c r="G1215">
        <v>1305.4815673999999</v>
      </c>
      <c r="H1215">
        <v>1294.7987060999999</v>
      </c>
      <c r="I1215">
        <v>1379.1817627</v>
      </c>
      <c r="J1215">
        <v>1363.2431641000001</v>
      </c>
      <c r="K1215">
        <v>0</v>
      </c>
      <c r="L1215">
        <v>1650</v>
      </c>
      <c r="M1215">
        <v>1650</v>
      </c>
      <c r="N1215">
        <v>0</v>
      </c>
    </row>
    <row r="1216" spans="1:14" x14ac:dyDescent="0.25">
      <c r="A1216">
        <v>1047.718918</v>
      </c>
      <c r="B1216" s="1">
        <f>DATE(2013,3,13) + TIME(17,15,14)</f>
        <v>41346.718912037039</v>
      </c>
      <c r="C1216">
        <v>80</v>
      </c>
      <c r="D1216">
        <v>68.964523314999994</v>
      </c>
      <c r="E1216">
        <v>40</v>
      </c>
      <c r="F1216">
        <v>39.971488952999998</v>
      </c>
      <c r="G1216">
        <v>1305.2117920000001</v>
      </c>
      <c r="H1216">
        <v>1294.416626</v>
      </c>
      <c r="I1216">
        <v>1379.1750488</v>
      </c>
      <c r="J1216">
        <v>1363.2387695</v>
      </c>
      <c r="K1216">
        <v>0</v>
      </c>
      <c r="L1216">
        <v>1650</v>
      </c>
      <c r="M1216">
        <v>1650</v>
      </c>
      <c r="N1216">
        <v>0</v>
      </c>
    </row>
    <row r="1217" spans="1:14" x14ac:dyDescent="0.25">
      <c r="A1217">
        <v>1051.0246509999999</v>
      </c>
      <c r="B1217" s="1">
        <f>DATE(2013,3,17) + TIME(0,35,29)</f>
        <v>41350.024641203701</v>
      </c>
      <c r="C1217">
        <v>80</v>
      </c>
      <c r="D1217">
        <v>68.643302917</v>
      </c>
      <c r="E1217">
        <v>40</v>
      </c>
      <c r="F1217">
        <v>39.971549988</v>
      </c>
      <c r="G1217">
        <v>1304.9362793</v>
      </c>
      <c r="H1217">
        <v>1294.0251464999999</v>
      </c>
      <c r="I1217">
        <v>1379.1680908000001</v>
      </c>
      <c r="J1217">
        <v>1363.2341309000001</v>
      </c>
      <c r="K1217">
        <v>0</v>
      </c>
      <c r="L1217">
        <v>1650</v>
      </c>
      <c r="M1217">
        <v>1650</v>
      </c>
      <c r="N1217">
        <v>0</v>
      </c>
    </row>
    <row r="1218" spans="1:14" x14ac:dyDescent="0.25">
      <c r="A1218">
        <v>1054.378631</v>
      </c>
      <c r="B1218" s="1">
        <f>DATE(2013,3,20) + TIME(9,5,13)</f>
        <v>41353.378622685188</v>
      </c>
      <c r="C1218">
        <v>80</v>
      </c>
      <c r="D1218">
        <v>68.306472778</v>
      </c>
      <c r="E1218">
        <v>40</v>
      </c>
      <c r="F1218">
        <v>39.971611023000001</v>
      </c>
      <c r="G1218">
        <v>1304.6552733999999</v>
      </c>
      <c r="H1218">
        <v>1293.6245117000001</v>
      </c>
      <c r="I1218">
        <v>1379.1607666</v>
      </c>
      <c r="J1218">
        <v>1363.2292480000001</v>
      </c>
      <c r="K1218">
        <v>0</v>
      </c>
      <c r="L1218">
        <v>1650</v>
      </c>
      <c r="M1218">
        <v>1650</v>
      </c>
      <c r="N1218">
        <v>0</v>
      </c>
    </row>
    <row r="1219" spans="1:14" x14ac:dyDescent="0.25">
      <c r="A1219">
        <v>1057.7933129999999</v>
      </c>
      <c r="B1219" s="1">
        <f>DATE(2013,3,23) + TIME(19,2,22)</f>
        <v>41356.793310185189</v>
      </c>
      <c r="C1219">
        <v>80</v>
      </c>
      <c r="D1219">
        <v>67.953094481999997</v>
      </c>
      <c r="E1219">
        <v>40</v>
      </c>
      <c r="F1219">
        <v>39.971675873000002</v>
      </c>
      <c r="G1219">
        <v>1304.3691406</v>
      </c>
      <c r="H1219">
        <v>1293.2150879000001</v>
      </c>
      <c r="I1219">
        <v>1379.1530762</v>
      </c>
      <c r="J1219">
        <v>1363.2241211</v>
      </c>
      <c r="K1219">
        <v>0</v>
      </c>
      <c r="L1219">
        <v>1650</v>
      </c>
      <c r="M1219">
        <v>1650</v>
      </c>
      <c r="N1219">
        <v>0</v>
      </c>
    </row>
    <row r="1220" spans="1:14" x14ac:dyDescent="0.25">
      <c r="A1220">
        <v>1061.2279530000001</v>
      </c>
      <c r="B1220" s="1">
        <f>DATE(2013,3,27) + TIME(5,28,15)</f>
        <v>41360.227951388886</v>
      </c>
      <c r="C1220">
        <v>80</v>
      </c>
      <c r="D1220">
        <v>67.582794188999998</v>
      </c>
      <c r="E1220">
        <v>40</v>
      </c>
      <c r="F1220">
        <v>39.971736907999997</v>
      </c>
      <c r="G1220">
        <v>1304.0773925999999</v>
      </c>
      <c r="H1220">
        <v>1292.7963867000001</v>
      </c>
      <c r="I1220">
        <v>1379.1451416</v>
      </c>
      <c r="J1220">
        <v>1363.2186279</v>
      </c>
      <c r="K1220">
        <v>0</v>
      </c>
      <c r="L1220">
        <v>1650</v>
      </c>
      <c r="M1220">
        <v>1650</v>
      </c>
      <c r="N1220">
        <v>0</v>
      </c>
    </row>
    <row r="1221" spans="1:14" x14ac:dyDescent="0.25">
      <c r="A1221">
        <v>1064.696862</v>
      </c>
      <c r="B1221" s="1">
        <f>DATE(2013,3,30) + TIME(16,43,28)</f>
        <v>41363.696851851855</v>
      </c>
      <c r="C1221">
        <v>80</v>
      </c>
      <c r="D1221">
        <v>67.197120666999993</v>
      </c>
      <c r="E1221">
        <v>40</v>
      </c>
      <c r="F1221">
        <v>39.971797942999999</v>
      </c>
      <c r="G1221">
        <v>1303.7829589999999</v>
      </c>
      <c r="H1221">
        <v>1292.3721923999999</v>
      </c>
      <c r="I1221">
        <v>1379.1368408000001</v>
      </c>
      <c r="J1221">
        <v>1363.2127685999999</v>
      </c>
      <c r="K1221">
        <v>0</v>
      </c>
      <c r="L1221">
        <v>1650</v>
      </c>
      <c r="M1221">
        <v>1650</v>
      </c>
      <c r="N1221">
        <v>0</v>
      </c>
    </row>
    <row r="1222" spans="1:14" x14ac:dyDescent="0.25">
      <c r="A1222">
        <v>1066</v>
      </c>
      <c r="B1222" s="1">
        <f>DATE(2013,4,1) + TIME(0,0,0)</f>
        <v>41365</v>
      </c>
      <c r="C1222">
        <v>80</v>
      </c>
      <c r="D1222">
        <v>66.909164429</v>
      </c>
      <c r="E1222">
        <v>40</v>
      </c>
      <c r="F1222">
        <v>39.971820831000002</v>
      </c>
      <c r="G1222">
        <v>1303.4969481999999</v>
      </c>
      <c r="H1222">
        <v>1291.9805908000001</v>
      </c>
      <c r="I1222">
        <v>1379.1274414</v>
      </c>
      <c r="J1222">
        <v>1363.2059326000001</v>
      </c>
      <c r="K1222">
        <v>0</v>
      </c>
      <c r="L1222">
        <v>1650</v>
      </c>
      <c r="M1222">
        <v>1650</v>
      </c>
      <c r="N1222">
        <v>0</v>
      </c>
    </row>
    <row r="1223" spans="1:14" x14ac:dyDescent="0.25">
      <c r="A1223">
        <v>1069.518241</v>
      </c>
      <c r="B1223" s="1">
        <f>DATE(2013,4,4) + TIME(12,26,15)</f>
        <v>41368.518229166664</v>
      </c>
      <c r="C1223">
        <v>80</v>
      </c>
      <c r="D1223">
        <v>66.607437133999994</v>
      </c>
      <c r="E1223">
        <v>40</v>
      </c>
      <c r="F1223">
        <v>39.971881865999997</v>
      </c>
      <c r="G1223">
        <v>1303.3560791</v>
      </c>
      <c r="H1223">
        <v>1291.7445068</v>
      </c>
      <c r="I1223">
        <v>1379.1251221</v>
      </c>
      <c r="J1223">
        <v>1363.2043457</v>
      </c>
      <c r="K1223">
        <v>0</v>
      </c>
      <c r="L1223">
        <v>1650</v>
      </c>
      <c r="M1223">
        <v>1650</v>
      </c>
      <c r="N1223">
        <v>0</v>
      </c>
    </row>
    <row r="1224" spans="1:14" x14ac:dyDescent="0.25">
      <c r="A1224">
        <v>1073.0940780000001</v>
      </c>
      <c r="B1224" s="1">
        <f>DATE(2013,4,8) + TIME(2,15,28)</f>
        <v>41372.094074074077</v>
      </c>
      <c r="C1224">
        <v>80</v>
      </c>
      <c r="D1224">
        <v>66.207221985000004</v>
      </c>
      <c r="E1224">
        <v>40</v>
      </c>
      <c r="F1224">
        <v>39.971946715999998</v>
      </c>
      <c r="G1224">
        <v>1303.0679932</v>
      </c>
      <c r="H1224">
        <v>1291.333374</v>
      </c>
      <c r="I1224">
        <v>1379.1158447</v>
      </c>
      <c r="J1224">
        <v>1363.1976318</v>
      </c>
      <c r="K1224">
        <v>0</v>
      </c>
      <c r="L1224">
        <v>1650</v>
      </c>
      <c r="M1224">
        <v>1650</v>
      </c>
      <c r="N1224">
        <v>0</v>
      </c>
    </row>
    <row r="1225" spans="1:14" x14ac:dyDescent="0.25">
      <c r="A1225">
        <v>1076.702115</v>
      </c>
      <c r="B1225" s="1">
        <f>DATE(2013,4,11) + TIME(16,51,2)</f>
        <v>41375.702106481483</v>
      </c>
      <c r="C1225">
        <v>80</v>
      </c>
      <c r="D1225">
        <v>65.769622803000004</v>
      </c>
      <c r="E1225">
        <v>40</v>
      </c>
      <c r="F1225">
        <v>39.972007751</v>
      </c>
      <c r="G1225">
        <v>1302.765625</v>
      </c>
      <c r="H1225">
        <v>1290.8945312000001</v>
      </c>
      <c r="I1225">
        <v>1379.1063231999999</v>
      </c>
      <c r="J1225">
        <v>1363.1906738</v>
      </c>
      <c r="K1225">
        <v>0</v>
      </c>
      <c r="L1225">
        <v>1650</v>
      </c>
      <c r="M1225">
        <v>1650</v>
      </c>
      <c r="N1225">
        <v>0</v>
      </c>
    </row>
    <row r="1226" spans="1:14" x14ac:dyDescent="0.25">
      <c r="A1226">
        <v>1080.3577069999999</v>
      </c>
      <c r="B1226" s="1">
        <f>DATE(2013,4,15) + TIME(8,35,5)</f>
        <v>41379.35769675926</v>
      </c>
      <c r="C1226">
        <v>80</v>
      </c>
      <c r="D1226">
        <v>65.310493468999994</v>
      </c>
      <c r="E1226">
        <v>40</v>
      </c>
      <c r="F1226">
        <v>39.972072601000001</v>
      </c>
      <c r="G1226">
        <v>1302.4587402</v>
      </c>
      <c r="H1226">
        <v>1290.4456786999999</v>
      </c>
      <c r="I1226">
        <v>1379.0963135</v>
      </c>
      <c r="J1226">
        <v>1363.1832274999999</v>
      </c>
      <c r="K1226">
        <v>0</v>
      </c>
      <c r="L1226">
        <v>1650</v>
      </c>
      <c r="M1226">
        <v>1650</v>
      </c>
      <c r="N1226">
        <v>0</v>
      </c>
    </row>
    <row r="1227" spans="1:14" x14ac:dyDescent="0.25">
      <c r="A1227">
        <v>1084.064079</v>
      </c>
      <c r="B1227" s="1">
        <f>DATE(2013,4,19) + TIME(1,32,16)</f>
        <v>41383.064074074071</v>
      </c>
      <c r="C1227">
        <v>80</v>
      </c>
      <c r="D1227">
        <v>64.832565308</v>
      </c>
      <c r="E1227">
        <v>40</v>
      </c>
      <c r="F1227">
        <v>39.972137451000002</v>
      </c>
      <c r="G1227">
        <v>1302.1484375</v>
      </c>
      <c r="H1227">
        <v>1289.9901123</v>
      </c>
      <c r="I1227">
        <v>1379.0858154</v>
      </c>
      <c r="J1227">
        <v>1363.1754149999999</v>
      </c>
      <c r="K1227">
        <v>0</v>
      </c>
      <c r="L1227">
        <v>1650</v>
      </c>
      <c r="M1227">
        <v>1650</v>
      </c>
      <c r="N1227">
        <v>0</v>
      </c>
    </row>
    <row r="1228" spans="1:14" x14ac:dyDescent="0.25">
      <c r="A1228">
        <v>1087.8006370000001</v>
      </c>
      <c r="B1228" s="1">
        <f>DATE(2013,4,22) + TIME(19,12,55)</f>
        <v>41386.800636574073</v>
      </c>
      <c r="C1228">
        <v>80</v>
      </c>
      <c r="D1228">
        <v>64.337005614999995</v>
      </c>
      <c r="E1228">
        <v>40</v>
      </c>
      <c r="F1228">
        <v>39.972198486000003</v>
      </c>
      <c r="G1228">
        <v>1301.8354492000001</v>
      </c>
      <c r="H1228">
        <v>1289.5288086</v>
      </c>
      <c r="I1228">
        <v>1379.0749512</v>
      </c>
      <c r="J1228">
        <v>1363.1669922000001</v>
      </c>
      <c r="K1228">
        <v>0</v>
      </c>
      <c r="L1228">
        <v>1650</v>
      </c>
      <c r="M1228">
        <v>1650</v>
      </c>
      <c r="N1228">
        <v>0</v>
      </c>
    </row>
    <row r="1229" spans="1:14" x14ac:dyDescent="0.25">
      <c r="A1229">
        <v>1091.583891</v>
      </c>
      <c r="B1229" s="1">
        <f>DATE(2013,4,26) + TIME(14,0,48)</f>
        <v>41390.58388888889</v>
      </c>
      <c r="C1229">
        <v>80</v>
      </c>
      <c r="D1229">
        <v>63.825378418</v>
      </c>
      <c r="E1229">
        <v>40</v>
      </c>
      <c r="F1229">
        <v>39.972263335999997</v>
      </c>
      <c r="G1229">
        <v>1301.5216064000001</v>
      </c>
      <c r="H1229">
        <v>1289.0643310999999</v>
      </c>
      <c r="I1229">
        <v>1379.0634766000001</v>
      </c>
      <c r="J1229">
        <v>1363.1582031</v>
      </c>
      <c r="K1229">
        <v>0</v>
      </c>
      <c r="L1229">
        <v>1650</v>
      </c>
      <c r="M1229">
        <v>1650</v>
      </c>
      <c r="N1229">
        <v>0</v>
      </c>
    </row>
    <row r="1230" spans="1:14" x14ac:dyDescent="0.25">
      <c r="A1230">
        <v>1095.424587</v>
      </c>
      <c r="B1230" s="1">
        <f>DATE(2013,4,30) + TIME(10,11,24)</f>
        <v>41394.424583333333</v>
      </c>
      <c r="C1230">
        <v>80</v>
      </c>
      <c r="D1230">
        <v>63.296840668000002</v>
      </c>
      <c r="E1230">
        <v>40</v>
      </c>
      <c r="F1230">
        <v>39.972328185999999</v>
      </c>
      <c r="G1230">
        <v>1301.2062988</v>
      </c>
      <c r="H1230">
        <v>1288.5959473</v>
      </c>
      <c r="I1230">
        <v>1379.0516356999999</v>
      </c>
      <c r="J1230">
        <v>1363.1489257999999</v>
      </c>
      <c r="K1230">
        <v>0</v>
      </c>
      <c r="L1230">
        <v>1650</v>
      </c>
      <c r="M1230">
        <v>1650</v>
      </c>
      <c r="N1230">
        <v>0</v>
      </c>
    </row>
    <row r="1231" spans="1:14" x14ac:dyDescent="0.25">
      <c r="A1231">
        <v>1096</v>
      </c>
      <c r="B1231" s="1">
        <f>DATE(2013,5,1) + TIME(0,0,0)</f>
        <v>41395</v>
      </c>
      <c r="C1231">
        <v>80</v>
      </c>
      <c r="D1231">
        <v>63.048748015999998</v>
      </c>
      <c r="E1231">
        <v>40</v>
      </c>
      <c r="F1231">
        <v>39.972335815000001</v>
      </c>
      <c r="G1231">
        <v>1300.9061279</v>
      </c>
      <c r="H1231">
        <v>1288.2092285000001</v>
      </c>
      <c r="I1231">
        <v>1379.0380858999999</v>
      </c>
      <c r="J1231">
        <v>1363.1380615</v>
      </c>
      <c r="K1231">
        <v>0</v>
      </c>
      <c r="L1231">
        <v>1650</v>
      </c>
      <c r="M1231">
        <v>1650</v>
      </c>
      <c r="N1231">
        <v>0</v>
      </c>
    </row>
    <row r="1232" spans="1:14" x14ac:dyDescent="0.25">
      <c r="A1232">
        <v>1096.0000010000001</v>
      </c>
      <c r="B1232" s="1">
        <f>DATE(2013,5,1) + TIME(0,0,0)</f>
        <v>41395</v>
      </c>
      <c r="C1232">
        <v>80</v>
      </c>
      <c r="D1232">
        <v>63.048862456999998</v>
      </c>
      <c r="E1232">
        <v>40</v>
      </c>
      <c r="F1232">
        <v>39.972263335999997</v>
      </c>
      <c r="G1232">
        <v>1315.057251</v>
      </c>
      <c r="H1232">
        <v>1301.6325684000001</v>
      </c>
      <c r="I1232">
        <v>1362.5366211</v>
      </c>
      <c r="J1232">
        <v>1347.1164550999999</v>
      </c>
      <c r="K1232">
        <v>1650</v>
      </c>
      <c r="L1232">
        <v>0</v>
      </c>
      <c r="M1232">
        <v>0</v>
      </c>
      <c r="N1232">
        <v>1650</v>
      </c>
    </row>
    <row r="1233" spans="1:14" x14ac:dyDescent="0.25">
      <c r="A1233">
        <v>1096.000004</v>
      </c>
      <c r="B1233" s="1">
        <f>DATE(2013,5,1) + TIME(0,0,0)</f>
        <v>41395</v>
      </c>
      <c r="C1233">
        <v>80</v>
      </c>
      <c r="D1233">
        <v>63.049163817999997</v>
      </c>
      <c r="E1233">
        <v>40</v>
      </c>
      <c r="F1233">
        <v>39.972068786999998</v>
      </c>
      <c r="G1233">
        <v>1316.7081298999999</v>
      </c>
      <c r="H1233">
        <v>1303.5100098</v>
      </c>
      <c r="I1233">
        <v>1360.9039307</v>
      </c>
      <c r="J1233">
        <v>1345.4831543</v>
      </c>
      <c r="K1233">
        <v>1650</v>
      </c>
      <c r="L1233">
        <v>0</v>
      </c>
      <c r="M1233">
        <v>0</v>
      </c>
      <c r="N1233">
        <v>1650</v>
      </c>
    </row>
    <row r="1234" spans="1:14" x14ac:dyDescent="0.25">
      <c r="A1234">
        <v>1096.0000130000001</v>
      </c>
      <c r="B1234" s="1">
        <f>DATE(2013,5,1) + TIME(0,0,1)</f>
        <v>41395.000011574077</v>
      </c>
      <c r="C1234">
        <v>80</v>
      </c>
      <c r="D1234">
        <v>63.049842834000003</v>
      </c>
      <c r="E1234">
        <v>40</v>
      </c>
      <c r="F1234">
        <v>39.971611023000001</v>
      </c>
      <c r="G1234">
        <v>1320.3679199000001</v>
      </c>
      <c r="H1234">
        <v>1307.4790039</v>
      </c>
      <c r="I1234">
        <v>1357.1025391000001</v>
      </c>
      <c r="J1234">
        <v>1341.6809082</v>
      </c>
      <c r="K1234">
        <v>1650</v>
      </c>
      <c r="L1234">
        <v>0</v>
      </c>
      <c r="M1234">
        <v>0</v>
      </c>
      <c r="N1234">
        <v>1650</v>
      </c>
    </row>
    <row r="1235" spans="1:14" x14ac:dyDescent="0.25">
      <c r="A1235">
        <v>1096.0000399999999</v>
      </c>
      <c r="B1235" s="1">
        <f>DATE(2013,5,1) + TIME(0,0,3)</f>
        <v>41395.000034722223</v>
      </c>
      <c r="C1235">
        <v>80</v>
      </c>
      <c r="D1235">
        <v>63.051116942999997</v>
      </c>
      <c r="E1235">
        <v>40</v>
      </c>
      <c r="F1235">
        <v>39.970806121999999</v>
      </c>
      <c r="G1235">
        <v>1326.4212646000001</v>
      </c>
      <c r="H1235">
        <v>1313.6677245999999</v>
      </c>
      <c r="I1235">
        <v>1350.3952637</v>
      </c>
      <c r="J1235">
        <v>1334.9737548999999</v>
      </c>
      <c r="K1235">
        <v>1650</v>
      </c>
      <c r="L1235">
        <v>0</v>
      </c>
      <c r="M1235">
        <v>0</v>
      </c>
      <c r="N1235">
        <v>1650</v>
      </c>
    </row>
    <row r="1236" spans="1:14" x14ac:dyDescent="0.25">
      <c r="A1236">
        <v>1096.000121</v>
      </c>
      <c r="B1236" s="1">
        <f>DATE(2013,5,1) + TIME(0,0,10)</f>
        <v>41395.000115740739</v>
      </c>
      <c r="C1236">
        <v>80</v>
      </c>
      <c r="D1236">
        <v>63.053447722999998</v>
      </c>
      <c r="E1236">
        <v>40</v>
      </c>
      <c r="F1236">
        <v>39.969772339000002</v>
      </c>
      <c r="G1236">
        <v>1333.8193358999999</v>
      </c>
      <c r="H1236">
        <v>1320.9689940999999</v>
      </c>
      <c r="I1236">
        <v>1341.8253173999999</v>
      </c>
      <c r="J1236">
        <v>1326.4082031</v>
      </c>
      <c r="K1236">
        <v>1650</v>
      </c>
      <c r="L1236">
        <v>0</v>
      </c>
      <c r="M1236">
        <v>0</v>
      </c>
      <c r="N1236">
        <v>1650</v>
      </c>
    </row>
    <row r="1237" spans="1:14" x14ac:dyDescent="0.25">
      <c r="A1237">
        <v>1096.000364</v>
      </c>
      <c r="B1237" s="1">
        <f>DATE(2013,5,1) + TIME(0,0,31)</f>
        <v>41395.000358796293</v>
      </c>
      <c r="C1237">
        <v>80</v>
      </c>
      <c r="D1237">
        <v>63.058578490999999</v>
      </c>
      <c r="E1237">
        <v>40</v>
      </c>
      <c r="F1237">
        <v>39.968677520999996</v>
      </c>
      <c r="G1237">
        <v>1341.5539550999999</v>
      </c>
      <c r="H1237">
        <v>1328.5606689000001</v>
      </c>
      <c r="I1237">
        <v>1332.8564452999999</v>
      </c>
      <c r="J1237">
        <v>1317.4477539</v>
      </c>
      <c r="K1237">
        <v>1650</v>
      </c>
      <c r="L1237">
        <v>0</v>
      </c>
      <c r="M1237">
        <v>0</v>
      </c>
      <c r="N1237">
        <v>1650</v>
      </c>
    </row>
    <row r="1238" spans="1:14" x14ac:dyDescent="0.25">
      <c r="A1238">
        <v>1096.0010930000001</v>
      </c>
      <c r="B1238" s="1">
        <f>DATE(2013,5,1) + TIME(0,1,34)</f>
        <v>41395.001087962963</v>
      </c>
      <c r="C1238">
        <v>80</v>
      </c>
      <c r="D1238">
        <v>63.072120667</v>
      </c>
      <c r="E1238">
        <v>40</v>
      </c>
      <c r="F1238">
        <v>39.967540741000001</v>
      </c>
      <c r="G1238">
        <v>1349.5570068</v>
      </c>
      <c r="H1238">
        <v>1336.4138184000001</v>
      </c>
      <c r="I1238">
        <v>1323.8826904</v>
      </c>
      <c r="J1238">
        <v>1308.4830322</v>
      </c>
      <c r="K1238">
        <v>1650</v>
      </c>
      <c r="L1238">
        <v>0</v>
      </c>
      <c r="M1238">
        <v>0</v>
      </c>
      <c r="N1238">
        <v>1650</v>
      </c>
    </row>
    <row r="1239" spans="1:14" x14ac:dyDescent="0.25">
      <c r="A1239">
        <v>1096.0032799999999</v>
      </c>
      <c r="B1239" s="1">
        <f>DATE(2013,5,1) + TIME(0,4,43)</f>
        <v>41395.003275462965</v>
      </c>
      <c r="C1239">
        <v>80</v>
      </c>
      <c r="D1239">
        <v>63.111087799000003</v>
      </c>
      <c r="E1239">
        <v>40</v>
      </c>
      <c r="F1239">
        <v>39.966281891000001</v>
      </c>
      <c r="G1239">
        <v>1357.9575195</v>
      </c>
      <c r="H1239">
        <v>1344.6556396000001</v>
      </c>
      <c r="I1239">
        <v>1314.9451904</v>
      </c>
      <c r="J1239">
        <v>1299.5244141000001</v>
      </c>
      <c r="K1239">
        <v>1650</v>
      </c>
      <c r="L1239">
        <v>0</v>
      </c>
      <c r="M1239">
        <v>0</v>
      </c>
      <c r="N1239">
        <v>1650</v>
      </c>
    </row>
    <row r="1240" spans="1:14" x14ac:dyDescent="0.25">
      <c r="A1240">
        <v>1096.0098410000001</v>
      </c>
      <c r="B1240" s="1">
        <f>DATE(2013,5,1) + TIME(0,14,10)</f>
        <v>41395.009837962964</v>
      </c>
      <c r="C1240">
        <v>80</v>
      </c>
      <c r="D1240">
        <v>63.226139068999998</v>
      </c>
      <c r="E1240">
        <v>40</v>
      </c>
      <c r="F1240">
        <v>39.964729308999999</v>
      </c>
      <c r="G1240">
        <v>1365.9418945</v>
      </c>
      <c r="H1240">
        <v>1352.5240478999999</v>
      </c>
      <c r="I1240">
        <v>1306.7159423999999</v>
      </c>
      <c r="J1240">
        <v>1291.2292480000001</v>
      </c>
      <c r="K1240">
        <v>1650</v>
      </c>
      <c r="L1240">
        <v>0</v>
      </c>
      <c r="M1240">
        <v>0</v>
      </c>
      <c r="N1240">
        <v>1650</v>
      </c>
    </row>
    <row r="1241" spans="1:14" x14ac:dyDescent="0.25">
      <c r="A1241">
        <v>1096.029524</v>
      </c>
      <c r="B1241" s="1">
        <f>DATE(2013,5,1) + TIME(0,42,30)</f>
        <v>41395.029513888891</v>
      </c>
      <c r="C1241">
        <v>80</v>
      </c>
      <c r="D1241">
        <v>63.563682556000003</v>
      </c>
      <c r="E1241">
        <v>40</v>
      </c>
      <c r="F1241">
        <v>39.962341309000003</v>
      </c>
      <c r="G1241">
        <v>1371.765625</v>
      </c>
      <c r="H1241">
        <v>1358.3468018000001</v>
      </c>
      <c r="I1241">
        <v>1300.8265381000001</v>
      </c>
      <c r="J1241">
        <v>1285.2819824000001</v>
      </c>
      <c r="K1241">
        <v>1650</v>
      </c>
      <c r="L1241">
        <v>0</v>
      </c>
      <c r="M1241">
        <v>0</v>
      </c>
      <c r="N1241">
        <v>1650</v>
      </c>
    </row>
    <row r="1242" spans="1:14" x14ac:dyDescent="0.25">
      <c r="A1242">
        <v>1096.0670459999999</v>
      </c>
      <c r="B1242" s="1">
        <f>DATE(2013,5,1) + TIME(1,36,32)</f>
        <v>41395.067037037035</v>
      </c>
      <c r="C1242">
        <v>80</v>
      </c>
      <c r="D1242">
        <v>64.182357788000004</v>
      </c>
      <c r="E1242">
        <v>40</v>
      </c>
      <c r="F1242">
        <v>39.958908080999997</v>
      </c>
      <c r="G1242">
        <v>1374.2036132999999</v>
      </c>
      <c r="H1242">
        <v>1360.8908690999999</v>
      </c>
      <c r="I1242">
        <v>1298.5559082</v>
      </c>
      <c r="J1242">
        <v>1282.9902344</v>
      </c>
      <c r="K1242">
        <v>1650</v>
      </c>
      <c r="L1242">
        <v>0</v>
      </c>
      <c r="M1242">
        <v>0</v>
      </c>
      <c r="N1242">
        <v>1650</v>
      </c>
    </row>
    <row r="1243" spans="1:14" x14ac:dyDescent="0.25">
      <c r="A1243">
        <v>1096.1053690000001</v>
      </c>
      <c r="B1243" s="1">
        <f>DATE(2013,5,1) + TIME(2,31,43)</f>
        <v>41395.105358796296</v>
      </c>
      <c r="C1243">
        <v>80</v>
      </c>
      <c r="D1243">
        <v>64.790237426999994</v>
      </c>
      <c r="E1243">
        <v>40</v>
      </c>
      <c r="F1243">
        <v>39.955646514999998</v>
      </c>
      <c r="G1243">
        <v>1374.8504639</v>
      </c>
      <c r="H1243">
        <v>1361.6425781</v>
      </c>
      <c r="I1243">
        <v>1298.0587158000001</v>
      </c>
      <c r="J1243">
        <v>1282.487793</v>
      </c>
      <c r="K1243">
        <v>1650</v>
      </c>
      <c r="L1243">
        <v>0</v>
      </c>
      <c r="M1243">
        <v>0</v>
      </c>
      <c r="N1243">
        <v>1650</v>
      </c>
    </row>
    <row r="1244" spans="1:14" x14ac:dyDescent="0.25">
      <c r="A1244">
        <v>1096.14445</v>
      </c>
      <c r="B1244" s="1">
        <f>DATE(2013,5,1) + TIME(3,28,0)</f>
        <v>41395.144444444442</v>
      </c>
      <c r="C1244">
        <v>80</v>
      </c>
      <c r="D1244">
        <v>65.386230468999997</v>
      </c>
      <c r="E1244">
        <v>40</v>
      </c>
      <c r="F1244">
        <v>39.952400208</v>
      </c>
      <c r="G1244">
        <v>1374.9785156</v>
      </c>
      <c r="H1244">
        <v>1361.8743896000001</v>
      </c>
      <c r="I1244">
        <v>1297.9749756000001</v>
      </c>
      <c r="J1244">
        <v>1282.4024658000001</v>
      </c>
      <c r="K1244">
        <v>1650</v>
      </c>
      <c r="L1244">
        <v>0</v>
      </c>
      <c r="M1244">
        <v>0</v>
      </c>
      <c r="N1244">
        <v>1650</v>
      </c>
    </row>
    <row r="1245" spans="1:14" x14ac:dyDescent="0.25">
      <c r="A1245">
        <v>1096.1843019999999</v>
      </c>
      <c r="B1245" s="1">
        <f>DATE(2013,5,1) + TIME(4,25,23)</f>
        <v>41395.184293981481</v>
      </c>
      <c r="C1245">
        <v>80</v>
      </c>
      <c r="D1245">
        <v>65.970069885000001</v>
      </c>
      <c r="E1245">
        <v>40</v>
      </c>
      <c r="F1245">
        <v>39.949131012000002</v>
      </c>
      <c r="G1245">
        <v>1374.9344481999999</v>
      </c>
      <c r="H1245">
        <v>1361.9306641000001</v>
      </c>
      <c r="I1245">
        <v>1297.9803466999999</v>
      </c>
      <c r="J1245">
        <v>1282.4073486</v>
      </c>
      <c r="K1245">
        <v>1650</v>
      </c>
      <c r="L1245">
        <v>0</v>
      </c>
      <c r="M1245">
        <v>0</v>
      </c>
      <c r="N1245">
        <v>1650</v>
      </c>
    </row>
    <row r="1246" spans="1:14" x14ac:dyDescent="0.25">
      <c r="A1246">
        <v>1096.2249589999999</v>
      </c>
      <c r="B1246" s="1">
        <f>DATE(2013,5,1) + TIME(5,23,56)</f>
        <v>41395.224953703706</v>
      </c>
      <c r="C1246">
        <v>80</v>
      </c>
      <c r="D1246">
        <v>66.541748046999999</v>
      </c>
      <c r="E1246">
        <v>40</v>
      </c>
      <c r="F1246">
        <v>39.945831298999998</v>
      </c>
      <c r="G1246">
        <v>1374.8288574000001</v>
      </c>
      <c r="H1246">
        <v>1361.9217529</v>
      </c>
      <c r="I1246">
        <v>1297.9970702999999</v>
      </c>
      <c r="J1246">
        <v>1282.4237060999999</v>
      </c>
      <c r="K1246">
        <v>1650</v>
      </c>
      <c r="L1246">
        <v>0</v>
      </c>
      <c r="M1246">
        <v>0</v>
      </c>
      <c r="N1246">
        <v>1650</v>
      </c>
    </row>
    <row r="1247" spans="1:14" x14ac:dyDescent="0.25">
      <c r="A1247">
        <v>1096.266462</v>
      </c>
      <c r="B1247" s="1">
        <f>DATE(2013,5,1) + TIME(6,23,42)</f>
        <v>41395.266458333332</v>
      </c>
      <c r="C1247">
        <v>80</v>
      </c>
      <c r="D1247">
        <v>67.101364136000001</v>
      </c>
      <c r="E1247">
        <v>40</v>
      </c>
      <c r="F1247">
        <v>39.942493439000003</v>
      </c>
      <c r="G1247">
        <v>1374.7014160000001</v>
      </c>
      <c r="H1247">
        <v>1361.887207</v>
      </c>
      <c r="I1247">
        <v>1298.0095214999999</v>
      </c>
      <c r="J1247">
        <v>1282.4357910000001</v>
      </c>
      <c r="K1247">
        <v>1650</v>
      </c>
      <c r="L1247">
        <v>0</v>
      </c>
      <c r="M1247">
        <v>0</v>
      </c>
      <c r="N1247">
        <v>1650</v>
      </c>
    </row>
    <row r="1248" spans="1:14" x14ac:dyDescent="0.25">
      <c r="A1248">
        <v>1096.308853</v>
      </c>
      <c r="B1248" s="1">
        <f>DATE(2013,5,1) + TIME(7,24,44)</f>
        <v>41395.308842592596</v>
      </c>
      <c r="C1248">
        <v>80</v>
      </c>
      <c r="D1248">
        <v>67.649002074999999</v>
      </c>
      <c r="E1248">
        <v>40</v>
      </c>
      <c r="F1248">
        <v>39.939117432000003</v>
      </c>
      <c r="G1248">
        <v>1374.5675048999999</v>
      </c>
      <c r="H1248">
        <v>1361.8427733999999</v>
      </c>
      <c r="I1248">
        <v>1298.0169678</v>
      </c>
      <c r="J1248">
        <v>1282.4429932</v>
      </c>
      <c r="K1248">
        <v>1650</v>
      </c>
      <c r="L1248">
        <v>0</v>
      </c>
      <c r="M1248">
        <v>0</v>
      </c>
      <c r="N1248">
        <v>1650</v>
      </c>
    </row>
    <row r="1249" spans="1:14" x14ac:dyDescent="0.25">
      <c r="A1249">
        <v>1096.3521820000001</v>
      </c>
      <c r="B1249" s="1">
        <f>DATE(2013,5,1) + TIME(8,27,8)</f>
        <v>41395.352175925924</v>
      </c>
      <c r="C1249">
        <v>80</v>
      </c>
      <c r="D1249">
        <v>68.184776306000003</v>
      </c>
      <c r="E1249">
        <v>40</v>
      </c>
      <c r="F1249">
        <v>39.935703277999998</v>
      </c>
      <c r="G1249">
        <v>1374.4335937999999</v>
      </c>
      <c r="H1249">
        <v>1361.7946777</v>
      </c>
      <c r="I1249">
        <v>1298.0211182</v>
      </c>
      <c r="J1249">
        <v>1282.4468993999999</v>
      </c>
      <c r="K1249">
        <v>1650</v>
      </c>
      <c r="L1249">
        <v>0</v>
      </c>
      <c r="M1249">
        <v>0</v>
      </c>
      <c r="N1249">
        <v>1650</v>
      </c>
    </row>
    <row r="1250" spans="1:14" x14ac:dyDescent="0.25">
      <c r="A1250">
        <v>1096.3964989999999</v>
      </c>
      <c r="B1250" s="1">
        <f>DATE(2013,5,1) + TIME(9,30,57)</f>
        <v>41395.396493055552</v>
      </c>
      <c r="C1250">
        <v>80</v>
      </c>
      <c r="D1250">
        <v>68.708740234000004</v>
      </c>
      <c r="E1250">
        <v>40</v>
      </c>
      <c r="F1250">
        <v>39.932243346999996</v>
      </c>
      <c r="G1250">
        <v>1374.3022461</v>
      </c>
      <c r="H1250">
        <v>1361.7459716999999</v>
      </c>
      <c r="I1250">
        <v>1298.0233154</v>
      </c>
      <c r="J1250">
        <v>1282.4487305</v>
      </c>
      <c r="K1250">
        <v>1650</v>
      </c>
      <c r="L1250">
        <v>0</v>
      </c>
      <c r="M1250">
        <v>0</v>
      </c>
      <c r="N1250">
        <v>1650</v>
      </c>
    </row>
    <row r="1251" spans="1:14" x14ac:dyDescent="0.25">
      <c r="A1251">
        <v>1096.441849</v>
      </c>
      <c r="B1251" s="1">
        <f>DATE(2013,5,1) + TIME(10,36,15)</f>
        <v>41395.441840277781</v>
      </c>
      <c r="C1251">
        <v>80</v>
      </c>
      <c r="D1251">
        <v>69.220886230000005</v>
      </c>
      <c r="E1251">
        <v>40</v>
      </c>
      <c r="F1251">
        <v>39.928733825999998</v>
      </c>
      <c r="G1251">
        <v>1374.1746826000001</v>
      </c>
      <c r="H1251">
        <v>1361.697876</v>
      </c>
      <c r="I1251">
        <v>1298.0245361</v>
      </c>
      <c r="J1251">
        <v>1282.449707</v>
      </c>
      <c r="K1251">
        <v>1650</v>
      </c>
      <c r="L1251">
        <v>0</v>
      </c>
      <c r="M1251">
        <v>0</v>
      </c>
      <c r="N1251">
        <v>1650</v>
      </c>
    </row>
    <row r="1252" spans="1:14" x14ac:dyDescent="0.25">
      <c r="A1252">
        <v>1096.4883010000001</v>
      </c>
      <c r="B1252" s="1">
        <f>DATE(2013,5,1) + TIME(11,43,9)</f>
        <v>41395.488298611112</v>
      </c>
      <c r="C1252">
        <v>80</v>
      </c>
      <c r="D1252">
        <v>69.721382141000007</v>
      </c>
      <c r="E1252">
        <v>40</v>
      </c>
      <c r="F1252">
        <v>39.925178528000004</v>
      </c>
      <c r="G1252">
        <v>1374.0512695</v>
      </c>
      <c r="H1252">
        <v>1361.6508789</v>
      </c>
      <c r="I1252">
        <v>1298.0252685999999</v>
      </c>
      <c r="J1252">
        <v>1282.4500731999999</v>
      </c>
      <c r="K1252">
        <v>1650</v>
      </c>
      <c r="L1252">
        <v>0</v>
      </c>
      <c r="M1252">
        <v>0</v>
      </c>
      <c r="N1252">
        <v>1650</v>
      </c>
    </row>
    <row r="1253" spans="1:14" x14ac:dyDescent="0.25">
      <c r="A1253">
        <v>1096.5359169999999</v>
      </c>
      <c r="B1253" s="1">
        <f>DATE(2013,5,1) + TIME(12,51,43)</f>
        <v>41395.535914351851</v>
      </c>
      <c r="C1253">
        <v>80</v>
      </c>
      <c r="D1253">
        <v>70.210113524999997</v>
      </c>
      <c r="E1253">
        <v>40</v>
      </c>
      <c r="F1253">
        <v>39.921566009999999</v>
      </c>
      <c r="G1253">
        <v>1373.9320068</v>
      </c>
      <c r="H1253">
        <v>1361.6051024999999</v>
      </c>
      <c r="I1253">
        <v>1298.0257568</v>
      </c>
      <c r="J1253">
        <v>1282.4500731999999</v>
      </c>
      <c r="K1253">
        <v>1650</v>
      </c>
      <c r="L1253">
        <v>0</v>
      </c>
      <c r="M1253">
        <v>0</v>
      </c>
      <c r="N1253">
        <v>1650</v>
      </c>
    </row>
    <row r="1254" spans="1:14" x14ac:dyDescent="0.25">
      <c r="A1254">
        <v>1096.5847659999999</v>
      </c>
      <c r="B1254" s="1">
        <f>DATE(2013,5,1) + TIME(14,2,3)</f>
        <v>41395.584756944445</v>
      </c>
      <c r="C1254">
        <v>80</v>
      </c>
      <c r="D1254">
        <v>70.687080382999994</v>
      </c>
      <c r="E1254">
        <v>40</v>
      </c>
      <c r="F1254">
        <v>39.917900084999999</v>
      </c>
      <c r="G1254">
        <v>1373.8168945</v>
      </c>
      <c r="H1254">
        <v>1361.5605469</v>
      </c>
      <c r="I1254">
        <v>1298.026001</v>
      </c>
      <c r="J1254">
        <v>1282.4500731999999</v>
      </c>
      <c r="K1254">
        <v>1650</v>
      </c>
      <c r="L1254">
        <v>0</v>
      </c>
      <c r="M1254">
        <v>0</v>
      </c>
      <c r="N1254">
        <v>1650</v>
      </c>
    </row>
    <row r="1255" spans="1:14" x14ac:dyDescent="0.25">
      <c r="A1255">
        <v>1096.634922</v>
      </c>
      <c r="B1255" s="1">
        <f>DATE(2013,5,1) + TIME(15,14,17)</f>
        <v>41395.634918981479</v>
      </c>
      <c r="C1255">
        <v>80</v>
      </c>
      <c r="D1255">
        <v>71.152503967000001</v>
      </c>
      <c r="E1255">
        <v>40</v>
      </c>
      <c r="F1255">
        <v>39.914173126000001</v>
      </c>
      <c r="G1255">
        <v>1373.7056885</v>
      </c>
      <c r="H1255">
        <v>1361.5173339999999</v>
      </c>
      <c r="I1255">
        <v>1298.0261230000001</v>
      </c>
      <c r="J1255">
        <v>1282.4498291</v>
      </c>
      <c r="K1255">
        <v>1650</v>
      </c>
      <c r="L1255">
        <v>0</v>
      </c>
      <c r="M1255">
        <v>0</v>
      </c>
      <c r="N1255">
        <v>1650</v>
      </c>
    </row>
    <row r="1256" spans="1:14" x14ac:dyDescent="0.25">
      <c r="A1256">
        <v>1096.686463</v>
      </c>
      <c r="B1256" s="1">
        <f>DATE(2013,5,1) + TIME(16,28,30)</f>
        <v>41395.68645833333</v>
      </c>
      <c r="C1256">
        <v>80</v>
      </c>
      <c r="D1256">
        <v>71.606399535999998</v>
      </c>
      <c r="E1256">
        <v>40</v>
      </c>
      <c r="F1256">
        <v>39.910381317000002</v>
      </c>
      <c r="G1256">
        <v>1373.5982666</v>
      </c>
      <c r="H1256">
        <v>1361.4753418</v>
      </c>
      <c r="I1256">
        <v>1298.0262451000001</v>
      </c>
      <c r="J1256">
        <v>1282.4495850000001</v>
      </c>
      <c r="K1256">
        <v>1650</v>
      </c>
      <c r="L1256">
        <v>0</v>
      </c>
      <c r="M1256">
        <v>0</v>
      </c>
      <c r="N1256">
        <v>1650</v>
      </c>
    </row>
    <row r="1257" spans="1:14" x14ac:dyDescent="0.25">
      <c r="A1257">
        <v>1096.7394770000001</v>
      </c>
      <c r="B1257" s="1">
        <f>DATE(2013,5,1) + TIME(17,44,50)</f>
        <v>41395.73946759259</v>
      </c>
      <c r="C1257">
        <v>80</v>
      </c>
      <c r="D1257">
        <v>72.048782349000007</v>
      </c>
      <c r="E1257">
        <v>40</v>
      </c>
      <c r="F1257">
        <v>39.906517029</v>
      </c>
      <c r="G1257">
        <v>1373.4945068</v>
      </c>
      <c r="H1257">
        <v>1361.4343262</v>
      </c>
      <c r="I1257">
        <v>1298.0263672000001</v>
      </c>
      <c r="J1257">
        <v>1282.4493408000001</v>
      </c>
      <c r="K1257">
        <v>1650</v>
      </c>
      <c r="L1257">
        <v>0</v>
      </c>
      <c r="M1257">
        <v>0</v>
      </c>
      <c r="N1257">
        <v>1650</v>
      </c>
    </row>
    <row r="1258" spans="1:14" x14ac:dyDescent="0.25">
      <c r="A1258">
        <v>1096.794056</v>
      </c>
      <c r="B1258" s="1">
        <f>DATE(2013,5,1) + TIME(19,3,26)</f>
        <v>41395.794050925928</v>
      </c>
      <c r="C1258">
        <v>80</v>
      </c>
      <c r="D1258">
        <v>72.479644774999997</v>
      </c>
      <c r="E1258">
        <v>40</v>
      </c>
      <c r="F1258">
        <v>39.902584075999997</v>
      </c>
      <c r="G1258">
        <v>1373.394043</v>
      </c>
      <c r="H1258">
        <v>1361.3944091999999</v>
      </c>
      <c r="I1258">
        <v>1298.0263672000001</v>
      </c>
      <c r="J1258">
        <v>1282.4489745999999</v>
      </c>
      <c r="K1258">
        <v>1650</v>
      </c>
      <c r="L1258">
        <v>0</v>
      </c>
      <c r="M1258">
        <v>0</v>
      </c>
      <c r="N1258">
        <v>1650</v>
      </c>
    </row>
    <row r="1259" spans="1:14" x14ac:dyDescent="0.25">
      <c r="A1259">
        <v>1096.8503029999999</v>
      </c>
      <c r="B1259" s="1">
        <f>DATE(2013,5,1) + TIME(20,24,26)</f>
        <v>41395.850300925929</v>
      </c>
      <c r="C1259">
        <v>80</v>
      </c>
      <c r="D1259">
        <v>72.898986816000004</v>
      </c>
      <c r="E1259">
        <v>40</v>
      </c>
      <c r="F1259">
        <v>39.898567200000002</v>
      </c>
      <c r="G1259">
        <v>1373.296875</v>
      </c>
      <c r="H1259">
        <v>1361.3554687999999</v>
      </c>
      <c r="I1259">
        <v>1298.0263672000001</v>
      </c>
      <c r="J1259">
        <v>1282.4486084</v>
      </c>
      <c r="K1259">
        <v>1650</v>
      </c>
      <c r="L1259">
        <v>0</v>
      </c>
      <c r="M1259">
        <v>0</v>
      </c>
      <c r="N1259">
        <v>1650</v>
      </c>
    </row>
    <row r="1260" spans="1:14" x14ac:dyDescent="0.25">
      <c r="A1260">
        <v>1096.9083290000001</v>
      </c>
      <c r="B1260" s="1">
        <f>DATE(2013,5,1) + TIME(21,47,59)</f>
        <v>41395.908321759256</v>
      </c>
      <c r="C1260">
        <v>80</v>
      </c>
      <c r="D1260">
        <v>73.306793213000006</v>
      </c>
      <c r="E1260">
        <v>40</v>
      </c>
      <c r="F1260">
        <v>39.894466399999999</v>
      </c>
      <c r="G1260">
        <v>1373.2026367000001</v>
      </c>
      <c r="H1260">
        <v>1361.3172606999999</v>
      </c>
      <c r="I1260">
        <v>1298.0263672000001</v>
      </c>
      <c r="J1260">
        <v>1282.4481201000001</v>
      </c>
      <c r="K1260">
        <v>1650</v>
      </c>
      <c r="L1260">
        <v>0</v>
      </c>
      <c r="M1260">
        <v>0</v>
      </c>
      <c r="N1260">
        <v>1650</v>
      </c>
    </row>
    <row r="1261" spans="1:14" x14ac:dyDescent="0.25">
      <c r="A1261">
        <v>1096.9682780000001</v>
      </c>
      <c r="B1261" s="1">
        <f>DATE(2013,5,1) + TIME(23,14,19)</f>
        <v>41395.968275462961</v>
      </c>
      <c r="C1261">
        <v>80</v>
      </c>
      <c r="D1261">
        <v>73.703170775999993</v>
      </c>
      <c r="E1261">
        <v>40</v>
      </c>
      <c r="F1261">
        <v>39.890274048000002</v>
      </c>
      <c r="G1261">
        <v>1373.1113281</v>
      </c>
      <c r="H1261">
        <v>1361.2797852000001</v>
      </c>
      <c r="I1261">
        <v>1298.0262451000001</v>
      </c>
      <c r="J1261">
        <v>1282.4476318</v>
      </c>
      <c r="K1261">
        <v>1650</v>
      </c>
      <c r="L1261">
        <v>0</v>
      </c>
      <c r="M1261">
        <v>0</v>
      </c>
      <c r="N1261">
        <v>1650</v>
      </c>
    </row>
    <row r="1262" spans="1:14" x14ac:dyDescent="0.25">
      <c r="A1262">
        <v>1097.03027</v>
      </c>
      <c r="B1262" s="1">
        <f>DATE(2013,5,2) + TIME(0,43,35)</f>
        <v>41396.030266203707</v>
      </c>
      <c r="C1262">
        <v>80</v>
      </c>
      <c r="D1262">
        <v>74.087982178000004</v>
      </c>
      <c r="E1262">
        <v>40</v>
      </c>
      <c r="F1262">
        <v>39.885982513000002</v>
      </c>
      <c r="G1262">
        <v>1373.0227050999999</v>
      </c>
      <c r="H1262">
        <v>1361.2430420000001</v>
      </c>
      <c r="I1262">
        <v>1298.0262451000001</v>
      </c>
      <c r="J1262">
        <v>1282.4471435999999</v>
      </c>
      <c r="K1262">
        <v>1650</v>
      </c>
      <c r="L1262">
        <v>0</v>
      </c>
      <c r="M1262">
        <v>0</v>
      </c>
      <c r="N1262">
        <v>1650</v>
      </c>
    </row>
    <row r="1263" spans="1:14" x14ac:dyDescent="0.25">
      <c r="A1263">
        <v>1097.0944480000001</v>
      </c>
      <c r="B1263" s="1">
        <f>DATE(2013,5,2) + TIME(2,16,0)</f>
        <v>41396.094444444447</v>
      </c>
      <c r="C1263">
        <v>80</v>
      </c>
      <c r="D1263">
        <v>74.461151122999993</v>
      </c>
      <c r="E1263">
        <v>40</v>
      </c>
      <c r="F1263">
        <v>39.881584167</v>
      </c>
      <c r="G1263">
        <v>1372.9366454999999</v>
      </c>
      <c r="H1263">
        <v>1361.2067870999999</v>
      </c>
      <c r="I1263">
        <v>1298.0261230000001</v>
      </c>
      <c r="J1263">
        <v>1282.4465332</v>
      </c>
      <c r="K1263">
        <v>1650</v>
      </c>
      <c r="L1263">
        <v>0</v>
      </c>
      <c r="M1263">
        <v>0</v>
      </c>
      <c r="N1263">
        <v>1650</v>
      </c>
    </row>
    <row r="1264" spans="1:14" x14ac:dyDescent="0.25">
      <c r="A1264">
        <v>1097.1609759999999</v>
      </c>
      <c r="B1264" s="1">
        <f>DATE(2013,5,2) + TIME(3,51,48)</f>
        <v>41396.16097222222</v>
      </c>
      <c r="C1264">
        <v>80</v>
      </c>
      <c r="D1264">
        <v>74.822631835999999</v>
      </c>
      <c r="E1264">
        <v>40</v>
      </c>
      <c r="F1264">
        <v>39.877075195000003</v>
      </c>
      <c r="G1264">
        <v>1372.8529053</v>
      </c>
      <c r="H1264">
        <v>1361.1710204999999</v>
      </c>
      <c r="I1264">
        <v>1298.0258789</v>
      </c>
      <c r="J1264">
        <v>1282.4459228999999</v>
      </c>
      <c r="K1264">
        <v>1650</v>
      </c>
      <c r="L1264">
        <v>0</v>
      </c>
      <c r="M1264">
        <v>0</v>
      </c>
      <c r="N1264">
        <v>1650</v>
      </c>
    </row>
    <row r="1265" spans="1:14" x14ac:dyDescent="0.25">
      <c r="A1265">
        <v>1097.230033</v>
      </c>
      <c r="B1265" s="1">
        <f>DATE(2013,5,2) + TIME(5,31,14)</f>
        <v>41396.230023148149</v>
      </c>
      <c r="C1265">
        <v>80</v>
      </c>
      <c r="D1265">
        <v>75.172248839999995</v>
      </c>
      <c r="E1265">
        <v>40</v>
      </c>
      <c r="F1265">
        <v>39.872440337999997</v>
      </c>
      <c r="G1265">
        <v>1372.7714844</v>
      </c>
      <c r="H1265">
        <v>1361.1356201000001</v>
      </c>
      <c r="I1265">
        <v>1298.0257568</v>
      </c>
      <c r="J1265">
        <v>1282.4453125</v>
      </c>
      <c r="K1265">
        <v>1650</v>
      </c>
      <c r="L1265">
        <v>0</v>
      </c>
      <c r="M1265">
        <v>0</v>
      </c>
      <c r="N1265">
        <v>1650</v>
      </c>
    </row>
    <row r="1266" spans="1:14" x14ac:dyDescent="0.25">
      <c r="A1266">
        <v>1097.3018219999999</v>
      </c>
      <c r="B1266" s="1">
        <f>DATE(2013,5,2) + TIME(7,14,37)</f>
        <v>41396.301817129628</v>
      </c>
      <c r="C1266">
        <v>80</v>
      </c>
      <c r="D1266">
        <v>75.509918213000006</v>
      </c>
      <c r="E1266">
        <v>40</v>
      </c>
      <c r="F1266">
        <v>39.867675781000003</v>
      </c>
      <c r="G1266">
        <v>1372.6920166</v>
      </c>
      <c r="H1266">
        <v>1361.1005858999999</v>
      </c>
      <c r="I1266">
        <v>1298.0255127</v>
      </c>
      <c r="J1266">
        <v>1282.4445800999999</v>
      </c>
      <c r="K1266">
        <v>1650</v>
      </c>
      <c r="L1266">
        <v>0</v>
      </c>
      <c r="M1266">
        <v>0</v>
      </c>
      <c r="N1266">
        <v>1650</v>
      </c>
    </row>
    <row r="1267" spans="1:14" x14ac:dyDescent="0.25">
      <c r="A1267">
        <v>1097.376569</v>
      </c>
      <c r="B1267" s="1">
        <f>DATE(2013,5,2) + TIME(9,2,15)</f>
        <v>41396.376562500001</v>
      </c>
      <c r="C1267">
        <v>80</v>
      </c>
      <c r="D1267">
        <v>75.835716247999997</v>
      </c>
      <c r="E1267">
        <v>40</v>
      </c>
      <c r="F1267">
        <v>39.862766266000001</v>
      </c>
      <c r="G1267">
        <v>1372.6145019999999</v>
      </c>
      <c r="H1267">
        <v>1361.0656738</v>
      </c>
      <c r="I1267">
        <v>1298.0252685999999</v>
      </c>
      <c r="J1267">
        <v>1282.4438477000001</v>
      </c>
      <c r="K1267">
        <v>1650</v>
      </c>
      <c r="L1267">
        <v>0</v>
      </c>
      <c r="M1267">
        <v>0</v>
      </c>
      <c r="N1267">
        <v>1650</v>
      </c>
    </row>
    <row r="1268" spans="1:14" x14ac:dyDescent="0.25">
      <c r="A1268">
        <v>1097.4545270000001</v>
      </c>
      <c r="B1268" s="1">
        <f>DATE(2013,5,2) + TIME(10,54,31)</f>
        <v>41396.454525462963</v>
      </c>
      <c r="C1268">
        <v>80</v>
      </c>
      <c r="D1268">
        <v>76.149566649999997</v>
      </c>
      <c r="E1268">
        <v>40</v>
      </c>
      <c r="F1268">
        <v>39.857700348000002</v>
      </c>
      <c r="G1268">
        <v>1372.5386963000001</v>
      </c>
      <c r="H1268">
        <v>1361.0308838000001</v>
      </c>
      <c r="I1268">
        <v>1298.0250243999999</v>
      </c>
      <c r="J1268">
        <v>1282.4431152</v>
      </c>
      <c r="K1268">
        <v>1650</v>
      </c>
      <c r="L1268">
        <v>0</v>
      </c>
      <c r="M1268">
        <v>0</v>
      </c>
      <c r="N1268">
        <v>1650</v>
      </c>
    </row>
    <row r="1269" spans="1:14" x14ac:dyDescent="0.25">
      <c r="A1269">
        <v>1097.535981</v>
      </c>
      <c r="B1269" s="1">
        <f>DATE(2013,5,2) + TIME(12,51,48)</f>
        <v>41396.53597222222</v>
      </c>
      <c r="C1269">
        <v>80</v>
      </c>
      <c r="D1269">
        <v>76.451393127000003</v>
      </c>
      <c r="E1269">
        <v>40</v>
      </c>
      <c r="F1269">
        <v>39.852462768999999</v>
      </c>
      <c r="G1269">
        <v>1372.4644774999999</v>
      </c>
      <c r="H1269">
        <v>1360.9960937999999</v>
      </c>
      <c r="I1269">
        <v>1298.0247803</v>
      </c>
      <c r="J1269">
        <v>1282.4423827999999</v>
      </c>
      <c r="K1269">
        <v>1650</v>
      </c>
      <c r="L1269">
        <v>0</v>
      </c>
      <c r="M1269">
        <v>0</v>
      </c>
      <c r="N1269">
        <v>1650</v>
      </c>
    </row>
    <row r="1270" spans="1:14" x14ac:dyDescent="0.25">
      <c r="A1270">
        <v>1097.6212559999999</v>
      </c>
      <c r="B1270" s="1">
        <f>DATE(2013,5,2) + TIME(14,54,36)</f>
        <v>41396.621249999997</v>
      </c>
      <c r="C1270">
        <v>80</v>
      </c>
      <c r="D1270">
        <v>76.741127014</v>
      </c>
      <c r="E1270">
        <v>40</v>
      </c>
      <c r="F1270">
        <v>39.847042084000002</v>
      </c>
      <c r="G1270">
        <v>1372.3917236</v>
      </c>
      <c r="H1270">
        <v>1360.9611815999999</v>
      </c>
      <c r="I1270">
        <v>1298.0244141000001</v>
      </c>
      <c r="J1270">
        <v>1282.4415283000001</v>
      </c>
      <c r="K1270">
        <v>1650</v>
      </c>
      <c r="L1270">
        <v>0</v>
      </c>
      <c r="M1270">
        <v>0</v>
      </c>
      <c r="N1270">
        <v>1650</v>
      </c>
    </row>
    <row r="1271" spans="1:14" x14ac:dyDescent="0.25">
      <c r="A1271">
        <v>1097.710748</v>
      </c>
      <c r="B1271" s="1">
        <f>DATE(2013,5,2) + TIME(17,3,28)</f>
        <v>41396.710740740738</v>
      </c>
      <c r="C1271">
        <v>80</v>
      </c>
      <c r="D1271">
        <v>77.018760681000003</v>
      </c>
      <c r="E1271">
        <v>40</v>
      </c>
      <c r="F1271">
        <v>39.841415404999999</v>
      </c>
      <c r="G1271">
        <v>1372.3203125</v>
      </c>
      <c r="H1271">
        <v>1360.9261475000001</v>
      </c>
      <c r="I1271">
        <v>1298.0241699000001</v>
      </c>
      <c r="J1271">
        <v>1282.4406738</v>
      </c>
      <c r="K1271">
        <v>1650</v>
      </c>
      <c r="L1271">
        <v>0</v>
      </c>
      <c r="M1271">
        <v>0</v>
      </c>
      <c r="N1271">
        <v>1650</v>
      </c>
    </row>
    <row r="1272" spans="1:14" x14ac:dyDescent="0.25">
      <c r="A1272">
        <v>1097.8048980000001</v>
      </c>
      <c r="B1272" s="1">
        <f>DATE(2013,5,2) + TIME(19,19,3)</f>
        <v>41396.804895833331</v>
      </c>
      <c r="C1272">
        <v>80</v>
      </c>
      <c r="D1272">
        <v>77.284240722999996</v>
      </c>
      <c r="E1272">
        <v>40</v>
      </c>
      <c r="F1272">
        <v>39.835563659999998</v>
      </c>
      <c r="G1272">
        <v>1372.2498779</v>
      </c>
      <c r="H1272">
        <v>1360.8907471</v>
      </c>
      <c r="I1272">
        <v>1298.0238036999999</v>
      </c>
      <c r="J1272">
        <v>1282.4396973</v>
      </c>
      <c r="K1272">
        <v>1650</v>
      </c>
      <c r="L1272">
        <v>0</v>
      </c>
      <c r="M1272">
        <v>0</v>
      </c>
      <c r="N1272">
        <v>1650</v>
      </c>
    </row>
    <row r="1273" spans="1:14" x14ac:dyDescent="0.25">
      <c r="A1273">
        <v>1097.9041629999999</v>
      </c>
      <c r="B1273" s="1">
        <f>DATE(2013,5,2) + TIME(21,41,59)</f>
        <v>41396.90415509259</v>
      </c>
      <c r="C1273">
        <v>80</v>
      </c>
      <c r="D1273">
        <v>77.537368774000001</v>
      </c>
      <c r="E1273">
        <v>40</v>
      </c>
      <c r="F1273">
        <v>39.829460144000002</v>
      </c>
      <c r="G1273">
        <v>1372.1804199000001</v>
      </c>
      <c r="H1273">
        <v>1360.8548584</v>
      </c>
      <c r="I1273">
        <v>1298.0233154</v>
      </c>
      <c r="J1273">
        <v>1282.4387207</v>
      </c>
      <c r="K1273">
        <v>1650</v>
      </c>
      <c r="L1273">
        <v>0</v>
      </c>
      <c r="M1273">
        <v>0</v>
      </c>
      <c r="N1273">
        <v>1650</v>
      </c>
    </row>
    <row r="1274" spans="1:14" x14ac:dyDescent="0.25">
      <c r="A1274">
        <v>1098.0091130000001</v>
      </c>
      <c r="B1274" s="1">
        <f>DATE(2013,5,3) + TIME(0,13,7)</f>
        <v>41397.009108796294</v>
      </c>
      <c r="C1274">
        <v>80</v>
      </c>
      <c r="D1274">
        <v>77.778060913000004</v>
      </c>
      <c r="E1274">
        <v>40</v>
      </c>
      <c r="F1274">
        <v>39.823085785000004</v>
      </c>
      <c r="G1274">
        <v>1372.1116943</v>
      </c>
      <c r="H1274">
        <v>1360.8184814000001</v>
      </c>
      <c r="I1274">
        <v>1298.0229492000001</v>
      </c>
      <c r="J1274">
        <v>1282.4376221</v>
      </c>
      <c r="K1274">
        <v>1650</v>
      </c>
      <c r="L1274">
        <v>0</v>
      </c>
      <c r="M1274">
        <v>0</v>
      </c>
      <c r="N1274">
        <v>1650</v>
      </c>
    </row>
    <row r="1275" spans="1:14" x14ac:dyDescent="0.25">
      <c r="A1275">
        <v>1098.1204150000001</v>
      </c>
      <c r="B1275" s="1">
        <f>DATE(2013,5,3) + TIME(2,53,23)</f>
        <v>41397.120405092595</v>
      </c>
      <c r="C1275">
        <v>80</v>
      </c>
      <c r="D1275">
        <v>78.006225585999999</v>
      </c>
      <c r="E1275">
        <v>40</v>
      </c>
      <c r="F1275">
        <v>39.81640625</v>
      </c>
      <c r="G1275">
        <v>1372.0435791</v>
      </c>
      <c r="H1275">
        <v>1360.7814940999999</v>
      </c>
      <c r="I1275">
        <v>1298.0224608999999</v>
      </c>
      <c r="J1275">
        <v>1282.4365233999999</v>
      </c>
      <c r="K1275">
        <v>1650</v>
      </c>
      <c r="L1275">
        <v>0</v>
      </c>
      <c r="M1275">
        <v>0</v>
      </c>
      <c r="N1275">
        <v>1650</v>
      </c>
    </row>
    <row r="1276" spans="1:14" x14ac:dyDescent="0.25">
      <c r="A1276">
        <v>1098.2388550000001</v>
      </c>
      <c r="B1276" s="1">
        <f>DATE(2013,5,3) + TIME(5,43,57)</f>
        <v>41397.238854166666</v>
      </c>
      <c r="C1276">
        <v>80</v>
      </c>
      <c r="D1276">
        <v>78.221786499000004</v>
      </c>
      <c r="E1276">
        <v>40</v>
      </c>
      <c r="F1276">
        <v>39.809383392000001</v>
      </c>
      <c r="G1276">
        <v>1371.9758300999999</v>
      </c>
      <c r="H1276">
        <v>1360.7436522999999</v>
      </c>
      <c r="I1276">
        <v>1298.0219727000001</v>
      </c>
      <c r="J1276">
        <v>1282.4354248</v>
      </c>
      <c r="K1276">
        <v>1650</v>
      </c>
      <c r="L1276">
        <v>0</v>
      </c>
      <c r="M1276">
        <v>0</v>
      </c>
      <c r="N1276">
        <v>1650</v>
      </c>
    </row>
    <row r="1277" spans="1:14" x14ac:dyDescent="0.25">
      <c r="A1277">
        <v>1098.36535</v>
      </c>
      <c r="B1277" s="1">
        <f>DATE(2013,5,3) + TIME(8,46,6)</f>
        <v>41397.365347222221</v>
      </c>
      <c r="C1277">
        <v>80</v>
      </c>
      <c r="D1277">
        <v>78.424613953000005</v>
      </c>
      <c r="E1277">
        <v>40</v>
      </c>
      <c r="F1277">
        <v>39.801975249999998</v>
      </c>
      <c r="G1277">
        <v>1371.9082031</v>
      </c>
      <c r="H1277">
        <v>1360.7047118999999</v>
      </c>
      <c r="I1277">
        <v>1298.0214844</v>
      </c>
      <c r="J1277">
        <v>1282.4342041</v>
      </c>
      <c r="K1277">
        <v>1650</v>
      </c>
      <c r="L1277">
        <v>0</v>
      </c>
      <c r="M1277">
        <v>0</v>
      </c>
      <c r="N1277">
        <v>1650</v>
      </c>
    </row>
    <row r="1278" spans="1:14" x14ac:dyDescent="0.25">
      <c r="A1278">
        <v>1098.501055</v>
      </c>
      <c r="B1278" s="1">
        <f>DATE(2013,5,3) + TIME(12,1,31)</f>
        <v>41397.50105324074</v>
      </c>
      <c r="C1278">
        <v>80</v>
      </c>
      <c r="D1278">
        <v>78.614677428999997</v>
      </c>
      <c r="E1278">
        <v>40</v>
      </c>
      <c r="F1278">
        <v>39.794132232999999</v>
      </c>
      <c r="G1278">
        <v>1371.8404541</v>
      </c>
      <c r="H1278">
        <v>1360.6647949000001</v>
      </c>
      <c r="I1278">
        <v>1298.020874</v>
      </c>
      <c r="J1278">
        <v>1282.4328613</v>
      </c>
      <c r="K1278">
        <v>1650</v>
      </c>
      <c r="L1278">
        <v>0</v>
      </c>
      <c r="M1278">
        <v>0</v>
      </c>
      <c r="N1278">
        <v>1650</v>
      </c>
    </row>
    <row r="1279" spans="1:14" x14ac:dyDescent="0.25">
      <c r="A1279">
        <v>1098.647352</v>
      </c>
      <c r="B1279" s="1">
        <f>DATE(2013,5,3) + TIME(15,32,11)</f>
        <v>41397.647349537037</v>
      </c>
      <c r="C1279">
        <v>80</v>
      </c>
      <c r="D1279">
        <v>78.791908264</v>
      </c>
      <c r="E1279">
        <v>40</v>
      </c>
      <c r="F1279">
        <v>39.785785675</v>
      </c>
      <c r="G1279">
        <v>1371.7723389</v>
      </c>
      <c r="H1279">
        <v>1360.6234131000001</v>
      </c>
      <c r="I1279">
        <v>1298.0202637</v>
      </c>
      <c r="J1279">
        <v>1282.4315185999999</v>
      </c>
      <c r="K1279">
        <v>1650</v>
      </c>
      <c r="L1279">
        <v>0</v>
      </c>
      <c r="M1279">
        <v>0</v>
      </c>
      <c r="N1279">
        <v>1650</v>
      </c>
    </row>
    <row r="1280" spans="1:14" x14ac:dyDescent="0.25">
      <c r="A1280">
        <v>1098.8059479999999</v>
      </c>
      <c r="B1280" s="1">
        <f>DATE(2013,5,3) + TIME(19,20,33)</f>
        <v>41397.805937500001</v>
      </c>
      <c r="C1280">
        <v>80</v>
      </c>
      <c r="D1280">
        <v>78.956230164000004</v>
      </c>
      <c r="E1280">
        <v>40</v>
      </c>
      <c r="F1280">
        <v>39.776866912999999</v>
      </c>
      <c r="G1280">
        <v>1371.7036132999999</v>
      </c>
      <c r="H1280">
        <v>1360.5804443</v>
      </c>
      <c r="I1280">
        <v>1298.0196533000001</v>
      </c>
      <c r="J1280">
        <v>1282.4300536999999</v>
      </c>
      <c r="K1280">
        <v>1650</v>
      </c>
      <c r="L1280">
        <v>0</v>
      </c>
      <c r="M1280">
        <v>0</v>
      </c>
      <c r="N1280">
        <v>1650</v>
      </c>
    </row>
    <row r="1281" spans="1:14" x14ac:dyDescent="0.25">
      <c r="A1281">
        <v>1098.9709760000001</v>
      </c>
      <c r="B1281" s="1">
        <f>DATE(2013,5,3) + TIME(23,18,12)</f>
        <v>41397.970972222225</v>
      </c>
      <c r="C1281">
        <v>80</v>
      </c>
      <c r="D1281">
        <v>79.101638793999996</v>
      </c>
      <c r="E1281">
        <v>40</v>
      </c>
      <c r="F1281">
        <v>39.767665862999998</v>
      </c>
      <c r="G1281">
        <v>1371.6365966999999</v>
      </c>
      <c r="H1281">
        <v>1360.5371094</v>
      </c>
      <c r="I1281">
        <v>1298.0187988</v>
      </c>
      <c r="J1281">
        <v>1282.4284668</v>
      </c>
      <c r="K1281">
        <v>1650</v>
      </c>
      <c r="L1281">
        <v>0</v>
      </c>
      <c r="M1281">
        <v>0</v>
      </c>
      <c r="N1281">
        <v>1650</v>
      </c>
    </row>
    <row r="1282" spans="1:14" x14ac:dyDescent="0.25">
      <c r="A1282">
        <v>1099.1368729999999</v>
      </c>
      <c r="B1282" s="1">
        <f>DATE(2013,5,4) + TIME(3,17,5)</f>
        <v>41398.136863425927</v>
      </c>
      <c r="C1282">
        <v>80</v>
      </c>
      <c r="D1282">
        <v>79.225868224999999</v>
      </c>
      <c r="E1282">
        <v>40</v>
      </c>
      <c r="F1282">
        <v>39.758457184000001</v>
      </c>
      <c r="G1282">
        <v>1371.5727539</v>
      </c>
      <c r="H1282">
        <v>1360.4945068</v>
      </c>
      <c r="I1282">
        <v>1298.0180664</v>
      </c>
      <c r="J1282">
        <v>1282.4267577999999</v>
      </c>
      <c r="K1282">
        <v>1650</v>
      </c>
      <c r="L1282">
        <v>0</v>
      </c>
      <c r="M1282">
        <v>0</v>
      </c>
      <c r="N1282">
        <v>1650</v>
      </c>
    </row>
    <row r="1283" spans="1:14" x14ac:dyDescent="0.25">
      <c r="A1283">
        <v>1099.3043130000001</v>
      </c>
      <c r="B1283" s="1">
        <f>DATE(2013,5,4) + TIME(7,18,12)</f>
        <v>41398.304305555554</v>
      </c>
      <c r="C1283">
        <v>80</v>
      </c>
      <c r="D1283">
        <v>79.332298279</v>
      </c>
      <c r="E1283">
        <v>40</v>
      </c>
      <c r="F1283">
        <v>39.749210357999999</v>
      </c>
      <c r="G1283">
        <v>1371.5117187999999</v>
      </c>
      <c r="H1283">
        <v>1360.4528809000001</v>
      </c>
      <c r="I1283">
        <v>1298.0172118999999</v>
      </c>
      <c r="J1283">
        <v>1282.4251709</v>
      </c>
      <c r="K1283">
        <v>1650</v>
      </c>
      <c r="L1283">
        <v>0</v>
      </c>
      <c r="M1283">
        <v>0</v>
      </c>
      <c r="N1283">
        <v>1650</v>
      </c>
    </row>
    <row r="1284" spans="1:14" x14ac:dyDescent="0.25">
      <c r="A1284">
        <v>1099.473706</v>
      </c>
      <c r="B1284" s="1">
        <f>DATE(2013,5,4) + TIME(11,22,8)</f>
        <v>41398.473703703705</v>
      </c>
      <c r="C1284">
        <v>80</v>
      </c>
      <c r="D1284">
        <v>79.423545837000006</v>
      </c>
      <c r="E1284">
        <v>40</v>
      </c>
      <c r="F1284">
        <v>39.739906310999999</v>
      </c>
      <c r="G1284">
        <v>1371.4530029</v>
      </c>
      <c r="H1284">
        <v>1360.4121094</v>
      </c>
      <c r="I1284">
        <v>1298.0162353999999</v>
      </c>
      <c r="J1284">
        <v>1282.4234618999999</v>
      </c>
      <c r="K1284">
        <v>1650</v>
      </c>
      <c r="L1284">
        <v>0</v>
      </c>
      <c r="M1284">
        <v>0</v>
      </c>
      <c r="N1284">
        <v>1650</v>
      </c>
    </row>
    <row r="1285" spans="1:14" x14ac:dyDescent="0.25">
      <c r="A1285">
        <v>1099.64546</v>
      </c>
      <c r="B1285" s="1">
        <f>DATE(2013,5,4) + TIME(15,29,27)</f>
        <v>41398.645451388889</v>
      </c>
      <c r="C1285">
        <v>80</v>
      </c>
      <c r="D1285">
        <v>79.501800536999994</v>
      </c>
      <c r="E1285">
        <v>40</v>
      </c>
      <c r="F1285">
        <v>39.730522155999999</v>
      </c>
      <c r="G1285">
        <v>1371.3963623</v>
      </c>
      <c r="H1285">
        <v>1360.3720702999999</v>
      </c>
      <c r="I1285">
        <v>1298.0153809000001</v>
      </c>
      <c r="J1285">
        <v>1282.4217529</v>
      </c>
      <c r="K1285">
        <v>1650</v>
      </c>
      <c r="L1285">
        <v>0</v>
      </c>
      <c r="M1285">
        <v>0</v>
      </c>
      <c r="N1285">
        <v>1650</v>
      </c>
    </row>
    <row r="1286" spans="1:14" x14ac:dyDescent="0.25">
      <c r="A1286">
        <v>1099.8200360000001</v>
      </c>
      <c r="B1286" s="1">
        <f>DATE(2013,5,4) + TIME(19,40,51)</f>
        <v>41398.820034722223</v>
      </c>
      <c r="C1286">
        <v>80</v>
      </c>
      <c r="D1286">
        <v>79.568931579999997</v>
      </c>
      <c r="E1286">
        <v>40</v>
      </c>
      <c r="F1286">
        <v>39.721038817999997</v>
      </c>
      <c r="G1286">
        <v>1371.3414307</v>
      </c>
      <c r="H1286">
        <v>1360.3326416</v>
      </c>
      <c r="I1286">
        <v>1298.0145264</v>
      </c>
      <c r="J1286">
        <v>1282.4200439000001</v>
      </c>
      <c r="K1286">
        <v>1650</v>
      </c>
      <c r="L1286">
        <v>0</v>
      </c>
      <c r="M1286">
        <v>0</v>
      </c>
      <c r="N1286">
        <v>1650</v>
      </c>
    </row>
    <row r="1287" spans="1:14" x14ac:dyDescent="0.25">
      <c r="A1287">
        <v>1099.9978309999999</v>
      </c>
      <c r="B1287" s="1">
        <f>DATE(2013,5,4) + TIME(23,56,52)</f>
        <v>41398.997824074075</v>
      </c>
      <c r="C1287">
        <v>80</v>
      </c>
      <c r="D1287">
        <v>79.626487732000001</v>
      </c>
      <c r="E1287">
        <v>40</v>
      </c>
      <c r="F1287">
        <v>39.711433411000002</v>
      </c>
      <c r="G1287">
        <v>1371.2879639</v>
      </c>
      <c r="H1287">
        <v>1360.2938231999999</v>
      </c>
      <c r="I1287">
        <v>1298.0135498</v>
      </c>
      <c r="J1287">
        <v>1282.4182129000001</v>
      </c>
      <c r="K1287">
        <v>1650</v>
      </c>
      <c r="L1287">
        <v>0</v>
      </c>
      <c r="M1287">
        <v>0</v>
      </c>
      <c r="N1287">
        <v>1650</v>
      </c>
    </row>
    <row r="1288" spans="1:14" x14ac:dyDescent="0.25">
      <c r="A1288">
        <v>1100.179249</v>
      </c>
      <c r="B1288" s="1">
        <f>DATE(2013,5,5) + TIME(4,18,7)</f>
        <v>41399.179247685184</v>
      </c>
      <c r="C1288">
        <v>80</v>
      </c>
      <c r="D1288">
        <v>79.675788878999995</v>
      </c>
      <c r="E1288">
        <v>40</v>
      </c>
      <c r="F1288">
        <v>39.701690673999998</v>
      </c>
      <c r="G1288">
        <v>1371.2358397999999</v>
      </c>
      <c r="H1288">
        <v>1360.2553711</v>
      </c>
      <c r="I1288">
        <v>1298.0125731999999</v>
      </c>
      <c r="J1288">
        <v>1282.4165039</v>
      </c>
      <c r="K1288">
        <v>1650</v>
      </c>
      <c r="L1288">
        <v>0</v>
      </c>
      <c r="M1288">
        <v>0</v>
      </c>
      <c r="N1288">
        <v>1650</v>
      </c>
    </row>
    <row r="1289" spans="1:14" x14ac:dyDescent="0.25">
      <c r="A1289">
        <v>1100.3646450000001</v>
      </c>
      <c r="B1289" s="1">
        <f>DATE(2013,5,5) + TIME(8,45,5)</f>
        <v>41399.364641203705</v>
      </c>
      <c r="C1289">
        <v>80</v>
      </c>
      <c r="D1289">
        <v>79.717948914000004</v>
      </c>
      <c r="E1289">
        <v>40</v>
      </c>
      <c r="F1289">
        <v>39.691795349000003</v>
      </c>
      <c r="G1289">
        <v>1371.1845702999999</v>
      </c>
      <c r="H1289">
        <v>1360.2172852000001</v>
      </c>
      <c r="I1289">
        <v>1298.0115966999999</v>
      </c>
      <c r="J1289">
        <v>1282.4146728999999</v>
      </c>
      <c r="K1289">
        <v>1650</v>
      </c>
      <c r="L1289">
        <v>0</v>
      </c>
      <c r="M1289">
        <v>0</v>
      </c>
      <c r="N1289">
        <v>1650</v>
      </c>
    </row>
    <row r="1290" spans="1:14" x14ac:dyDescent="0.25">
      <c r="A1290">
        <v>1100.5537629999999</v>
      </c>
      <c r="B1290" s="1">
        <f>DATE(2013,5,5) + TIME(13,17,25)</f>
        <v>41399.553761574076</v>
      </c>
      <c r="C1290">
        <v>80</v>
      </c>
      <c r="D1290">
        <v>79.753837584999999</v>
      </c>
      <c r="E1290">
        <v>40</v>
      </c>
      <c r="F1290">
        <v>39.681755066000001</v>
      </c>
      <c r="G1290">
        <v>1371.1343993999999</v>
      </c>
      <c r="H1290">
        <v>1360.1795654</v>
      </c>
      <c r="I1290">
        <v>1298.0106201000001</v>
      </c>
      <c r="J1290">
        <v>1282.4127197</v>
      </c>
      <c r="K1290">
        <v>1650</v>
      </c>
      <c r="L1290">
        <v>0</v>
      </c>
      <c r="M1290">
        <v>0</v>
      </c>
      <c r="N1290">
        <v>1650</v>
      </c>
    </row>
    <row r="1291" spans="1:14" x14ac:dyDescent="0.25">
      <c r="A1291">
        <v>1100.7469940000001</v>
      </c>
      <c r="B1291" s="1">
        <f>DATE(2013,5,5) + TIME(17,55,40)</f>
        <v>41399.746990740743</v>
      </c>
      <c r="C1291">
        <v>80</v>
      </c>
      <c r="D1291">
        <v>79.784347534000005</v>
      </c>
      <c r="E1291">
        <v>40</v>
      </c>
      <c r="F1291">
        <v>39.671550750999998</v>
      </c>
      <c r="G1291">
        <v>1371.0850829999999</v>
      </c>
      <c r="H1291">
        <v>1360.1422118999999</v>
      </c>
      <c r="I1291">
        <v>1298.0096435999999</v>
      </c>
      <c r="J1291">
        <v>1282.4108887</v>
      </c>
      <c r="K1291">
        <v>1650</v>
      </c>
      <c r="L1291">
        <v>0</v>
      </c>
      <c r="M1291">
        <v>0</v>
      </c>
      <c r="N1291">
        <v>1650</v>
      </c>
    </row>
    <row r="1292" spans="1:14" x14ac:dyDescent="0.25">
      <c r="A1292">
        <v>1100.944769</v>
      </c>
      <c r="B1292" s="1">
        <f>DATE(2013,5,5) + TIME(22,40,28)</f>
        <v>41399.944768518515</v>
      </c>
      <c r="C1292">
        <v>80</v>
      </c>
      <c r="D1292">
        <v>79.810241699000002</v>
      </c>
      <c r="E1292">
        <v>40</v>
      </c>
      <c r="F1292">
        <v>39.661170959000003</v>
      </c>
      <c r="G1292">
        <v>1371.0366211</v>
      </c>
      <c r="H1292">
        <v>1360.1052245999999</v>
      </c>
      <c r="I1292">
        <v>1298.0085449000001</v>
      </c>
      <c r="J1292">
        <v>1282.4088135</v>
      </c>
      <c r="K1292">
        <v>1650</v>
      </c>
      <c r="L1292">
        <v>0</v>
      </c>
      <c r="M1292">
        <v>0</v>
      </c>
      <c r="N1292">
        <v>1650</v>
      </c>
    </row>
    <row r="1293" spans="1:14" x14ac:dyDescent="0.25">
      <c r="A1293">
        <v>1101.1475600000001</v>
      </c>
      <c r="B1293" s="1">
        <f>DATE(2013,5,6) + TIME(3,32,29)</f>
        <v>41400.147557870368</v>
      </c>
      <c r="C1293">
        <v>80</v>
      </c>
      <c r="D1293">
        <v>79.832183838000006</v>
      </c>
      <c r="E1293">
        <v>40</v>
      </c>
      <c r="F1293">
        <v>39.650588988999999</v>
      </c>
      <c r="G1293">
        <v>1370.9886475000001</v>
      </c>
      <c r="H1293">
        <v>1360.0684814000001</v>
      </c>
      <c r="I1293">
        <v>1298.0074463000001</v>
      </c>
      <c r="J1293">
        <v>1282.4068603999999</v>
      </c>
      <c r="K1293">
        <v>1650</v>
      </c>
      <c r="L1293">
        <v>0</v>
      </c>
      <c r="M1293">
        <v>0</v>
      </c>
      <c r="N1293">
        <v>1650</v>
      </c>
    </row>
    <row r="1294" spans="1:14" x14ac:dyDescent="0.25">
      <c r="A1294">
        <v>1101.3558820000001</v>
      </c>
      <c r="B1294" s="1">
        <f>DATE(2013,5,6) + TIME(8,32,28)</f>
        <v>41400.355879629627</v>
      </c>
      <c r="C1294">
        <v>80</v>
      </c>
      <c r="D1294">
        <v>79.850730896000002</v>
      </c>
      <c r="E1294">
        <v>40</v>
      </c>
      <c r="F1294">
        <v>39.639785766999999</v>
      </c>
      <c r="G1294">
        <v>1370.9411620999999</v>
      </c>
      <c r="H1294">
        <v>1360.0318603999999</v>
      </c>
      <c r="I1294">
        <v>1298.0063477000001</v>
      </c>
      <c r="J1294">
        <v>1282.4047852000001</v>
      </c>
      <c r="K1294">
        <v>1650</v>
      </c>
      <c r="L1294">
        <v>0</v>
      </c>
      <c r="M1294">
        <v>0</v>
      </c>
      <c r="N1294">
        <v>1650</v>
      </c>
    </row>
    <row r="1295" spans="1:14" x14ac:dyDescent="0.25">
      <c r="A1295">
        <v>1101.570291</v>
      </c>
      <c r="B1295" s="1">
        <f>DATE(2013,5,6) + TIME(13,41,13)</f>
        <v>41400.570289351854</v>
      </c>
      <c r="C1295">
        <v>80</v>
      </c>
      <c r="D1295">
        <v>79.866378784000005</v>
      </c>
      <c r="E1295">
        <v>40</v>
      </c>
      <c r="F1295">
        <v>39.628730773999997</v>
      </c>
      <c r="G1295">
        <v>1370.8941649999999</v>
      </c>
      <c r="H1295">
        <v>1359.9954834</v>
      </c>
      <c r="I1295">
        <v>1298.005249</v>
      </c>
      <c r="J1295">
        <v>1282.4027100000001</v>
      </c>
      <c r="K1295">
        <v>1650</v>
      </c>
      <c r="L1295">
        <v>0</v>
      </c>
      <c r="M1295">
        <v>0</v>
      </c>
      <c r="N1295">
        <v>1650</v>
      </c>
    </row>
    <row r="1296" spans="1:14" x14ac:dyDescent="0.25">
      <c r="A1296">
        <v>1101.7914040000001</v>
      </c>
      <c r="B1296" s="1">
        <f>DATE(2013,5,6) + TIME(18,59,37)</f>
        <v>41400.791400462964</v>
      </c>
      <c r="C1296">
        <v>80</v>
      </c>
      <c r="D1296">
        <v>79.879554748999993</v>
      </c>
      <c r="E1296">
        <v>40</v>
      </c>
      <c r="F1296">
        <v>39.617404938</v>
      </c>
      <c r="G1296">
        <v>1370.8472899999999</v>
      </c>
      <c r="H1296">
        <v>1359.9589844</v>
      </c>
      <c r="I1296">
        <v>1298.0040283000001</v>
      </c>
      <c r="J1296">
        <v>1282.4005127</v>
      </c>
      <c r="K1296">
        <v>1650</v>
      </c>
      <c r="L1296">
        <v>0</v>
      </c>
      <c r="M1296">
        <v>0</v>
      </c>
      <c r="N1296">
        <v>1650</v>
      </c>
    </row>
    <row r="1297" spans="1:14" x14ac:dyDescent="0.25">
      <c r="A1297">
        <v>1102.0199</v>
      </c>
      <c r="B1297" s="1">
        <f>DATE(2013,5,7) + TIME(0,28,39)</f>
        <v>41401.019895833335</v>
      </c>
      <c r="C1297">
        <v>80</v>
      </c>
      <c r="D1297">
        <v>79.890602111999996</v>
      </c>
      <c r="E1297">
        <v>40</v>
      </c>
      <c r="F1297">
        <v>39.605777740000001</v>
      </c>
      <c r="G1297">
        <v>1370.8005370999999</v>
      </c>
      <c r="H1297">
        <v>1359.9226074000001</v>
      </c>
      <c r="I1297">
        <v>1298.0028076000001</v>
      </c>
      <c r="J1297">
        <v>1282.3981934000001</v>
      </c>
      <c r="K1297">
        <v>1650</v>
      </c>
      <c r="L1297">
        <v>0</v>
      </c>
      <c r="M1297">
        <v>0</v>
      </c>
      <c r="N1297">
        <v>1650</v>
      </c>
    </row>
    <row r="1298" spans="1:14" x14ac:dyDescent="0.25">
      <c r="A1298">
        <v>1102.2565380000001</v>
      </c>
      <c r="B1298" s="1">
        <f>DATE(2013,5,7) + TIME(6,9,24)</f>
        <v>41401.256527777776</v>
      </c>
      <c r="C1298">
        <v>80</v>
      </c>
      <c r="D1298">
        <v>79.899856567</v>
      </c>
      <c r="E1298">
        <v>40</v>
      </c>
      <c r="F1298">
        <v>39.593811035000002</v>
      </c>
      <c r="G1298">
        <v>1370.7537841999999</v>
      </c>
      <c r="H1298">
        <v>1359.8861084</v>
      </c>
      <c r="I1298">
        <v>1298.0014647999999</v>
      </c>
      <c r="J1298">
        <v>1282.395874</v>
      </c>
      <c r="K1298">
        <v>1650</v>
      </c>
      <c r="L1298">
        <v>0</v>
      </c>
      <c r="M1298">
        <v>0</v>
      </c>
      <c r="N1298">
        <v>1650</v>
      </c>
    </row>
    <row r="1299" spans="1:14" x14ac:dyDescent="0.25">
      <c r="A1299">
        <v>1102.50217</v>
      </c>
      <c r="B1299" s="1">
        <f>DATE(2013,5,7) + TIME(12,3,7)</f>
        <v>41401.502164351848</v>
      </c>
      <c r="C1299">
        <v>80</v>
      </c>
      <c r="D1299">
        <v>79.907569885000001</v>
      </c>
      <c r="E1299">
        <v>40</v>
      </c>
      <c r="F1299">
        <v>39.581478119000003</v>
      </c>
      <c r="G1299">
        <v>1370.7069091999999</v>
      </c>
      <c r="H1299">
        <v>1359.8493652</v>
      </c>
      <c r="I1299">
        <v>1298.0001221</v>
      </c>
      <c r="J1299">
        <v>1282.3934326000001</v>
      </c>
      <c r="K1299">
        <v>1650</v>
      </c>
      <c r="L1299">
        <v>0</v>
      </c>
      <c r="M1299">
        <v>0</v>
      </c>
      <c r="N1299">
        <v>1650</v>
      </c>
    </row>
    <row r="1300" spans="1:14" x14ac:dyDescent="0.25">
      <c r="A1300">
        <v>1102.757854</v>
      </c>
      <c r="B1300" s="1">
        <f>DATE(2013,5,7) + TIME(18,11,18)</f>
        <v>41401.757847222223</v>
      </c>
      <c r="C1300">
        <v>80</v>
      </c>
      <c r="D1300">
        <v>79.913986206000004</v>
      </c>
      <c r="E1300">
        <v>40</v>
      </c>
      <c r="F1300">
        <v>39.568729400999999</v>
      </c>
      <c r="G1300">
        <v>1370.6597899999999</v>
      </c>
      <c r="H1300">
        <v>1359.8125</v>
      </c>
      <c r="I1300">
        <v>1297.9987793</v>
      </c>
      <c r="J1300">
        <v>1282.3908690999999</v>
      </c>
      <c r="K1300">
        <v>1650</v>
      </c>
      <c r="L1300">
        <v>0</v>
      </c>
      <c r="M1300">
        <v>0</v>
      </c>
      <c r="N1300">
        <v>1650</v>
      </c>
    </row>
    <row r="1301" spans="1:14" x14ac:dyDescent="0.25">
      <c r="A1301">
        <v>1103.024686</v>
      </c>
      <c r="B1301" s="1">
        <f>DATE(2013,5,8) + TIME(0,35,32)</f>
        <v>41402.024675925924</v>
      </c>
      <c r="C1301">
        <v>80</v>
      </c>
      <c r="D1301">
        <v>79.919296265</v>
      </c>
      <c r="E1301">
        <v>40</v>
      </c>
      <c r="F1301">
        <v>39.555522918999998</v>
      </c>
      <c r="G1301">
        <v>1370.6124268000001</v>
      </c>
      <c r="H1301">
        <v>1359.7752685999999</v>
      </c>
      <c r="I1301">
        <v>1297.9973144999999</v>
      </c>
      <c r="J1301">
        <v>1282.3881836</v>
      </c>
      <c r="K1301">
        <v>1650</v>
      </c>
      <c r="L1301">
        <v>0</v>
      </c>
      <c r="M1301">
        <v>0</v>
      </c>
      <c r="N1301">
        <v>1650</v>
      </c>
    </row>
    <row r="1302" spans="1:14" x14ac:dyDescent="0.25">
      <c r="A1302">
        <v>1103.303163</v>
      </c>
      <c r="B1302" s="1">
        <f>DATE(2013,5,8) + TIME(7,16,33)</f>
        <v>41402.303159722222</v>
      </c>
      <c r="C1302">
        <v>80</v>
      </c>
      <c r="D1302">
        <v>79.923675536999994</v>
      </c>
      <c r="E1302">
        <v>40</v>
      </c>
      <c r="F1302">
        <v>39.541835785000004</v>
      </c>
      <c r="G1302">
        <v>1370.5644531</v>
      </c>
      <c r="H1302">
        <v>1359.7375488</v>
      </c>
      <c r="I1302">
        <v>1297.9957274999999</v>
      </c>
      <c r="J1302">
        <v>1282.385376</v>
      </c>
      <c r="K1302">
        <v>1650</v>
      </c>
      <c r="L1302">
        <v>0</v>
      </c>
      <c r="M1302">
        <v>0</v>
      </c>
      <c r="N1302">
        <v>1650</v>
      </c>
    </row>
    <row r="1303" spans="1:14" x14ac:dyDescent="0.25">
      <c r="A1303">
        <v>1103.5908589999999</v>
      </c>
      <c r="B1303" s="1">
        <f>DATE(2013,5,8) + TIME(14,10,50)</f>
        <v>41402.590856481482</v>
      </c>
      <c r="C1303">
        <v>80</v>
      </c>
      <c r="D1303">
        <v>79.927230835000003</v>
      </c>
      <c r="E1303">
        <v>40</v>
      </c>
      <c r="F1303">
        <v>39.527763366999999</v>
      </c>
      <c r="G1303">
        <v>1370.5159911999999</v>
      </c>
      <c r="H1303">
        <v>1359.6994629000001</v>
      </c>
      <c r="I1303">
        <v>1297.9941406</v>
      </c>
      <c r="J1303">
        <v>1282.3825684000001</v>
      </c>
      <c r="K1303">
        <v>1650</v>
      </c>
      <c r="L1303">
        <v>0</v>
      </c>
      <c r="M1303">
        <v>0</v>
      </c>
      <c r="N1303">
        <v>1650</v>
      </c>
    </row>
    <row r="1304" spans="1:14" x14ac:dyDescent="0.25">
      <c r="A1304">
        <v>1103.8887910000001</v>
      </c>
      <c r="B1304" s="1">
        <f>DATE(2013,5,8) + TIME(21,19,51)</f>
        <v>41402.888784722221</v>
      </c>
      <c r="C1304">
        <v>80</v>
      </c>
      <c r="D1304">
        <v>79.930122374999996</v>
      </c>
      <c r="E1304">
        <v>40</v>
      </c>
      <c r="F1304">
        <v>39.513271332000002</v>
      </c>
      <c r="G1304">
        <v>1370.4674072</v>
      </c>
      <c r="H1304">
        <v>1359.6613769999999</v>
      </c>
      <c r="I1304">
        <v>1297.9924315999999</v>
      </c>
      <c r="J1304">
        <v>1282.3795166</v>
      </c>
      <c r="K1304">
        <v>1650</v>
      </c>
      <c r="L1304">
        <v>0</v>
      </c>
      <c r="M1304">
        <v>0</v>
      </c>
      <c r="N1304">
        <v>1650</v>
      </c>
    </row>
    <row r="1305" spans="1:14" x14ac:dyDescent="0.25">
      <c r="A1305">
        <v>1104.197944</v>
      </c>
      <c r="B1305" s="1">
        <f>DATE(2013,5,9) + TIME(4,45,2)</f>
        <v>41403.197939814818</v>
      </c>
      <c r="C1305">
        <v>80</v>
      </c>
      <c r="D1305">
        <v>79.932456970000004</v>
      </c>
      <c r="E1305">
        <v>40</v>
      </c>
      <c r="F1305">
        <v>39.498325348000002</v>
      </c>
      <c r="G1305">
        <v>1370.4187012</v>
      </c>
      <c r="H1305">
        <v>1359.6231689000001</v>
      </c>
      <c r="I1305">
        <v>1297.9907227000001</v>
      </c>
      <c r="J1305">
        <v>1282.3764647999999</v>
      </c>
      <c r="K1305">
        <v>1650</v>
      </c>
      <c r="L1305">
        <v>0</v>
      </c>
      <c r="M1305">
        <v>0</v>
      </c>
      <c r="N1305">
        <v>1650</v>
      </c>
    </row>
    <row r="1306" spans="1:14" x14ac:dyDescent="0.25">
      <c r="A1306">
        <v>1104.5194389999999</v>
      </c>
      <c r="B1306" s="1">
        <f>DATE(2013,5,9) + TIME(12,27,59)</f>
        <v>41403.519432870373</v>
      </c>
      <c r="C1306">
        <v>80</v>
      </c>
      <c r="D1306">
        <v>79.934349060000002</v>
      </c>
      <c r="E1306">
        <v>40</v>
      </c>
      <c r="F1306">
        <v>39.482875823999997</v>
      </c>
      <c r="G1306">
        <v>1370.369751</v>
      </c>
      <c r="H1306">
        <v>1359.5847168</v>
      </c>
      <c r="I1306">
        <v>1297.9888916</v>
      </c>
      <c r="J1306">
        <v>1282.3731689000001</v>
      </c>
      <c r="K1306">
        <v>1650</v>
      </c>
      <c r="L1306">
        <v>0</v>
      </c>
      <c r="M1306">
        <v>0</v>
      </c>
      <c r="N1306">
        <v>1650</v>
      </c>
    </row>
    <row r="1307" spans="1:14" x14ac:dyDescent="0.25">
      <c r="A1307">
        <v>1104.8542829999999</v>
      </c>
      <c r="B1307" s="1">
        <f>DATE(2013,5,9) + TIME(20,30,10)</f>
        <v>41403.85428240741</v>
      </c>
      <c r="C1307">
        <v>80</v>
      </c>
      <c r="D1307">
        <v>79.935882567999997</v>
      </c>
      <c r="E1307">
        <v>40</v>
      </c>
      <c r="F1307">
        <v>39.466888427999997</v>
      </c>
      <c r="G1307">
        <v>1370.3203125</v>
      </c>
      <c r="H1307">
        <v>1359.5460204999999</v>
      </c>
      <c r="I1307">
        <v>1297.9869385</v>
      </c>
      <c r="J1307">
        <v>1282.369751</v>
      </c>
      <c r="K1307">
        <v>1650</v>
      </c>
      <c r="L1307">
        <v>0</v>
      </c>
      <c r="M1307">
        <v>0</v>
      </c>
      <c r="N1307">
        <v>1650</v>
      </c>
    </row>
    <row r="1308" spans="1:14" x14ac:dyDescent="0.25">
      <c r="A1308">
        <v>1105.1918599999999</v>
      </c>
      <c r="B1308" s="1">
        <f>DATE(2013,5,10) + TIME(4,36,16)</f>
        <v>41404.191851851851</v>
      </c>
      <c r="C1308">
        <v>80</v>
      </c>
      <c r="D1308">
        <v>79.937088012999993</v>
      </c>
      <c r="E1308">
        <v>40</v>
      </c>
      <c r="F1308">
        <v>39.450759888</v>
      </c>
      <c r="G1308">
        <v>1370.2703856999999</v>
      </c>
      <c r="H1308">
        <v>1359.5069579999999</v>
      </c>
      <c r="I1308">
        <v>1297.9849853999999</v>
      </c>
      <c r="J1308">
        <v>1282.3663329999999</v>
      </c>
      <c r="K1308">
        <v>1650</v>
      </c>
      <c r="L1308">
        <v>0</v>
      </c>
      <c r="M1308">
        <v>0</v>
      </c>
      <c r="N1308">
        <v>1650</v>
      </c>
    </row>
    <row r="1309" spans="1:14" x14ac:dyDescent="0.25">
      <c r="A1309">
        <v>1105.533195</v>
      </c>
      <c r="B1309" s="1">
        <f>DATE(2013,5,10) + TIME(12,47,48)</f>
        <v>41404.533194444448</v>
      </c>
      <c r="C1309">
        <v>80</v>
      </c>
      <c r="D1309">
        <v>79.938034058</v>
      </c>
      <c r="E1309">
        <v>40</v>
      </c>
      <c r="F1309">
        <v>39.434467316000003</v>
      </c>
      <c r="G1309">
        <v>1370.2216797000001</v>
      </c>
      <c r="H1309">
        <v>1359.46875</v>
      </c>
      <c r="I1309">
        <v>1297.9829102000001</v>
      </c>
      <c r="J1309">
        <v>1282.3626709</v>
      </c>
      <c r="K1309">
        <v>1650</v>
      </c>
      <c r="L1309">
        <v>0</v>
      </c>
      <c r="M1309">
        <v>0</v>
      </c>
      <c r="N1309">
        <v>1650</v>
      </c>
    </row>
    <row r="1310" spans="1:14" x14ac:dyDescent="0.25">
      <c r="A1310">
        <v>1105.8792430000001</v>
      </c>
      <c r="B1310" s="1">
        <f>DATE(2013,5,10) + TIME(21,6,6)</f>
        <v>41404.879236111112</v>
      </c>
      <c r="C1310">
        <v>80</v>
      </c>
      <c r="D1310">
        <v>79.938789368000002</v>
      </c>
      <c r="E1310">
        <v>40</v>
      </c>
      <c r="F1310">
        <v>39.417995453000003</v>
      </c>
      <c r="G1310">
        <v>1370.1737060999999</v>
      </c>
      <c r="H1310">
        <v>1359.4312743999999</v>
      </c>
      <c r="I1310">
        <v>1297.9808350000001</v>
      </c>
      <c r="J1310">
        <v>1282.3591309000001</v>
      </c>
      <c r="K1310">
        <v>1650</v>
      </c>
      <c r="L1310">
        <v>0</v>
      </c>
      <c r="M1310">
        <v>0</v>
      </c>
      <c r="N1310">
        <v>1650</v>
      </c>
    </row>
    <row r="1311" spans="1:14" x14ac:dyDescent="0.25">
      <c r="A1311">
        <v>1106.230965</v>
      </c>
      <c r="B1311" s="1">
        <f>DATE(2013,5,11) + TIME(5,32,35)</f>
        <v>41405.23096064815</v>
      </c>
      <c r="C1311">
        <v>80</v>
      </c>
      <c r="D1311">
        <v>79.939399718999994</v>
      </c>
      <c r="E1311">
        <v>40</v>
      </c>
      <c r="F1311">
        <v>39.401313782000003</v>
      </c>
      <c r="G1311">
        <v>1370.1264647999999</v>
      </c>
      <c r="H1311">
        <v>1359.3944091999999</v>
      </c>
      <c r="I1311">
        <v>1297.9787598</v>
      </c>
      <c r="J1311">
        <v>1282.3554687999999</v>
      </c>
      <c r="K1311">
        <v>1650</v>
      </c>
      <c r="L1311">
        <v>0</v>
      </c>
      <c r="M1311">
        <v>0</v>
      </c>
      <c r="N1311">
        <v>1650</v>
      </c>
    </row>
    <row r="1312" spans="1:14" x14ac:dyDescent="0.25">
      <c r="A1312">
        <v>1106.589354</v>
      </c>
      <c r="B1312" s="1">
        <f>DATE(2013,5,11) + TIME(14,8,40)</f>
        <v>41405.58935185185</v>
      </c>
      <c r="C1312">
        <v>80</v>
      </c>
      <c r="D1312">
        <v>79.939887999999996</v>
      </c>
      <c r="E1312">
        <v>40</v>
      </c>
      <c r="F1312">
        <v>39.384387969999999</v>
      </c>
      <c r="G1312">
        <v>1370.0797118999999</v>
      </c>
      <c r="H1312">
        <v>1359.3579102000001</v>
      </c>
      <c r="I1312">
        <v>1297.9765625</v>
      </c>
      <c r="J1312">
        <v>1282.3516846</v>
      </c>
      <c r="K1312">
        <v>1650</v>
      </c>
      <c r="L1312">
        <v>0</v>
      </c>
      <c r="M1312">
        <v>0</v>
      </c>
      <c r="N1312">
        <v>1650</v>
      </c>
    </row>
    <row r="1313" spans="1:14" x14ac:dyDescent="0.25">
      <c r="A1313">
        <v>1106.9530440000001</v>
      </c>
      <c r="B1313" s="1">
        <f>DATE(2013,5,11) + TIME(22,52,22)</f>
        <v>41405.953032407408</v>
      </c>
      <c r="C1313">
        <v>80</v>
      </c>
      <c r="D1313">
        <v>79.940284728999998</v>
      </c>
      <c r="E1313">
        <v>40</v>
      </c>
      <c r="F1313">
        <v>39.367279052999997</v>
      </c>
      <c r="G1313">
        <v>1370.0334473</v>
      </c>
      <c r="H1313">
        <v>1359.3218993999999</v>
      </c>
      <c r="I1313">
        <v>1297.9744873</v>
      </c>
      <c r="J1313">
        <v>1282.3479004000001</v>
      </c>
      <c r="K1313">
        <v>1650</v>
      </c>
      <c r="L1313">
        <v>0</v>
      </c>
      <c r="M1313">
        <v>0</v>
      </c>
      <c r="N1313">
        <v>1650</v>
      </c>
    </row>
    <row r="1314" spans="1:14" x14ac:dyDescent="0.25">
      <c r="A1314">
        <v>1107.3226380000001</v>
      </c>
      <c r="B1314" s="1">
        <f>DATE(2013,5,12) + TIME(7,44,35)</f>
        <v>41406.322627314818</v>
      </c>
      <c r="C1314">
        <v>80</v>
      </c>
      <c r="D1314">
        <v>79.940605164000004</v>
      </c>
      <c r="E1314">
        <v>40</v>
      </c>
      <c r="F1314">
        <v>39.349967956999997</v>
      </c>
      <c r="G1314">
        <v>1369.9876709</v>
      </c>
      <c r="H1314">
        <v>1359.2862548999999</v>
      </c>
      <c r="I1314">
        <v>1297.972168</v>
      </c>
      <c r="J1314">
        <v>1282.3439940999999</v>
      </c>
      <c r="K1314">
        <v>1650</v>
      </c>
      <c r="L1314">
        <v>0</v>
      </c>
      <c r="M1314">
        <v>0</v>
      </c>
      <c r="N1314">
        <v>1650</v>
      </c>
    </row>
    <row r="1315" spans="1:14" x14ac:dyDescent="0.25">
      <c r="A1315">
        <v>1107.699073</v>
      </c>
      <c r="B1315" s="1">
        <f>DATE(2013,5,12) + TIME(16,46,39)</f>
        <v>41406.699062500003</v>
      </c>
      <c r="C1315">
        <v>80</v>
      </c>
      <c r="D1315">
        <v>79.940864563000005</v>
      </c>
      <c r="E1315">
        <v>40</v>
      </c>
      <c r="F1315">
        <v>39.332420349000003</v>
      </c>
      <c r="G1315">
        <v>1369.9422606999999</v>
      </c>
      <c r="H1315">
        <v>1359.2510986</v>
      </c>
      <c r="I1315">
        <v>1297.9699707</v>
      </c>
      <c r="J1315">
        <v>1282.3399658000001</v>
      </c>
      <c r="K1315">
        <v>1650</v>
      </c>
      <c r="L1315">
        <v>0</v>
      </c>
      <c r="M1315">
        <v>0</v>
      </c>
      <c r="N1315">
        <v>1650</v>
      </c>
    </row>
    <row r="1316" spans="1:14" x14ac:dyDescent="0.25">
      <c r="A1316">
        <v>1108.0833339999999</v>
      </c>
      <c r="B1316" s="1">
        <f>DATE(2013,5,13) + TIME(2,0,0)</f>
        <v>41407.083333333336</v>
      </c>
      <c r="C1316">
        <v>80</v>
      </c>
      <c r="D1316">
        <v>79.941070557000003</v>
      </c>
      <c r="E1316">
        <v>40</v>
      </c>
      <c r="F1316">
        <v>39.314605712999999</v>
      </c>
      <c r="G1316">
        <v>1369.8973389</v>
      </c>
      <c r="H1316">
        <v>1359.2161865</v>
      </c>
      <c r="I1316">
        <v>1297.9676514</v>
      </c>
      <c r="J1316">
        <v>1282.3359375</v>
      </c>
      <c r="K1316">
        <v>1650</v>
      </c>
      <c r="L1316">
        <v>0</v>
      </c>
      <c r="M1316">
        <v>0</v>
      </c>
      <c r="N1316">
        <v>1650</v>
      </c>
    </row>
    <row r="1317" spans="1:14" x14ac:dyDescent="0.25">
      <c r="A1317">
        <v>1108.4764740000001</v>
      </c>
      <c r="B1317" s="1">
        <f>DATE(2013,5,13) + TIME(11,26,7)</f>
        <v>41407.476469907408</v>
      </c>
      <c r="C1317">
        <v>80</v>
      </c>
      <c r="D1317">
        <v>79.941246032999999</v>
      </c>
      <c r="E1317">
        <v>40</v>
      </c>
      <c r="F1317">
        <v>39.296489716000004</v>
      </c>
      <c r="G1317">
        <v>1369.8525391000001</v>
      </c>
      <c r="H1317">
        <v>1359.1813964999999</v>
      </c>
      <c r="I1317">
        <v>1297.965332</v>
      </c>
      <c r="J1317">
        <v>1282.3317870999999</v>
      </c>
      <c r="K1317">
        <v>1650</v>
      </c>
      <c r="L1317">
        <v>0</v>
      </c>
      <c r="M1317">
        <v>0</v>
      </c>
      <c r="N1317">
        <v>1650</v>
      </c>
    </row>
    <row r="1318" spans="1:14" x14ac:dyDescent="0.25">
      <c r="A1318">
        <v>1108.8796339999999</v>
      </c>
      <c r="B1318" s="1">
        <f>DATE(2013,5,13) + TIME(21,6,40)</f>
        <v>41407.879629629628</v>
      </c>
      <c r="C1318">
        <v>80</v>
      </c>
      <c r="D1318">
        <v>79.941390991000006</v>
      </c>
      <c r="E1318">
        <v>40</v>
      </c>
      <c r="F1318">
        <v>39.278026580999999</v>
      </c>
      <c r="G1318">
        <v>1369.8078613</v>
      </c>
      <c r="H1318">
        <v>1359.1468506000001</v>
      </c>
      <c r="I1318">
        <v>1297.9628906</v>
      </c>
      <c r="J1318">
        <v>1282.3275146000001</v>
      </c>
      <c r="K1318">
        <v>1650</v>
      </c>
      <c r="L1318">
        <v>0</v>
      </c>
      <c r="M1318">
        <v>0</v>
      </c>
      <c r="N1318">
        <v>1650</v>
      </c>
    </row>
    <row r="1319" spans="1:14" x14ac:dyDescent="0.25">
      <c r="A1319">
        <v>1109.2940599999999</v>
      </c>
      <c r="B1319" s="1">
        <f>DATE(2013,5,14) + TIME(7,3,26)</f>
        <v>41408.294050925928</v>
      </c>
      <c r="C1319">
        <v>80</v>
      </c>
      <c r="D1319">
        <v>79.941505432</v>
      </c>
      <c r="E1319">
        <v>40</v>
      </c>
      <c r="F1319">
        <v>39.259170531999999</v>
      </c>
      <c r="G1319">
        <v>1369.7630615</v>
      </c>
      <c r="H1319">
        <v>1359.1121826000001</v>
      </c>
      <c r="I1319">
        <v>1297.9603271000001</v>
      </c>
      <c r="J1319">
        <v>1282.3231201000001</v>
      </c>
      <c r="K1319">
        <v>1650</v>
      </c>
      <c r="L1319">
        <v>0</v>
      </c>
      <c r="M1319">
        <v>0</v>
      </c>
      <c r="N1319">
        <v>1650</v>
      </c>
    </row>
    <row r="1320" spans="1:14" x14ac:dyDescent="0.25">
      <c r="A1320">
        <v>1109.721137</v>
      </c>
      <c r="B1320" s="1">
        <f>DATE(2013,5,14) + TIME(17,18,26)</f>
        <v>41408.721134259256</v>
      </c>
      <c r="C1320">
        <v>80</v>
      </c>
      <c r="D1320">
        <v>79.941596985000004</v>
      </c>
      <c r="E1320">
        <v>40</v>
      </c>
      <c r="F1320">
        <v>39.239875793000003</v>
      </c>
      <c r="G1320">
        <v>1369.7181396000001</v>
      </c>
      <c r="H1320">
        <v>1359.0775146000001</v>
      </c>
      <c r="I1320">
        <v>1297.9577637</v>
      </c>
      <c r="J1320">
        <v>1282.3184814000001</v>
      </c>
      <c r="K1320">
        <v>1650</v>
      </c>
      <c r="L1320">
        <v>0</v>
      </c>
      <c r="M1320">
        <v>0</v>
      </c>
      <c r="N1320">
        <v>1650</v>
      </c>
    </row>
    <row r="1321" spans="1:14" x14ac:dyDescent="0.25">
      <c r="A1321">
        <v>1110.1625939999999</v>
      </c>
      <c r="B1321" s="1">
        <f>DATE(2013,5,15) + TIME(3,54,8)</f>
        <v>41409.162592592591</v>
      </c>
      <c r="C1321">
        <v>80</v>
      </c>
      <c r="D1321">
        <v>79.941673279</v>
      </c>
      <c r="E1321">
        <v>40</v>
      </c>
      <c r="F1321">
        <v>39.220077515</v>
      </c>
      <c r="G1321">
        <v>1369.6730957</v>
      </c>
      <c r="H1321">
        <v>1359.0427245999999</v>
      </c>
      <c r="I1321">
        <v>1297.9550781</v>
      </c>
      <c r="J1321">
        <v>1282.3138428</v>
      </c>
      <c r="K1321">
        <v>1650</v>
      </c>
      <c r="L1321">
        <v>0</v>
      </c>
      <c r="M1321">
        <v>0</v>
      </c>
      <c r="N1321">
        <v>1650</v>
      </c>
    </row>
    <row r="1322" spans="1:14" x14ac:dyDescent="0.25">
      <c r="A1322">
        <v>1110.620132</v>
      </c>
      <c r="B1322" s="1">
        <f>DATE(2013,5,15) + TIME(14,52,59)</f>
        <v>41409.620127314818</v>
      </c>
      <c r="C1322">
        <v>80</v>
      </c>
      <c r="D1322">
        <v>79.941734314000001</v>
      </c>
      <c r="E1322">
        <v>40</v>
      </c>
      <c r="F1322">
        <v>39.199710846000002</v>
      </c>
      <c r="G1322">
        <v>1369.6275635</v>
      </c>
      <c r="H1322">
        <v>1359.0075684000001</v>
      </c>
      <c r="I1322">
        <v>1297.9523925999999</v>
      </c>
      <c r="J1322">
        <v>1282.3089600000001</v>
      </c>
      <c r="K1322">
        <v>1650</v>
      </c>
      <c r="L1322">
        <v>0</v>
      </c>
      <c r="M1322">
        <v>0</v>
      </c>
      <c r="N1322">
        <v>1650</v>
      </c>
    </row>
    <row r="1323" spans="1:14" x14ac:dyDescent="0.25">
      <c r="A1323">
        <v>1111.0936180000001</v>
      </c>
      <c r="B1323" s="1">
        <f>DATE(2013,5,16) + TIME(2,14,48)</f>
        <v>41410.093611111108</v>
      </c>
      <c r="C1323">
        <v>80</v>
      </c>
      <c r="D1323">
        <v>79.941780089999995</v>
      </c>
      <c r="E1323">
        <v>40</v>
      </c>
      <c r="F1323">
        <v>39.178775786999999</v>
      </c>
      <c r="G1323">
        <v>1369.5814209</v>
      </c>
      <c r="H1323">
        <v>1358.972168</v>
      </c>
      <c r="I1323">
        <v>1297.9494629000001</v>
      </c>
      <c r="J1323">
        <v>1282.3038329999999</v>
      </c>
      <c r="K1323">
        <v>1650</v>
      </c>
      <c r="L1323">
        <v>0</v>
      </c>
      <c r="M1323">
        <v>0</v>
      </c>
      <c r="N1323">
        <v>1650</v>
      </c>
    </row>
    <row r="1324" spans="1:14" x14ac:dyDescent="0.25">
      <c r="A1324">
        <v>1111.580177</v>
      </c>
      <c r="B1324" s="1">
        <f>DATE(2013,5,16) + TIME(13,55,27)</f>
        <v>41410.58017361111</v>
      </c>
      <c r="C1324">
        <v>80</v>
      </c>
      <c r="D1324">
        <v>79.941810607999997</v>
      </c>
      <c r="E1324">
        <v>40</v>
      </c>
      <c r="F1324">
        <v>39.157356262</v>
      </c>
      <c r="G1324">
        <v>1369.5349120999999</v>
      </c>
      <c r="H1324">
        <v>1358.9362793</v>
      </c>
      <c r="I1324">
        <v>1297.9465332</v>
      </c>
      <c r="J1324">
        <v>1282.2985839999999</v>
      </c>
      <c r="K1324">
        <v>1650</v>
      </c>
      <c r="L1324">
        <v>0</v>
      </c>
      <c r="M1324">
        <v>0</v>
      </c>
      <c r="N1324">
        <v>1650</v>
      </c>
    </row>
    <row r="1325" spans="1:14" x14ac:dyDescent="0.25">
      <c r="A1325">
        <v>1112.0774530000001</v>
      </c>
      <c r="B1325" s="1">
        <f>DATE(2013,5,17) + TIME(1,51,31)</f>
        <v>41411.07744212963</v>
      </c>
      <c r="C1325">
        <v>80</v>
      </c>
      <c r="D1325">
        <v>79.941833496000001</v>
      </c>
      <c r="E1325">
        <v>40</v>
      </c>
      <c r="F1325">
        <v>39.135528563999998</v>
      </c>
      <c r="G1325">
        <v>1369.4881591999999</v>
      </c>
      <c r="H1325">
        <v>1358.9003906</v>
      </c>
      <c r="I1325">
        <v>1297.9433594</v>
      </c>
      <c r="J1325">
        <v>1282.2930908000001</v>
      </c>
      <c r="K1325">
        <v>1650</v>
      </c>
      <c r="L1325">
        <v>0</v>
      </c>
      <c r="M1325">
        <v>0</v>
      </c>
      <c r="N1325">
        <v>1650</v>
      </c>
    </row>
    <row r="1326" spans="1:14" x14ac:dyDescent="0.25">
      <c r="A1326">
        <v>1112.5867249999999</v>
      </c>
      <c r="B1326" s="1">
        <f>DATE(2013,5,17) + TIME(14,4,53)</f>
        <v>41411.586724537039</v>
      </c>
      <c r="C1326">
        <v>80</v>
      </c>
      <c r="D1326">
        <v>79.941848754999995</v>
      </c>
      <c r="E1326">
        <v>40</v>
      </c>
      <c r="F1326">
        <v>39.113269805999998</v>
      </c>
      <c r="G1326">
        <v>1369.4415283000001</v>
      </c>
      <c r="H1326">
        <v>1358.864624</v>
      </c>
      <c r="I1326">
        <v>1297.9401855000001</v>
      </c>
      <c r="J1326">
        <v>1282.2874756000001</v>
      </c>
      <c r="K1326">
        <v>1650</v>
      </c>
      <c r="L1326">
        <v>0</v>
      </c>
      <c r="M1326">
        <v>0</v>
      </c>
      <c r="N1326">
        <v>1650</v>
      </c>
    </row>
    <row r="1327" spans="1:14" x14ac:dyDescent="0.25">
      <c r="A1327">
        <v>1113.109314</v>
      </c>
      <c r="B1327" s="1">
        <f>DATE(2013,5,18) + TIME(2,37,24)</f>
        <v>41412.109305555554</v>
      </c>
      <c r="C1327">
        <v>80</v>
      </c>
      <c r="D1327">
        <v>79.941856384000005</v>
      </c>
      <c r="E1327">
        <v>40</v>
      </c>
      <c r="F1327">
        <v>39.090549469000003</v>
      </c>
      <c r="G1327">
        <v>1369.3950195</v>
      </c>
      <c r="H1327">
        <v>1358.8288574000001</v>
      </c>
      <c r="I1327">
        <v>1297.9368896000001</v>
      </c>
      <c r="J1327">
        <v>1282.2817382999999</v>
      </c>
      <c r="K1327">
        <v>1650</v>
      </c>
      <c r="L1327">
        <v>0</v>
      </c>
      <c r="M1327">
        <v>0</v>
      </c>
      <c r="N1327">
        <v>1650</v>
      </c>
    </row>
    <row r="1328" spans="1:14" x14ac:dyDescent="0.25">
      <c r="A1328">
        <v>1113.6377649999999</v>
      </c>
      <c r="B1328" s="1">
        <f>DATE(2013,5,18) + TIME(15,18,22)</f>
        <v>41412.637754629628</v>
      </c>
      <c r="C1328">
        <v>80</v>
      </c>
      <c r="D1328">
        <v>79.941856384000005</v>
      </c>
      <c r="E1328">
        <v>40</v>
      </c>
      <c r="F1328">
        <v>39.067592621000003</v>
      </c>
      <c r="G1328">
        <v>1369.3482666</v>
      </c>
      <c r="H1328">
        <v>1358.7929687999999</v>
      </c>
      <c r="I1328">
        <v>1297.9334716999999</v>
      </c>
      <c r="J1328">
        <v>1282.2757568</v>
      </c>
      <c r="K1328">
        <v>1650</v>
      </c>
      <c r="L1328">
        <v>0</v>
      </c>
      <c r="M1328">
        <v>0</v>
      </c>
      <c r="N1328">
        <v>1650</v>
      </c>
    </row>
    <row r="1329" spans="1:14" x14ac:dyDescent="0.25">
      <c r="A1329">
        <v>1114.1716550000001</v>
      </c>
      <c r="B1329" s="1">
        <f>DATE(2013,5,19) + TIME(4,7,10)</f>
        <v>41413.171643518515</v>
      </c>
      <c r="C1329">
        <v>80</v>
      </c>
      <c r="D1329">
        <v>79.941848754999995</v>
      </c>
      <c r="E1329">
        <v>40</v>
      </c>
      <c r="F1329">
        <v>39.044441223</v>
      </c>
      <c r="G1329">
        <v>1369.302124</v>
      </c>
      <c r="H1329">
        <v>1358.7575684000001</v>
      </c>
      <c r="I1329">
        <v>1297.9299315999999</v>
      </c>
      <c r="J1329">
        <v>1282.2696533000001</v>
      </c>
      <c r="K1329">
        <v>1650</v>
      </c>
      <c r="L1329">
        <v>0</v>
      </c>
      <c r="M1329">
        <v>0</v>
      </c>
      <c r="N1329">
        <v>1650</v>
      </c>
    </row>
    <row r="1330" spans="1:14" x14ac:dyDescent="0.25">
      <c r="A1330">
        <v>1114.712415</v>
      </c>
      <c r="B1330" s="1">
        <f>DATE(2013,5,19) + TIME(17,5,52)</f>
        <v>41413.712407407409</v>
      </c>
      <c r="C1330">
        <v>80</v>
      </c>
      <c r="D1330">
        <v>79.941841124999996</v>
      </c>
      <c r="E1330">
        <v>40</v>
      </c>
      <c r="F1330">
        <v>39.021076202000003</v>
      </c>
      <c r="G1330">
        <v>1369.2564697</v>
      </c>
      <c r="H1330">
        <v>1358.7226562000001</v>
      </c>
      <c r="I1330">
        <v>1297.9263916</v>
      </c>
      <c r="J1330">
        <v>1282.2635498</v>
      </c>
      <c r="K1330">
        <v>1650</v>
      </c>
      <c r="L1330">
        <v>0</v>
      </c>
      <c r="M1330">
        <v>0</v>
      </c>
      <c r="N1330">
        <v>1650</v>
      </c>
    </row>
    <row r="1331" spans="1:14" x14ac:dyDescent="0.25">
      <c r="A1331">
        <v>1115.261495</v>
      </c>
      <c r="B1331" s="1">
        <f>DATE(2013,5,20) + TIME(6,16,33)</f>
        <v>41414.261493055557</v>
      </c>
      <c r="C1331">
        <v>80</v>
      </c>
      <c r="D1331">
        <v>79.941825867000006</v>
      </c>
      <c r="E1331">
        <v>40</v>
      </c>
      <c r="F1331">
        <v>38.997463226000001</v>
      </c>
      <c r="G1331">
        <v>1369.2114257999999</v>
      </c>
      <c r="H1331">
        <v>1358.6881103999999</v>
      </c>
      <c r="I1331">
        <v>1297.9227295000001</v>
      </c>
      <c r="J1331">
        <v>1282.2572021000001</v>
      </c>
      <c r="K1331">
        <v>1650</v>
      </c>
      <c r="L1331">
        <v>0</v>
      </c>
      <c r="M1331">
        <v>0</v>
      </c>
      <c r="N1331">
        <v>1650</v>
      </c>
    </row>
    <row r="1332" spans="1:14" x14ac:dyDescent="0.25">
      <c r="A1332">
        <v>1115.8203940000001</v>
      </c>
      <c r="B1332" s="1">
        <f>DATE(2013,5,20) + TIME(19,41,22)</f>
        <v>41414.820393518516</v>
      </c>
      <c r="C1332">
        <v>80</v>
      </c>
      <c r="D1332">
        <v>79.941810607999997</v>
      </c>
      <c r="E1332">
        <v>40</v>
      </c>
      <c r="F1332">
        <v>38.973560333000002</v>
      </c>
      <c r="G1332">
        <v>1369.1665039</v>
      </c>
      <c r="H1332">
        <v>1358.6538086</v>
      </c>
      <c r="I1332">
        <v>1297.9190673999999</v>
      </c>
      <c r="J1332">
        <v>1282.2507324000001</v>
      </c>
      <c r="K1332">
        <v>1650</v>
      </c>
      <c r="L1332">
        <v>0</v>
      </c>
      <c r="M1332">
        <v>0</v>
      </c>
      <c r="N1332">
        <v>1650</v>
      </c>
    </row>
    <row r="1333" spans="1:14" x14ac:dyDescent="0.25">
      <c r="A1333">
        <v>1116.3906930000001</v>
      </c>
      <c r="B1333" s="1">
        <f>DATE(2013,5,21) + TIME(9,22,35)</f>
        <v>41415.390682870369</v>
      </c>
      <c r="C1333">
        <v>80</v>
      </c>
      <c r="D1333">
        <v>79.941787719999994</v>
      </c>
      <c r="E1333">
        <v>40</v>
      </c>
      <c r="F1333">
        <v>38.949325561999999</v>
      </c>
      <c r="G1333">
        <v>1369.1219481999999</v>
      </c>
      <c r="H1333">
        <v>1358.6196289</v>
      </c>
      <c r="I1333">
        <v>1297.9152832</v>
      </c>
      <c r="J1333">
        <v>1282.2441406</v>
      </c>
      <c r="K1333">
        <v>1650</v>
      </c>
      <c r="L1333">
        <v>0</v>
      </c>
      <c r="M1333">
        <v>0</v>
      </c>
      <c r="N1333">
        <v>1650</v>
      </c>
    </row>
    <row r="1334" spans="1:14" x14ac:dyDescent="0.25">
      <c r="A1334">
        <v>1116.974082</v>
      </c>
      <c r="B1334" s="1">
        <f>DATE(2013,5,21) + TIME(23,22,40)</f>
        <v>41415.974074074074</v>
      </c>
      <c r="C1334">
        <v>80</v>
      </c>
      <c r="D1334">
        <v>79.941772460999999</v>
      </c>
      <c r="E1334">
        <v>40</v>
      </c>
      <c r="F1334">
        <v>38.924697876000003</v>
      </c>
      <c r="G1334">
        <v>1369.0772704999999</v>
      </c>
      <c r="H1334">
        <v>1358.5854492000001</v>
      </c>
      <c r="I1334">
        <v>1297.911499</v>
      </c>
      <c r="J1334">
        <v>1282.2373047000001</v>
      </c>
      <c r="K1334">
        <v>1650</v>
      </c>
      <c r="L1334">
        <v>0</v>
      </c>
      <c r="M1334">
        <v>0</v>
      </c>
      <c r="N1334">
        <v>1650</v>
      </c>
    </row>
    <row r="1335" spans="1:14" x14ac:dyDescent="0.25">
      <c r="A1335">
        <v>1117.5701959999999</v>
      </c>
      <c r="B1335" s="1">
        <f>DATE(2013,5,22) + TIME(13,41,4)</f>
        <v>41416.570185185185</v>
      </c>
      <c r="C1335">
        <v>80</v>
      </c>
      <c r="D1335">
        <v>79.941749572999996</v>
      </c>
      <c r="E1335">
        <v>40</v>
      </c>
      <c r="F1335">
        <v>38.899681090999998</v>
      </c>
      <c r="G1335">
        <v>1369.0325928</v>
      </c>
      <c r="H1335">
        <v>1358.5513916</v>
      </c>
      <c r="I1335">
        <v>1297.9074707</v>
      </c>
      <c r="J1335">
        <v>1282.2302245999999</v>
      </c>
      <c r="K1335">
        <v>1650</v>
      </c>
      <c r="L1335">
        <v>0</v>
      </c>
      <c r="M1335">
        <v>0</v>
      </c>
      <c r="N1335">
        <v>1650</v>
      </c>
    </row>
    <row r="1336" spans="1:14" x14ac:dyDescent="0.25">
      <c r="A1336">
        <v>1118.17742</v>
      </c>
      <c r="B1336" s="1">
        <f>DATE(2013,5,23) + TIME(4,15,29)</f>
        <v>41417.177418981482</v>
      </c>
      <c r="C1336">
        <v>80</v>
      </c>
      <c r="D1336">
        <v>79.941726685000006</v>
      </c>
      <c r="E1336">
        <v>40</v>
      </c>
      <c r="F1336">
        <v>38.874313354000002</v>
      </c>
      <c r="G1336">
        <v>1368.9879149999999</v>
      </c>
      <c r="H1336">
        <v>1358.5172118999999</v>
      </c>
      <c r="I1336">
        <v>1297.9033202999999</v>
      </c>
      <c r="J1336">
        <v>1282.2230225000001</v>
      </c>
      <c r="K1336">
        <v>1650</v>
      </c>
      <c r="L1336">
        <v>0</v>
      </c>
      <c r="M1336">
        <v>0</v>
      </c>
      <c r="N1336">
        <v>1650</v>
      </c>
    </row>
    <row r="1337" spans="1:14" x14ac:dyDescent="0.25">
      <c r="A1337">
        <v>1118.79747</v>
      </c>
      <c r="B1337" s="1">
        <f>DATE(2013,5,23) + TIME(19,8,21)</f>
        <v>41417.797465277778</v>
      </c>
      <c r="C1337">
        <v>80</v>
      </c>
      <c r="D1337">
        <v>79.941696167000003</v>
      </c>
      <c r="E1337">
        <v>40</v>
      </c>
      <c r="F1337">
        <v>38.848552703999999</v>
      </c>
      <c r="G1337">
        <v>1368.9433594</v>
      </c>
      <c r="H1337">
        <v>1358.4831543</v>
      </c>
      <c r="I1337">
        <v>1297.8991699000001</v>
      </c>
      <c r="J1337">
        <v>1282.2155762</v>
      </c>
      <c r="K1337">
        <v>1650</v>
      </c>
      <c r="L1337">
        <v>0</v>
      </c>
      <c r="M1337">
        <v>0</v>
      </c>
      <c r="N1337">
        <v>1650</v>
      </c>
    </row>
    <row r="1338" spans="1:14" x14ac:dyDescent="0.25">
      <c r="A1338">
        <v>1119.432145</v>
      </c>
      <c r="B1338" s="1">
        <f>DATE(2013,5,24) + TIME(10,22,17)</f>
        <v>41418.432141203702</v>
      </c>
      <c r="C1338">
        <v>80</v>
      </c>
      <c r="D1338">
        <v>79.941673279</v>
      </c>
      <c r="E1338">
        <v>40</v>
      </c>
      <c r="F1338">
        <v>38.822345734000002</v>
      </c>
      <c r="G1338">
        <v>1368.8986815999999</v>
      </c>
      <c r="H1338">
        <v>1358.4490966999999</v>
      </c>
      <c r="I1338">
        <v>1297.8947754000001</v>
      </c>
      <c r="J1338">
        <v>1282.2078856999999</v>
      </c>
      <c r="K1338">
        <v>1650</v>
      </c>
      <c r="L1338">
        <v>0</v>
      </c>
      <c r="M1338">
        <v>0</v>
      </c>
      <c r="N1338">
        <v>1650</v>
      </c>
    </row>
    <row r="1339" spans="1:14" x14ac:dyDescent="0.25">
      <c r="A1339">
        <v>1120.083392</v>
      </c>
      <c r="B1339" s="1">
        <f>DATE(2013,5,25) + TIME(2,0,5)</f>
        <v>41419.083391203705</v>
      </c>
      <c r="C1339">
        <v>80</v>
      </c>
      <c r="D1339">
        <v>79.941642760999997</v>
      </c>
      <c r="E1339">
        <v>40</v>
      </c>
      <c r="F1339">
        <v>38.795635222999998</v>
      </c>
      <c r="G1339">
        <v>1368.8540039</v>
      </c>
      <c r="H1339">
        <v>1358.4149170000001</v>
      </c>
      <c r="I1339">
        <v>1297.8903809000001</v>
      </c>
      <c r="J1339">
        <v>1282.1999512</v>
      </c>
      <c r="K1339">
        <v>1650</v>
      </c>
      <c r="L1339">
        <v>0</v>
      </c>
      <c r="M1339">
        <v>0</v>
      </c>
      <c r="N1339">
        <v>1650</v>
      </c>
    </row>
    <row r="1340" spans="1:14" x14ac:dyDescent="0.25">
      <c r="A1340">
        <v>1120.753375</v>
      </c>
      <c r="B1340" s="1">
        <f>DATE(2013,5,25) + TIME(18,4,51)</f>
        <v>41419.753368055557</v>
      </c>
      <c r="C1340">
        <v>80</v>
      </c>
      <c r="D1340">
        <v>79.941619872999993</v>
      </c>
      <c r="E1340">
        <v>40</v>
      </c>
      <c r="F1340">
        <v>38.768352509000003</v>
      </c>
      <c r="G1340">
        <v>1368.809082</v>
      </c>
      <c r="H1340">
        <v>1358.3806152</v>
      </c>
      <c r="I1340">
        <v>1297.8857422000001</v>
      </c>
      <c r="J1340">
        <v>1282.1917725000001</v>
      </c>
      <c r="K1340">
        <v>1650</v>
      </c>
      <c r="L1340">
        <v>0</v>
      </c>
      <c r="M1340">
        <v>0</v>
      </c>
      <c r="N1340">
        <v>1650</v>
      </c>
    </row>
    <row r="1341" spans="1:14" x14ac:dyDescent="0.25">
      <c r="A1341">
        <v>1121.4435100000001</v>
      </c>
      <c r="B1341" s="1">
        <f>DATE(2013,5,26) + TIME(10,38,39)</f>
        <v>41420.443506944444</v>
      </c>
      <c r="C1341">
        <v>80</v>
      </c>
      <c r="D1341">
        <v>79.941589355000005</v>
      </c>
      <c r="E1341">
        <v>40</v>
      </c>
      <c r="F1341">
        <v>38.740436553999999</v>
      </c>
      <c r="G1341">
        <v>1368.7636719</v>
      </c>
      <c r="H1341">
        <v>1358.3459473</v>
      </c>
      <c r="I1341">
        <v>1297.8808594</v>
      </c>
      <c r="J1341">
        <v>1282.1831055</v>
      </c>
      <c r="K1341">
        <v>1650</v>
      </c>
      <c r="L1341">
        <v>0</v>
      </c>
      <c r="M1341">
        <v>0</v>
      </c>
      <c r="N1341">
        <v>1650</v>
      </c>
    </row>
    <row r="1342" spans="1:14" x14ac:dyDescent="0.25">
      <c r="A1342">
        <v>1122.136649</v>
      </c>
      <c r="B1342" s="1">
        <f>DATE(2013,5,27) + TIME(3,16,46)</f>
        <v>41421.136643518519</v>
      </c>
      <c r="C1342">
        <v>80</v>
      </c>
      <c r="D1342">
        <v>79.941558838000006</v>
      </c>
      <c r="E1342">
        <v>40</v>
      </c>
      <c r="F1342">
        <v>38.712326050000001</v>
      </c>
      <c r="G1342">
        <v>1368.7180175999999</v>
      </c>
      <c r="H1342">
        <v>1358.3110352000001</v>
      </c>
      <c r="I1342">
        <v>1297.8758545000001</v>
      </c>
      <c r="J1342">
        <v>1282.1743164</v>
      </c>
      <c r="K1342">
        <v>1650</v>
      </c>
      <c r="L1342">
        <v>0</v>
      </c>
      <c r="M1342">
        <v>0</v>
      </c>
      <c r="N1342">
        <v>1650</v>
      </c>
    </row>
    <row r="1343" spans="1:14" x14ac:dyDescent="0.25">
      <c r="A1343">
        <v>1122.8344279999999</v>
      </c>
      <c r="B1343" s="1">
        <f>DATE(2013,5,27) + TIME(20,1,34)</f>
        <v>41421.834421296298</v>
      </c>
      <c r="C1343">
        <v>80</v>
      </c>
      <c r="D1343">
        <v>79.941535950000002</v>
      </c>
      <c r="E1343">
        <v>40</v>
      </c>
      <c r="F1343">
        <v>38.684047698999997</v>
      </c>
      <c r="G1343">
        <v>1368.6729736</v>
      </c>
      <c r="H1343">
        <v>1358.2766113</v>
      </c>
      <c r="I1343">
        <v>1297.8707274999999</v>
      </c>
      <c r="J1343">
        <v>1282.1652832</v>
      </c>
      <c r="K1343">
        <v>1650</v>
      </c>
      <c r="L1343">
        <v>0</v>
      </c>
      <c r="M1343">
        <v>0</v>
      </c>
      <c r="N1343">
        <v>1650</v>
      </c>
    </row>
    <row r="1344" spans="1:14" x14ac:dyDescent="0.25">
      <c r="A1344">
        <v>1123.5387740000001</v>
      </c>
      <c r="B1344" s="1">
        <f>DATE(2013,5,28) + TIME(12,55,50)</f>
        <v>41422.538773148146</v>
      </c>
      <c r="C1344">
        <v>80</v>
      </c>
      <c r="D1344">
        <v>79.941505432</v>
      </c>
      <c r="E1344">
        <v>40</v>
      </c>
      <c r="F1344">
        <v>38.655593871999997</v>
      </c>
      <c r="G1344">
        <v>1368.628418</v>
      </c>
      <c r="H1344">
        <v>1358.2426757999999</v>
      </c>
      <c r="I1344">
        <v>1297.8654785000001</v>
      </c>
      <c r="J1344">
        <v>1282.1560059000001</v>
      </c>
      <c r="K1344">
        <v>1650</v>
      </c>
      <c r="L1344">
        <v>0</v>
      </c>
      <c r="M1344">
        <v>0</v>
      </c>
      <c r="N1344">
        <v>1650</v>
      </c>
    </row>
    <row r="1345" spans="1:14" x14ac:dyDescent="0.25">
      <c r="A1345">
        <v>1124.2516189999999</v>
      </c>
      <c r="B1345" s="1">
        <f>DATE(2013,5,29) + TIME(6,2,19)</f>
        <v>41423.251608796294</v>
      </c>
      <c r="C1345">
        <v>80</v>
      </c>
      <c r="D1345">
        <v>79.941482543999996</v>
      </c>
      <c r="E1345">
        <v>40</v>
      </c>
      <c r="F1345">
        <v>38.626934052000003</v>
      </c>
      <c r="G1345">
        <v>1368.5844727000001</v>
      </c>
      <c r="H1345">
        <v>1358.2091064000001</v>
      </c>
      <c r="I1345">
        <v>1297.8602295000001</v>
      </c>
      <c r="J1345">
        <v>1282.1466064000001</v>
      </c>
      <c r="K1345">
        <v>1650</v>
      </c>
      <c r="L1345">
        <v>0</v>
      </c>
      <c r="M1345">
        <v>0</v>
      </c>
      <c r="N1345">
        <v>1650</v>
      </c>
    </row>
    <row r="1346" spans="1:14" x14ac:dyDescent="0.25">
      <c r="A1346">
        <v>1124.974933</v>
      </c>
      <c r="B1346" s="1">
        <f>DATE(2013,5,29) + TIME(23,23,54)</f>
        <v>41423.974930555552</v>
      </c>
      <c r="C1346">
        <v>80</v>
      </c>
      <c r="D1346">
        <v>79.941452025999993</v>
      </c>
      <c r="E1346">
        <v>40</v>
      </c>
      <c r="F1346">
        <v>38.598014831999997</v>
      </c>
      <c r="G1346">
        <v>1368.5407714999999</v>
      </c>
      <c r="H1346">
        <v>1358.1756591999999</v>
      </c>
      <c r="I1346">
        <v>1297.8548584</v>
      </c>
      <c r="J1346">
        <v>1282.1369629000001</v>
      </c>
      <c r="K1346">
        <v>1650</v>
      </c>
      <c r="L1346">
        <v>0</v>
      </c>
      <c r="M1346">
        <v>0</v>
      </c>
      <c r="N1346">
        <v>1650</v>
      </c>
    </row>
    <row r="1347" spans="1:14" x14ac:dyDescent="0.25">
      <c r="A1347">
        <v>1125.710771</v>
      </c>
      <c r="B1347" s="1">
        <f>DATE(2013,5,30) + TIME(17,3,30)</f>
        <v>41424.710763888892</v>
      </c>
      <c r="C1347">
        <v>80</v>
      </c>
      <c r="D1347">
        <v>79.941429138000004</v>
      </c>
      <c r="E1347">
        <v>40</v>
      </c>
      <c r="F1347">
        <v>38.568782806000002</v>
      </c>
      <c r="G1347">
        <v>1368.4971923999999</v>
      </c>
      <c r="H1347">
        <v>1358.1424560999999</v>
      </c>
      <c r="I1347">
        <v>1297.8493652</v>
      </c>
      <c r="J1347">
        <v>1282.1270752</v>
      </c>
      <c r="K1347">
        <v>1650</v>
      </c>
      <c r="L1347">
        <v>0</v>
      </c>
      <c r="M1347">
        <v>0</v>
      </c>
      <c r="N1347">
        <v>1650</v>
      </c>
    </row>
    <row r="1348" spans="1:14" x14ac:dyDescent="0.25">
      <c r="A1348">
        <v>1126.461315</v>
      </c>
      <c r="B1348" s="1">
        <f>DATE(2013,5,31) + TIME(11,4,17)</f>
        <v>41425.46130787037</v>
      </c>
      <c r="C1348">
        <v>80</v>
      </c>
      <c r="D1348">
        <v>79.941398621000005</v>
      </c>
      <c r="E1348">
        <v>40</v>
      </c>
      <c r="F1348">
        <v>38.539165496999999</v>
      </c>
      <c r="G1348">
        <v>1368.4537353999999</v>
      </c>
      <c r="H1348">
        <v>1358.1092529</v>
      </c>
      <c r="I1348">
        <v>1297.8436279</v>
      </c>
      <c r="J1348">
        <v>1282.1168213000001</v>
      </c>
      <c r="K1348">
        <v>1650</v>
      </c>
      <c r="L1348">
        <v>0</v>
      </c>
      <c r="M1348">
        <v>0</v>
      </c>
      <c r="N1348">
        <v>1650</v>
      </c>
    </row>
    <row r="1349" spans="1:14" x14ac:dyDescent="0.25">
      <c r="A1349">
        <v>1127</v>
      </c>
      <c r="B1349" s="1">
        <f>DATE(2013,6,1) + TIME(0,0,0)</f>
        <v>41426</v>
      </c>
      <c r="C1349">
        <v>80</v>
      </c>
      <c r="D1349">
        <v>79.941375731999997</v>
      </c>
      <c r="E1349">
        <v>40</v>
      </c>
      <c r="F1349">
        <v>38.515369415000002</v>
      </c>
      <c r="G1349">
        <v>1368.4101562000001</v>
      </c>
      <c r="H1349">
        <v>1358.0759277</v>
      </c>
      <c r="I1349">
        <v>1297.8371582</v>
      </c>
      <c r="J1349">
        <v>1282.1068115</v>
      </c>
      <c r="K1349">
        <v>1650</v>
      </c>
      <c r="L1349">
        <v>0</v>
      </c>
      <c r="M1349">
        <v>0</v>
      </c>
      <c r="N1349">
        <v>1650</v>
      </c>
    </row>
    <row r="1350" spans="1:14" x14ac:dyDescent="0.25">
      <c r="A1350">
        <v>1127.767593</v>
      </c>
      <c r="B1350" s="1">
        <f>DATE(2013,6,1) + TIME(18,25,20)</f>
        <v>41426.767592592594</v>
      </c>
      <c r="C1350">
        <v>80</v>
      </c>
      <c r="D1350">
        <v>79.941352843999994</v>
      </c>
      <c r="E1350">
        <v>40</v>
      </c>
      <c r="F1350">
        <v>38.486255645999996</v>
      </c>
      <c r="G1350">
        <v>1368.3795166</v>
      </c>
      <c r="H1350">
        <v>1358.0523682</v>
      </c>
      <c r="I1350">
        <v>1297.8336182</v>
      </c>
      <c r="J1350">
        <v>1282.0983887</v>
      </c>
      <c r="K1350">
        <v>1650</v>
      </c>
      <c r="L1350">
        <v>0</v>
      </c>
      <c r="M1350">
        <v>0</v>
      </c>
      <c r="N1350">
        <v>1650</v>
      </c>
    </row>
    <row r="1351" spans="1:14" x14ac:dyDescent="0.25">
      <c r="A1351">
        <v>1128.568835</v>
      </c>
      <c r="B1351" s="1">
        <f>DATE(2013,6,2) + TIME(13,39,7)</f>
        <v>41427.568831018521</v>
      </c>
      <c r="C1351">
        <v>80</v>
      </c>
      <c r="D1351">
        <v>79.941329956000004</v>
      </c>
      <c r="E1351">
        <v>40</v>
      </c>
      <c r="F1351">
        <v>38.455951691000003</v>
      </c>
      <c r="G1351">
        <v>1368.3364257999999</v>
      </c>
      <c r="H1351">
        <v>1358.0195312000001</v>
      </c>
      <c r="I1351">
        <v>1297.8273925999999</v>
      </c>
      <c r="J1351">
        <v>1282.0872803</v>
      </c>
      <c r="K1351">
        <v>1650</v>
      </c>
      <c r="L1351">
        <v>0</v>
      </c>
      <c r="M1351">
        <v>0</v>
      </c>
      <c r="N1351">
        <v>1650</v>
      </c>
    </row>
    <row r="1352" spans="1:14" x14ac:dyDescent="0.25">
      <c r="A1352">
        <v>1129.383754</v>
      </c>
      <c r="B1352" s="1">
        <f>DATE(2013,6,3) + TIME(9,12,36)</f>
        <v>41428.383750000001</v>
      </c>
      <c r="C1352">
        <v>80</v>
      </c>
      <c r="D1352">
        <v>79.941307068</v>
      </c>
      <c r="E1352">
        <v>40</v>
      </c>
      <c r="F1352">
        <v>38.424922942999999</v>
      </c>
      <c r="G1352">
        <v>1368.2921143000001</v>
      </c>
      <c r="H1352">
        <v>1357.9855957</v>
      </c>
      <c r="I1352">
        <v>1297.8209228999999</v>
      </c>
      <c r="J1352">
        <v>1282.0756836</v>
      </c>
      <c r="K1352">
        <v>1650</v>
      </c>
      <c r="L1352">
        <v>0</v>
      </c>
      <c r="M1352">
        <v>0</v>
      </c>
      <c r="N1352">
        <v>1650</v>
      </c>
    </row>
    <row r="1353" spans="1:14" x14ac:dyDescent="0.25">
      <c r="A1353">
        <v>1130.2149569999999</v>
      </c>
      <c r="B1353" s="1">
        <f>DATE(2013,6,4) + TIME(5,9,32)</f>
        <v>41429.214953703704</v>
      </c>
      <c r="C1353">
        <v>80</v>
      </c>
      <c r="D1353">
        <v>79.941284179999997</v>
      </c>
      <c r="E1353">
        <v>40</v>
      </c>
      <c r="F1353">
        <v>38.393238068000002</v>
      </c>
      <c r="G1353">
        <v>1368.2479248</v>
      </c>
      <c r="H1353">
        <v>1357.9517822</v>
      </c>
      <c r="I1353">
        <v>1297.8142089999999</v>
      </c>
      <c r="J1353">
        <v>1282.0635986</v>
      </c>
      <c r="K1353">
        <v>1650</v>
      </c>
      <c r="L1353">
        <v>0</v>
      </c>
      <c r="M1353">
        <v>0</v>
      </c>
      <c r="N1353">
        <v>1650</v>
      </c>
    </row>
    <row r="1354" spans="1:14" x14ac:dyDescent="0.25">
      <c r="A1354">
        <v>1131.064928</v>
      </c>
      <c r="B1354" s="1">
        <f>DATE(2013,6,5) + TIME(1,33,29)</f>
        <v>41430.064918981479</v>
      </c>
      <c r="C1354">
        <v>80</v>
      </c>
      <c r="D1354">
        <v>79.941261291999993</v>
      </c>
      <c r="E1354">
        <v>40</v>
      </c>
      <c r="F1354">
        <v>38.360916138</v>
      </c>
      <c r="G1354">
        <v>1368.2036132999999</v>
      </c>
      <c r="H1354">
        <v>1357.9178466999999</v>
      </c>
      <c r="I1354">
        <v>1297.8073730000001</v>
      </c>
      <c r="J1354">
        <v>1282.0511475000001</v>
      </c>
      <c r="K1354">
        <v>1650</v>
      </c>
      <c r="L1354">
        <v>0</v>
      </c>
      <c r="M1354">
        <v>0</v>
      </c>
      <c r="N1354">
        <v>1650</v>
      </c>
    </row>
    <row r="1355" spans="1:14" x14ac:dyDescent="0.25">
      <c r="A1355">
        <v>1131.9363949999999</v>
      </c>
      <c r="B1355" s="1">
        <f>DATE(2013,6,5) + TIME(22,28,24)</f>
        <v>41430.936388888891</v>
      </c>
      <c r="C1355">
        <v>80</v>
      </c>
      <c r="D1355">
        <v>79.941238403</v>
      </c>
      <c r="E1355">
        <v>40</v>
      </c>
      <c r="F1355">
        <v>38.327922821000001</v>
      </c>
      <c r="G1355">
        <v>1368.1591797000001</v>
      </c>
      <c r="H1355">
        <v>1357.8837891000001</v>
      </c>
      <c r="I1355">
        <v>1297.8001709</v>
      </c>
      <c r="J1355">
        <v>1282.0382079999999</v>
      </c>
      <c r="K1355">
        <v>1650</v>
      </c>
      <c r="L1355">
        <v>0</v>
      </c>
      <c r="M1355">
        <v>0</v>
      </c>
      <c r="N1355">
        <v>1650</v>
      </c>
    </row>
    <row r="1356" spans="1:14" x14ac:dyDescent="0.25">
      <c r="A1356">
        <v>1132.8209449999999</v>
      </c>
      <c r="B1356" s="1">
        <f>DATE(2013,6,6) + TIME(19,42,9)</f>
        <v>41431.820937500001</v>
      </c>
      <c r="C1356">
        <v>80</v>
      </c>
      <c r="D1356">
        <v>79.941215514999996</v>
      </c>
      <c r="E1356">
        <v>40</v>
      </c>
      <c r="F1356">
        <v>38.294448852999999</v>
      </c>
      <c r="G1356">
        <v>1368.1143798999999</v>
      </c>
      <c r="H1356">
        <v>1357.8494873</v>
      </c>
      <c r="I1356">
        <v>1297.7927245999999</v>
      </c>
      <c r="J1356">
        <v>1282.0246582</v>
      </c>
      <c r="K1356">
        <v>1650</v>
      </c>
      <c r="L1356">
        <v>0</v>
      </c>
      <c r="M1356">
        <v>0</v>
      </c>
      <c r="N1356">
        <v>1650</v>
      </c>
    </row>
    <row r="1357" spans="1:14" x14ac:dyDescent="0.25">
      <c r="A1357">
        <v>1133.71065</v>
      </c>
      <c r="B1357" s="1">
        <f>DATE(2013,6,7) + TIME(17,3,20)</f>
        <v>41432.710648148146</v>
      </c>
      <c r="C1357">
        <v>80</v>
      </c>
      <c r="D1357">
        <v>79.941192627000007</v>
      </c>
      <c r="E1357">
        <v>40</v>
      </c>
      <c r="F1357">
        <v>38.260726929</v>
      </c>
      <c r="G1357">
        <v>1368.0695800999999</v>
      </c>
      <c r="H1357">
        <v>1357.8151855000001</v>
      </c>
      <c r="I1357">
        <v>1297.7851562000001</v>
      </c>
      <c r="J1357">
        <v>1282.0107422000001</v>
      </c>
      <c r="K1357">
        <v>1650</v>
      </c>
      <c r="L1357">
        <v>0</v>
      </c>
      <c r="M1357">
        <v>0</v>
      </c>
      <c r="N1357">
        <v>1650</v>
      </c>
    </row>
    <row r="1358" spans="1:14" x14ac:dyDescent="0.25">
      <c r="A1358">
        <v>1134.608086</v>
      </c>
      <c r="B1358" s="1">
        <f>DATE(2013,6,8) + TIME(14,35,38)</f>
        <v>41433.608078703706</v>
      </c>
      <c r="C1358">
        <v>80</v>
      </c>
      <c r="D1358">
        <v>79.941177367999998</v>
      </c>
      <c r="E1358">
        <v>40</v>
      </c>
      <c r="F1358">
        <v>38.226795197000001</v>
      </c>
      <c r="G1358">
        <v>1368.0253906</v>
      </c>
      <c r="H1358">
        <v>1357.78125</v>
      </c>
      <c r="I1358">
        <v>1297.7773437999999</v>
      </c>
      <c r="J1358">
        <v>1281.9964600000001</v>
      </c>
      <c r="K1358">
        <v>1650</v>
      </c>
      <c r="L1358">
        <v>0</v>
      </c>
      <c r="M1358">
        <v>0</v>
      </c>
      <c r="N1358">
        <v>1650</v>
      </c>
    </row>
    <row r="1359" spans="1:14" x14ac:dyDescent="0.25">
      <c r="A1359">
        <v>1135.5157999999999</v>
      </c>
      <c r="B1359" s="1">
        <f>DATE(2013,6,9) + TIME(12,22,45)</f>
        <v>41434.515798611108</v>
      </c>
      <c r="C1359">
        <v>80</v>
      </c>
      <c r="D1359">
        <v>79.941154479999994</v>
      </c>
      <c r="E1359">
        <v>40</v>
      </c>
      <c r="F1359">
        <v>38.192626953000001</v>
      </c>
      <c r="G1359">
        <v>1367.9816894999999</v>
      </c>
      <c r="H1359">
        <v>1357.7475586</v>
      </c>
      <c r="I1359">
        <v>1297.7694091999999</v>
      </c>
      <c r="J1359">
        <v>1281.9818115</v>
      </c>
      <c r="K1359">
        <v>1650</v>
      </c>
      <c r="L1359">
        <v>0</v>
      </c>
      <c r="M1359">
        <v>0</v>
      </c>
      <c r="N1359">
        <v>1650</v>
      </c>
    </row>
    <row r="1360" spans="1:14" x14ac:dyDescent="0.25">
      <c r="A1360">
        <v>1136.436404</v>
      </c>
      <c r="B1360" s="1">
        <f>DATE(2013,6,10) + TIME(10,28,25)</f>
        <v>41435.436400462961</v>
      </c>
      <c r="C1360">
        <v>80</v>
      </c>
      <c r="D1360">
        <v>79.941131592000005</v>
      </c>
      <c r="E1360">
        <v>40</v>
      </c>
      <c r="F1360">
        <v>38.158180237000003</v>
      </c>
      <c r="G1360">
        <v>1367.9381103999999</v>
      </c>
      <c r="H1360">
        <v>1357.7141113</v>
      </c>
      <c r="I1360">
        <v>1297.7612305</v>
      </c>
      <c r="J1360">
        <v>1281.9666748</v>
      </c>
      <c r="K1360">
        <v>1650</v>
      </c>
      <c r="L1360">
        <v>0</v>
      </c>
      <c r="M1360">
        <v>0</v>
      </c>
      <c r="N1360">
        <v>1650</v>
      </c>
    </row>
    <row r="1361" spans="1:14" x14ac:dyDescent="0.25">
      <c r="A1361">
        <v>1137.3726200000001</v>
      </c>
      <c r="B1361" s="1">
        <f>DATE(2013,6,11) + TIME(8,56,34)</f>
        <v>41436.372615740744</v>
      </c>
      <c r="C1361">
        <v>80</v>
      </c>
      <c r="D1361">
        <v>79.941116332999997</v>
      </c>
      <c r="E1361">
        <v>40</v>
      </c>
      <c r="F1361">
        <v>38.123374939000001</v>
      </c>
      <c r="G1361">
        <v>1367.8945312000001</v>
      </c>
      <c r="H1361">
        <v>1357.6806641000001</v>
      </c>
      <c r="I1361">
        <v>1297.7528076000001</v>
      </c>
      <c r="J1361">
        <v>1281.9510498</v>
      </c>
      <c r="K1361">
        <v>1650</v>
      </c>
      <c r="L1361">
        <v>0</v>
      </c>
      <c r="M1361">
        <v>0</v>
      </c>
      <c r="N1361">
        <v>1650</v>
      </c>
    </row>
    <row r="1362" spans="1:14" x14ac:dyDescent="0.25">
      <c r="A1362">
        <v>1138.3273160000001</v>
      </c>
      <c r="B1362" s="1">
        <f>DATE(2013,6,12) + TIME(7,51,20)</f>
        <v>41437.327314814815</v>
      </c>
      <c r="C1362">
        <v>80</v>
      </c>
      <c r="D1362">
        <v>79.941101074000002</v>
      </c>
      <c r="E1362">
        <v>40</v>
      </c>
      <c r="F1362">
        <v>38.088142394999998</v>
      </c>
      <c r="G1362">
        <v>1367.8510742000001</v>
      </c>
      <c r="H1362">
        <v>1357.6472168</v>
      </c>
      <c r="I1362">
        <v>1297.7441406</v>
      </c>
      <c r="J1362">
        <v>1281.9350586</v>
      </c>
      <c r="K1362">
        <v>1650</v>
      </c>
      <c r="L1362">
        <v>0</v>
      </c>
      <c r="M1362">
        <v>0</v>
      </c>
      <c r="N1362">
        <v>1650</v>
      </c>
    </row>
    <row r="1363" spans="1:14" x14ac:dyDescent="0.25">
      <c r="A1363">
        <v>1139.30359</v>
      </c>
      <c r="B1363" s="1">
        <f>DATE(2013,6,13) + TIME(7,17,10)</f>
        <v>41438.303587962961</v>
      </c>
      <c r="C1363">
        <v>80</v>
      </c>
      <c r="D1363">
        <v>79.941085814999994</v>
      </c>
      <c r="E1363">
        <v>40</v>
      </c>
      <c r="F1363">
        <v>38.052383423000002</v>
      </c>
      <c r="G1363">
        <v>1367.8074951000001</v>
      </c>
      <c r="H1363">
        <v>1357.6135254000001</v>
      </c>
      <c r="I1363">
        <v>1297.7352295000001</v>
      </c>
      <c r="J1363">
        <v>1281.9183350000001</v>
      </c>
      <c r="K1363">
        <v>1650</v>
      </c>
      <c r="L1363">
        <v>0</v>
      </c>
      <c r="M1363">
        <v>0</v>
      </c>
      <c r="N1363">
        <v>1650</v>
      </c>
    </row>
    <row r="1364" spans="1:14" x14ac:dyDescent="0.25">
      <c r="A1364">
        <v>1140.3001959999999</v>
      </c>
      <c r="B1364" s="1">
        <f>DATE(2013,6,14) + TIME(7,12,16)</f>
        <v>41439.300185185188</v>
      </c>
      <c r="C1364">
        <v>80</v>
      </c>
      <c r="D1364">
        <v>79.941062927000004</v>
      </c>
      <c r="E1364">
        <v>40</v>
      </c>
      <c r="F1364">
        <v>38.016098022000001</v>
      </c>
      <c r="G1364">
        <v>1367.7635498</v>
      </c>
      <c r="H1364">
        <v>1357.5797118999999</v>
      </c>
      <c r="I1364">
        <v>1297.7259521000001</v>
      </c>
      <c r="J1364">
        <v>1281.901001</v>
      </c>
      <c r="K1364">
        <v>1650</v>
      </c>
      <c r="L1364">
        <v>0</v>
      </c>
      <c r="M1364">
        <v>0</v>
      </c>
      <c r="N1364">
        <v>1650</v>
      </c>
    </row>
    <row r="1365" spans="1:14" x14ac:dyDescent="0.25">
      <c r="A1365">
        <v>1141.316902</v>
      </c>
      <c r="B1365" s="1">
        <f>DATE(2013,6,15) + TIME(7,36,20)</f>
        <v>41440.31689814815</v>
      </c>
      <c r="C1365">
        <v>80</v>
      </c>
      <c r="D1365">
        <v>79.941047667999996</v>
      </c>
      <c r="E1365">
        <v>40</v>
      </c>
      <c r="F1365">
        <v>37.979282378999997</v>
      </c>
      <c r="G1365">
        <v>1367.7194824000001</v>
      </c>
      <c r="H1365">
        <v>1357.5456543</v>
      </c>
      <c r="I1365">
        <v>1297.7163086</v>
      </c>
      <c r="J1365">
        <v>1281.8829346</v>
      </c>
      <c r="K1365">
        <v>1650</v>
      </c>
      <c r="L1365">
        <v>0</v>
      </c>
      <c r="M1365">
        <v>0</v>
      </c>
      <c r="N1365">
        <v>1650</v>
      </c>
    </row>
    <row r="1366" spans="1:14" x14ac:dyDescent="0.25">
      <c r="A1366">
        <v>1142.356902</v>
      </c>
      <c r="B1366" s="1">
        <f>DATE(2013,6,16) + TIME(8,33,56)</f>
        <v>41441.356898148151</v>
      </c>
      <c r="C1366">
        <v>80</v>
      </c>
      <c r="D1366">
        <v>79.941032410000005</v>
      </c>
      <c r="E1366">
        <v>40</v>
      </c>
      <c r="F1366">
        <v>37.941883087000001</v>
      </c>
      <c r="G1366">
        <v>1367.6751709</v>
      </c>
      <c r="H1366">
        <v>1357.5114745999999</v>
      </c>
      <c r="I1366">
        <v>1297.7062988</v>
      </c>
      <c r="J1366">
        <v>1281.8642577999999</v>
      </c>
      <c r="K1366">
        <v>1650</v>
      </c>
      <c r="L1366">
        <v>0</v>
      </c>
      <c r="M1366">
        <v>0</v>
      </c>
      <c r="N1366">
        <v>1650</v>
      </c>
    </row>
    <row r="1367" spans="1:14" x14ac:dyDescent="0.25">
      <c r="A1367">
        <v>1143.4236060000001</v>
      </c>
      <c r="B1367" s="1">
        <f>DATE(2013,6,17) + TIME(10,9,59)</f>
        <v>41442.42359953704</v>
      </c>
      <c r="C1367">
        <v>80</v>
      </c>
      <c r="D1367">
        <v>79.941024780000006</v>
      </c>
      <c r="E1367">
        <v>40</v>
      </c>
      <c r="F1367">
        <v>37.903820037999999</v>
      </c>
      <c r="G1367">
        <v>1367.6306152</v>
      </c>
      <c r="H1367">
        <v>1357.4770507999999</v>
      </c>
      <c r="I1367">
        <v>1297.6960449000001</v>
      </c>
      <c r="J1367">
        <v>1281.8447266000001</v>
      </c>
      <c r="K1367">
        <v>1650</v>
      </c>
      <c r="L1367">
        <v>0</v>
      </c>
      <c r="M1367">
        <v>0</v>
      </c>
      <c r="N1367">
        <v>1650</v>
      </c>
    </row>
    <row r="1368" spans="1:14" x14ac:dyDescent="0.25">
      <c r="A1368">
        <v>1144.5176610000001</v>
      </c>
      <c r="B1368" s="1">
        <f>DATE(2013,6,18) + TIME(12,25,25)</f>
        <v>41443.517650462964</v>
      </c>
      <c r="C1368">
        <v>80</v>
      </c>
      <c r="D1368">
        <v>79.941009520999998</v>
      </c>
      <c r="E1368">
        <v>40</v>
      </c>
      <c r="F1368">
        <v>37.865058898999997</v>
      </c>
      <c r="G1368">
        <v>1367.5856934000001</v>
      </c>
      <c r="H1368">
        <v>1357.4422606999999</v>
      </c>
      <c r="I1368">
        <v>1297.6853027</v>
      </c>
      <c r="J1368">
        <v>1281.8244629000001</v>
      </c>
      <c r="K1368">
        <v>1650</v>
      </c>
      <c r="L1368">
        <v>0</v>
      </c>
      <c r="M1368">
        <v>0</v>
      </c>
      <c r="N1368">
        <v>1650</v>
      </c>
    </row>
    <row r="1369" spans="1:14" x14ac:dyDescent="0.25">
      <c r="A1369">
        <v>1145.618009</v>
      </c>
      <c r="B1369" s="1">
        <f>DATE(2013,6,19) + TIME(14,49,55)</f>
        <v>41444.617997685185</v>
      </c>
      <c r="C1369">
        <v>80</v>
      </c>
      <c r="D1369">
        <v>79.940994262999993</v>
      </c>
      <c r="E1369">
        <v>40</v>
      </c>
      <c r="F1369">
        <v>37.825984955000003</v>
      </c>
      <c r="G1369">
        <v>1367.5402832</v>
      </c>
      <c r="H1369">
        <v>1357.4071045000001</v>
      </c>
      <c r="I1369">
        <v>1297.6740723</v>
      </c>
      <c r="J1369">
        <v>1281.8032227000001</v>
      </c>
      <c r="K1369">
        <v>1650</v>
      </c>
      <c r="L1369">
        <v>0</v>
      </c>
      <c r="M1369">
        <v>0</v>
      </c>
      <c r="N1369">
        <v>1650</v>
      </c>
    </row>
    <row r="1370" spans="1:14" x14ac:dyDescent="0.25">
      <c r="A1370">
        <v>1146.7254129999999</v>
      </c>
      <c r="B1370" s="1">
        <f>DATE(2013,6,20) + TIME(17,24,35)</f>
        <v>41445.725405092591</v>
      </c>
      <c r="C1370">
        <v>80</v>
      </c>
      <c r="D1370">
        <v>79.940986632999994</v>
      </c>
      <c r="E1370">
        <v>40</v>
      </c>
      <c r="F1370">
        <v>37.786758423000002</v>
      </c>
      <c r="G1370">
        <v>1367.4952393000001</v>
      </c>
      <c r="H1370">
        <v>1357.3721923999999</v>
      </c>
      <c r="I1370">
        <v>1297.6627197</v>
      </c>
      <c r="J1370">
        <v>1281.7816161999999</v>
      </c>
      <c r="K1370">
        <v>1650</v>
      </c>
      <c r="L1370">
        <v>0</v>
      </c>
      <c r="M1370">
        <v>0</v>
      </c>
      <c r="N1370">
        <v>1650</v>
      </c>
    </row>
    <row r="1371" spans="1:14" x14ac:dyDescent="0.25">
      <c r="A1371">
        <v>1147.8431639999999</v>
      </c>
      <c r="B1371" s="1">
        <f>DATE(2013,6,21) + TIME(20,14,9)</f>
        <v>41446.843159722222</v>
      </c>
      <c r="C1371">
        <v>80</v>
      </c>
      <c r="D1371">
        <v>79.940971375000004</v>
      </c>
      <c r="E1371">
        <v>40</v>
      </c>
      <c r="F1371">
        <v>37.747394561999997</v>
      </c>
      <c r="G1371">
        <v>1367.4506836</v>
      </c>
      <c r="H1371">
        <v>1357.3376464999999</v>
      </c>
      <c r="I1371">
        <v>1297.6511230000001</v>
      </c>
      <c r="J1371">
        <v>1281.7592772999999</v>
      </c>
      <c r="K1371">
        <v>1650</v>
      </c>
      <c r="L1371">
        <v>0</v>
      </c>
      <c r="M1371">
        <v>0</v>
      </c>
      <c r="N1371">
        <v>1650</v>
      </c>
    </row>
    <row r="1372" spans="1:14" x14ac:dyDescent="0.25">
      <c r="A1372">
        <v>1148.968572</v>
      </c>
      <c r="B1372" s="1">
        <f>DATE(2013,6,22) + TIME(23,14,44)</f>
        <v>41447.968564814815</v>
      </c>
      <c r="C1372">
        <v>80</v>
      </c>
      <c r="D1372">
        <v>79.940963745000005</v>
      </c>
      <c r="E1372">
        <v>40</v>
      </c>
      <c r="F1372">
        <v>37.707981109999999</v>
      </c>
      <c r="G1372">
        <v>1367.4064940999999</v>
      </c>
      <c r="H1372">
        <v>1357.3032227000001</v>
      </c>
      <c r="I1372">
        <v>1297.6391602000001</v>
      </c>
      <c r="J1372">
        <v>1281.7364502</v>
      </c>
      <c r="K1372">
        <v>1650</v>
      </c>
      <c r="L1372">
        <v>0</v>
      </c>
      <c r="M1372">
        <v>0</v>
      </c>
      <c r="N1372">
        <v>1650</v>
      </c>
    </row>
    <row r="1373" spans="1:14" x14ac:dyDescent="0.25">
      <c r="A1373">
        <v>1150.104431</v>
      </c>
      <c r="B1373" s="1">
        <f>DATE(2013,6,24) + TIME(2,30,22)</f>
        <v>41449.104421296295</v>
      </c>
      <c r="C1373">
        <v>80</v>
      </c>
      <c r="D1373">
        <v>79.940948485999996</v>
      </c>
      <c r="E1373">
        <v>40</v>
      </c>
      <c r="F1373">
        <v>37.668506622000002</v>
      </c>
      <c r="G1373">
        <v>1367.3625488</v>
      </c>
      <c r="H1373">
        <v>1357.269043</v>
      </c>
      <c r="I1373">
        <v>1297.6270752</v>
      </c>
      <c r="J1373">
        <v>1281.7130127</v>
      </c>
      <c r="K1373">
        <v>1650</v>
      </c>
      <c r="L1373">
        <v>0</v>
      </c>
      <c r="M1373">
        <v>0</v>
      </c>
      <c r="N1373">
        <v>1650</v>
      </c>
    </row>
    <row r="1374" spans="1:14" x14ac:dyDescent="0.25">
      <c r="A1374">
        <v>1151.2537870000001</v>
      </c>
      <c r="B1374" s="1">
        <f>DATE(2013,6,25) + TIME(6,5,27)</f>
        <v>41450.253784722219</v>
      </c>
      <c r="C1374">
        <v>80</v>
      </c>
      <c r="D1374">
        <v>79.940940857000001</v>
      </c>
      <c r="E1374">
        <v>40</v>
      </c>
      <c r="F1374">
        <v>37.628929137999997</v>
      </c>
      <c r="G1374">
        <v>1367.3188477000001</v>
      </c>
      <c r="H1374">
        <v>1357.2349853999999</v>
      </c>
      <c r="I1374">
        <v>1297.614624</v>
      </c>
      <c r="J1374">
        <v>1281.6889647999999</v>
      </c>
      <c r="K1374">
        <v>1650</v>
      </c>
      <c r="L1374">
        <v>0</v>
      </c>
      <c r="M1374">
        <v>0</v>
      </c>
      <c r="N1374">
        <v>1650</v>
      </c>
    </row>
    <row r="1375" spans="1:14" x14ac:dyDescent="0.25">
      <c r="A1375">
        <v>1152.4197899999999</v>
      </c>
      <c r="B1375" s="1">
        <f>DATE(2013,6,26) + TIME(10,4,29)</f>
        <v>41451.41978009259</v>
      </c>
      <c r="C1375">
        <v>80</v>
      </c>
      <c r="D1375">
        <v>79.940933228000006</v>
      </c>
      <c r="E1375">
        <v>40</v>
      </c>
      <c r="F1375">
        <v>37.589187621999997</v>
      </c>
      <c r="G1375">
        <v>1367.2752685999999</v>
      </c>
      <c r="H1375">
        <v>1357.2010498</v>
      </c>
      <c r="I1375">
        <v>1297.6019286999999</v>
      </c>
      <c r="J1375">
        <v>1281.6643065999999</v>
      </c>
      <c r="K1375">
        <v>1650</v>
      </c>
      <c r="L1375">
        <v>0</v>
      </c>
      <c r="M1375">
        <v>0</v>
      </c>
      <c r="N1375">
        <v>1650</v>
      </c>
    </row>
    <row r="1376" spans="1:14" x14ac:dyDescent="0.25">
      <c r="A1376">
        <v>1153.6057539999999</v>
      </c>
      <c r="B1376" s="1">
        <f>DATE(2013,6,27) + TIME(14,32,17)</f>
        <v>41452.605752314812</v>
      </c>
      <c r="C1376">
        <v>80</v>
      </c>
      <c r="D1376">
        <v>79.940925598000007</v>
      </c>
      <c r="E1376">
        <v>40</v>
      </c>
      <c r="F1376">
        <v>37.549213408999996</v>
      </c>
      <c r="G1376">
        <v>1367.2316894999999</v>
      </c>
      <c r="H1376">
        <v>1357.1669922000001</v>
      </c>
      <c r="I1376">
        <v>1297.5888672000001</v>
      </c>
      <c r="J1376">
        <v>1281.6387939000001</v>
      </c>
      <c r="K1376">
        <v>1650</v>
      </c>
      <c r="L1376">
        <v>0</v>
      </c>
      <c r="M1376">
        <v>0</v>
      </c>
      <c r="N1376">
        <v>1650</v>
      </c>
    </row>
    <row r="1377" spans="1:14" x14ac:dyDescent="0.25">
      <c r="A1377">
        <v>1154.815186</v>
      </c>
      <c r="B1377" s="1">
        <f>DATE(2013,6,28) + TIME(19,33,52)</f>
        <v>41453.815185185187</v>
      </c>
      <c r="C1377">
        <v>80</v>
      </c>
      <c r="D1377">
        <v>79.940925598000007</v>
      </c>
      <c r="E1377">
        <v>40</v>
      </c>
      <c r="F1377">
        <v>37.508922577</v>
      </c>
      <c r="G1377">
        <v>1367.1879882999999</v>
      </c>
      <c r="H1377">
        <v>1357.1328125</v>
      </c>
      <c r="I1377">
        <v>1297.5754394999999</v>
      </c>
      <c r="J1377">
        <v>1281.6124268000001</v>
      </c>
      <c r="K1377">
        <v>1650</v>
      </c>
      <c r="L1377">
        <v>0</v>
      </c>
      <c r="M1377">
        <v>0</v>
      </c>
      <c r="N1377">
        <v>1650</v>
      </c>
    </row>
    <row r="1378" spans="1:14" x14ac:dyDescent="0.25">
      <c r="A1378">
        <v>1156.0518810000001</v>
      </c>
      <c r="B1378" s="1">
        <f>DATE(2013,6,30) + TIME(1,14,42)</f>
        <v>41455.051874999997</v>
      </c>
      <c r="C1378">
        <v>80</v>
      </c>
      <c r="D1378">
        <v>79.940917968999997</v>
      </c>
      <c r="E1378">
        <v>40</v>
      </c>
      <c r="F1378">
        <v>37.468246460000003</v>
      </c>
      <c r="G1378">
        <v>1367.1441649999999</v>
      </c>
      <c r="H1378">
        <v>1357.0983887</v>
      </c>
      <c r="I1378">
        <v>1297.5615233999999</v>
      </c>
      <c r="J1378">
        <v>1281.5852050999999</v>
      </c>
      <c r="K1378">
        <v>1650</v>
      </c>
      <c r="L1378">
        <v>0</v>
      </c>
      <c r="M1378">
        <v>0</v>
      </c>
      <c r="N1378">
        <v>1650</v>
      </c>
    </row>
    <row r="1379" spans="1:14" x14ac:dyDescent="0.25">
      <c r="A1379">
        <v>1157</v>
      </c>
      <c r="B1379" s="1">
        <f>DATE(2013,7,1) + TIME(0,0,0)</f>
        <v>41456</v>
      </c>
      <c r="C1379">
        <v>80</v>
      </c>
      <c r="D1379">
        <v>79.940910338999998</v>
      </c>
      <c r="E1379">
        <v>40</v>
      </c>
      <c r="F1379">
        <v>37.433040619000003</v>
      </c>
      <c r="G1379">
        <v>1367.0997314000001</v>
      </c>
      <c r="H1379">
        <v>1357.0635986</v>
      </c>
      <c r="I1379">
        <v>1297.5471190999999</v>
      </c>
      <c r="J1379">
        <v>1281.5583495999999</v>
      </c>
      <c r="K1379">
        <v>1650</v>
      </c>
      <c r="L1379">
        <v>0</v>
      </c>
      <c r="M1379">
        <v>0</v>
      </c>
      <c r="N1379">
        <v>1650</v>
      </c>
    </row>
    <row r="1380" spans="1:14" x14ac:dyDescent="0.25">
      <c r="A1380">
        <v>1158.2681230000001</v>
      </c>
      <c r="B1380" s="1">
        <f>DATE(2013,7,2) + TIME(6,26,5)</f>
        <v>41457.268113425926</v>
      </c>
      <c r="C1380">
        <v>80</v>
      </c>
      <c r="D1380">
        <v>79.940910338999998</v>
      </c>
      <c r="E1380">
        <v>40</v>
      </c>
      <c r="F1380">
        <v>37.394119263</v>
      </c>
      <c r="G1380">
        <v>1367.0662841999999</v>
      </c>
      <c r="H1380">
        <v>1357.0373535000001</v>
      </c>
      <c r="I1380">
        <v>1297.5360106999999</v>
      </c>
      <c r="J1380">
        <v>1281.5341797000001</v>
      </c>
      <c r="K1380">
        <v>1650</v>
      </c>
      <c r="L1380">
        <v>0</v>
      </c>
      <c r="M1380">
        <v>0</v>
      </c>
      <c r="N1380">
        <v>1650</v>
      </c>
    </row>
    <row r="1381" spans="1:14" x14ac:dyDescent="0.25">
      <c r="A1381">
        <v>1159.5892229999999</v>
      </c>
      <c r="B1381" s="1">
        <f>DATE(2013,7,3) + TIME(14,8,28)</f>
        <v>41458.589212962965</v>
      </c>
      <c r="C1381">
        <v>80</v>
      </c>
      <c r="D1381">
        <v>79.940910338999998</v>
      </c>
      <c r="E1381">
        <v>40</v>
      </c>
      <c r="F1381">
        <v>37.353492737000003</v>
      </c>
      <c r="G1381">
        <v>1367.0220947</v>
      </c>
      <c r="H1381">
        <v>1357.0025635</v>
      </c>
      <c r="I1381">
        <v>1297.5212402</v>
      </c>
      <c r="J1381">
        <v>1281.5047606999999</v>
      </c>
      <c r="K1381">
        <v>1650</v>
      </c>
      <c r="L1381">
        <v>0</v>
      </c>
      <c r="M1381">
        <v>0</v>
      </c>
      <c r="N1381">
        <v>1650</v>
      </c>
    </row>
    <row r="1382" spans="1:14" x14ac:dyDescent="0.25">
      <c r="A1382">
        <v>1160.9122379999999</v>
      </c>
      <c r="B1382" s="1">
        <f>DATE(2013,7,4) + TIME(21,53,37)</f>
        <v>41459.912233796298</v>
      </c>
      <c r="C1382">
        <v>80</v>
      </c>
      <c r="D1382">
        <v>79.940910338999998</v>
      </c>
      <c r="E1382">
        <v>40</v>
      </c>
      <c r="F1382">
        <v>37.312240600999999</v>
      </c>
      <c r="G1382">
        <v>1366.9765625</v>
      </c>
      <c r="H1382">
        <v>1356.9667969</v>
      </c>
      <c r="I1382">
        <v>1297.5056152</v>
      </c>
      <c r="J1382">
        <v>1281.4737548999999</v>
      </c>
      <c r="K1382">
        <v>1650</v>
      </c>
      <c r="L1382">
        <v>0</v>
      </c>
      <c r="M1382">
        <v>0</v>
      </c>
      <c r="N1382">
        <v>1650</v>
      </c>
    </row>
    <row r="1383" spans="1:14" x14ac:dyDescent="0.25">
      <c r="A1383">
        <v>1162.2407310000001</v>
      </c>
      <c r="B1383" s="1">
        <f>DATE(2013,7,6) + TIME(5,46,39)</f>
        <v>41461.240729166668</v>
      </c>
      <c r="C1383">
        <v>80</v>
      </c>
      <c r="D1383">
        <v>79.940902710000003</v>
      </c>
      <c r="E1383">
        <v>40</v>
      </c>
      <c r="F1383">
        <v>37.270931244000003</v>
      </c>
      <c r="G1383">
        <v>1366.9316406</v>
      </c>
      <c r="H1383">
        <v>1356.9312743999999</v>
      </c>
      <c r="I1383">
        <v>1297.4897461</v>
      </c>
      <c r="J1383">
        <v>1281.4421387</v>
      </c>
      <c r="K1383">
        <v>1650</v>
      </c>
      <c r="L1383">
        <v>0</v>
      </c>
      <c r="M1383">
        <v>0</v>
      </c>
      <c r="N1383">
        <v>1650</v>
      </c>
    </row>
    <row r="1384" spans="1:14" x14ac:dyDescent="0.25">
      <c r="A1384">
        <v>1163.5780950000001</v>
      </c>
      <c r="B1384" s="1">
        <f>DATE(2013,7,7) + TIME(13,52,27)</f>
        <v>41462.578090277777</v>
      </c>
      <c r="C1384">
        <v>80</v>
      </c>
      <c r="D1384">
        <v>79.940902710000003</v>
      </c>
      <c r="E1384">
        <v>40</v>
      </c>
      <c r="F1384">
        <v>37.229804993000002</v>
      </c>
      <c r="G1384">
        <v>1366.8870850000001</v>
      </c>
      <c r="H1384">
        <v>1356.8962402</v>
      </c>
      <c r="I1384">
        <v>1297.4737548999999</v>
      </c>
      <c r="J1384">
        <v>1281.4097899999999</v>
      </c>
      <c r="K1384">
        <v>1650</v>
      </c>
      <c r="L1384">
        <v>0</v>
      </c>
      <c r="M1384">
        <v>0</v>
      </c>
      <c r="N1384">
        <v>1650</v>
      </c>
    </row>
    <row r="1385" spans="1:14" x14ac:dyDescent="0.25">
      <c r="A1385">
        <v>1164.927985</v>
      </c>
      <c r="B1385" s="1">
        <f>DATE(2013,7,8) + TIME(22,16,17)</f>
        <v>41463.927974537037</v>
      </c>
      <c r="C1385">
        <v>80</v>
      </c>
      <c r="D1385">
        <v>79.940902710000003</v>
      </c>
      <c r="E1385">
        <v>40</v>
      </c>
      <c r="F1385">
        <v>37.188957213999998</v>
      </c>
      <c r="G1385">
        <v>1366.8428954999999</v>
      </c>
      <c r="H1385">
        <v>1356.8612060999999</v>
      </c>
      <c r="I1385">
        <v>1297.4575195</v>
      </c>
      <c r="J1385">
        <v>1281.3767089999999</v>
      </c>
      <c r="K1385">
        <v>1650</v>
      </c>
      <c r="L1385">
        <v>0</v>
      </c>
      <c r="M1385">
        <v>0</v>
      </c>
      <c r="N1385">
        <v>1650</v>
      </c>
    </row>
    <row r="1386" spans="1:14" x14ac:dyDescent="0.25">
      <c r="A1386">
        <v>1166.2941149999999</v>
      </c>
      <c r="B1386" s="1">
        <f>DATE(2013,7,10) + TIME(7,3,31)</f>
        <v>41465.294108796297</v>
      </c>
      <c r="C1386">
        <v>80</v>
      </c>
      <c r="D1386">
        <v>79.940910338999998</v>
      </c>
      <c r="E1386">
        <v>40</v>
      </c>
      <c r="F1386">
        <v>37.148403168000002</v>
      </c>
      <c r="G1386">
        <v>1366.7988281</v>
      </c>
      <c r="H1386">
        <v>1356.8264160000001</v>
      </c>
      <c r="I1386">
        <v>1297.440918</v>
      </c>
      <c r="J1386">
        <v>1281.3430175999999</v>
      </c>
      <c r="K1386">
        <v>1650</v>
      </c>
      <c r="L1386">
        <v>0</v>
      </c>
      <c r="M1386">
        <v>0</v>
      </c>
      <c r="N1386">
        <v>1650</v>
      </c>
    </row>
    <row r="1387" spans="1:14" x14ac:dyDescent="0.25">
      <c r="A1387">
        <v>1167.6803399999999</v>
      </c>
      <c r="B1387" s="1">
        <f>DATE(2013,7,11) + TIME(16,19,41)</f>
        <v>41466.680335648147</v>
      </c>
      <c r="C1387">
        <v>80</v>
      </c>
      <c r="D1387">
        <v>79.940910338999998</v>
      </c>
      <c r="E1387">
        <v>40</v>
      </c>
      <c r="F1387">
        <v>37.108131409000002</v>
      </c>
      <c r="G1387">
        <v>1366.7548827999999</v>
      </c>
      <c r="H1387">
        <v>1356.7915039</v>
      </c>
      <c r="I1387">
        <v>1297.4241943</v>
      </c>
      <c r="J1387">
        <v>1281.3085937999999</v>
      </c>
      <c r="K1387">
        <v>1650</v>
      </c>
      <c r="L1387">
        <v>0</v>
      </c>
      <c r="M1387">
        <v>0</v>
      </c>
      <c r="N1387">
        <v>1650</v>
      </c>
    </row>
    <row r="1388" spans="1:14" x14ac:dyDescent="0.25">
      <c r="A1388">
        <v>1169.090721</v>
      </c>
      <c r="B1388" s="1">
        <f>DATE(2013,7,13) + TIME(2,10,38)</f>
        <v>41468.090717592589</v>
      </c>
      <c r="C1388">
        <v>80</v>
      </c>
      <c r="D1388">
        <v>79.940910338999998</v>
      </c>
      <c r="E1388">
        <v>40</v>
      </c>
      <c r="F1388">
        <v>37.068126677999999</v>
      </c>
      <c r="G1388">
        <v>1366.7108154</v>
      </c>
      <c r="H1388">
        <v>1356.7564697</v>
      </c>
      <c r="I1388">
        <v>1297.4071045000001</v>
      </c>
      <c r="J1388">
        <v>1281.2733154</v>
      </c>
      <c r="K1388">
        <v>1650</v>
      </c>
      <c r="L1388">
        <v>0</v>
      </c>
      <c r="M1388">
        <v>0</v>
      </c>
      <c r="N1388">
        <v>1650</v>
      </c>
    </row>
    <row r="1389" spans="1:14" x14ac:dyDescent="0.25">
      <c r="A1389">
        <v>1170.5295900000001</v>
      </c>
      <c r="B1389" s="1">
        <f>DATE(2013,7,14) + TIME(12,42,36)</f>
        <v>41469.529583333337</v>
      </c>
      <c r="C1389">
        <v>80</v>
      </c>
      <c r="D1389">
        <v>79.940917968999997</v>
      </c>
      <c r="E1389">
        <v>40</v>
      </c>
      <c r="F1389">
        <v>37.028366089000002</v>
      </c>
      <c r="G1389">
        <v>1366.6665039</v>
      </c>
      <c r="H1389">
        <v>1356.7213135</v>
      </c>
      <c r="I1389">
        <v>1297.3896483999999</v>
      </c>
      <c r="J1389">
        <v>1281.2371826000001</v>
      </c>
      <c r="K1389">
        <v>1650</v>
      </c>
      <c r="L1389">
        <v>0</v>
      </c>
      <c r="M1389">
        <v>0</v>
      </c>
      <c r="N1389">
        <v>1650</v>
      </c>
    </row>
    <row r="1390" spans="1:14" x14ac:dyDescent="0.25">
      <c r="A1390">
        <v>1172.0016430000001</v>
      </c>
      <c r="B1390" s="1">
        <f>DATE(2013,7,16) + TIME(0,2,21)</f>
        <v>41471.001631944448</v>
      </c>
      <c r="C1390">
        <v>80</v>
      </c>
      <c r="D1390">
        <v>79.940925598000007</v>
      </c>
      <c r="E1390">
        <v>40</v>
      </c>
      <c r="F1390">
        <v>36.988838196000003</v>
      </c>
      <c r="G1390">
        <v>1366.6219481999999</v>
      </c>
      <c r="H1390">
        <v>1356.6857910000001</v>
      </c>
      <c r="I1390">
        <v>1297.3719481999999</v>
      </c>
      <c r="J1390">
        <v>1281.1999512</v>
      </c>
      <c r="K1390">
        <v>1650</v>
      </c>
      <c r="L1390">
        <v>0</v>
      </c>
      <c r="M1390">
        <v>0</v>
      </c>
      <c r="N1390">
        <v>1650</v>
      </c>
    </row>
    <row r="1391" spans="1:14" x14ac:dyDescent="0.25">
      <c r="A1391">
        <v>1173.5120300000001</v>
      </c>
      <c r="B1391" s="1">
        <f>DATE(2013,7,17) + TIME(12,17,19)</f>
        <v>41472.512025462966</v>
      </c>
      <c r="C1391">
        <v>80</v>
      </c>
      <c r="D1391">
        <v>79.940933228000006</v>
      </c>
      <c r="E1391">
        <v>40</v>
      </c>
      <c r="F1391">
        <v>36.949550629000001</v>
      </c>
      <c r="G1391">
        <v>1366.5769043</v>
      </c>
      <c r="H1391">
        <v>1356.6497803</v>
      </c>
      <c r="I1391">
        <v>1297.3537598</v>
      </c>
      <c r="J1391">
        <v>1281.1616211</v>
      </c>
      <c r="K1391">
        <v>1650</v>
      </c>
      <c r="L1391">
        <v>0</v>
      </c>
      <c r="M1391">
        <v>0</v>
      </c>
      <c r="N1391">
        <v>1650</v>
      </c>
    </row>
    <row r="1392" spans="1:14" x14ac:dyDescent="0.25">
      <c r="A1392">
        <v>1175.066591</v>
      </c>
      <c r="B1392" s="1">
        <f>DATE(2013,7,19) + TIME(1,35,53)</f>
        <v>41474.06658564815</v>
      </c>
      <c r="C1392">
        <v>80</v>
      </c>
      <c r="D1392">
        <v>79.940940857000001</v>
      </c>
      <c r="E1392">
        <v>40</v>
      </c>
      <c r="F1392">
        <v>36.910514831999997</v>
      </c>
      <c r="G1392">
        <v>1366.5313721</v>
      </c>
      <c r="H1392">
        <v>1356.6134033000001</v>
      </c>
      <c r="I1392">
        <v>1297.3350829999999</v>
      </c>
      <c r="J1392">
        <v>1281.1221923999999</v>
      </c>
      <c r="K1392">
        <v>1650</v>
      </c>
      <c r="L1392">
        <v>0</v>
      </c>
      <c r="M1392">
        <v>0</v>
      </c>
      <c r="N1392">
        <v>1650</v>
      </c>
    </row>
    <row r="1393" spans="1:14" x14ac:dyDescent="0.25">
      <c r="A1393">
        <v>1176.626479</v>
      </c>
      <c r="B1393" s="1">
        <f>DATE(2013,7,20) + TIME(15,2,7)</f>
        <v>41475.626469907409</v>
      </c>
      <c r="C1393">
        <v>80</v>
      </c>
      <c r="D1393">
        <v>79.940948485999996</v>
      </c>
      <c r="E1393">
        <v>40</v>
      </c>
      <c r="F1393">
        <v>36.872245788999997</v>
      </c>
      <c r="G1393">
        <v>1366.4849853999999</v>
      </c>
      <c r="H1393">
        <v>1356.5761719</v>
      </c>
      <c r="I1393">
        <v>1297.3160399999999</v>
      </c>
      <c r="J1393">
        <v>1281.081543</v>
      </c>
      <c r="K1393">
        <v>1650</v>
      </c>
      <c r="L1393">
        <v>0</v>
      </c>
      <c r="M1393">
        <v>0</v>
      </c>
      <c r="N1393">
        <v>1650</v>
      </c>
    </row>
    <row r="1394" spans="1:14" x14ac:dyDescent="0.25">
      <c r="A1394">
        <v>1178.1923529999999</v>
      </c>
      <c r="B1394" s="1">
        <f>DATE(2013,7,22) + TIME(4,36,59)</f>
        <v>41477.192349537036</v>
      </c>
      <c r="C1394">
        <v>80</v>
      </c>
      <c r="D1394">
        <v>79.940956115999995</v>
      </c>
      <c r="E1394">
        <v>40</v>
      </c>
      <c r="F1394">
        <v>36.835124968999999</v>
      </c>
      <c r="G1394">
        <v>1366.4390868999999</v>
      </c>
      <c r="H1394">
        <v>1356.5393065999999</v>
      </c>
      <c r="I1394">
        <v>1297.296875</v>
      </c>
      <c r="J1394">
        <v>1281.0405272999999</v>
      </c>
      <c r="K1394">
        <v>1650</v>
      </c>
      <c r="L1394">
        <v>0</v>
      </c>
      <c r="M1394">
        <v>0</v>
      </c>
      <c r="N1394">
        <v>1650</v>
      </c>
    </row>
    <row r="1395" spans="1:14" x14ac:dyDescent="0.25">
      <c r="A1395">
        <v>1179.7681399999999</v>
      </c>
      <c r="B1395" s="1">
        <f>DATE(2013,7,23) + TIME(18,26,7)</f>
        <v>41478.768136574072</v>
      </c>
      <c r="C1395">
        <v>80</v>
      </c>
      <c r="D1395">
        <v>79.940963745000005</v>
      </c>
      <c r="E1395">
        <v>40</v>
      </c>
      <c r="F1395">
        <v>36.799331664999997</v>
      </c>
      <c r="G1395">
        <v>1366.3935547000001</v>
      </c>
      <c r="H1395">
        <v>1356.5028076000001</v>
      </c>
      <c r="I1395">
        <v>1297.2777100000001</v>
      </c>
      <c r="J1395">
        <v>1280.9991454999999</v>
      </c>
      <c r="K1395">
        <v>1650</v>
      </c>
      <c r="L1395">
        <v>0</v>
      </c>
      <c r="M1395">
        <v>0</v>
      </c>
      <c r="N1395">
        <v>1650</v>
      </c>
    </row>
    <row r="1396" spans="1:14" x14ac:dyDescent="0.25">
      <c r="A1396">
        <v>1181.3582719999999</v>
      </c>
      <c r="B1396" s="1">
        <f>DATE(2013,7,25) + TIME(8,35,54)</f>
        <v>41480.358263888891</v>
      </c>
      <c r="C1396">
        <v>80</v>
      </c>
      <c r="D1396">
        <v>79.940979003999999</v>
      </c>
      <c r="E1396">
        <v>40</v>
      </c>
      <c r="F1396">
        <v>36.764984130999999</v>
      </c>
      <c r="G1396">
        <v>1366.3482666</v>
      </c>
      <c r="H1396">
        <v>1356.4663086</v>
      </c>
      <c r="I1396">
        <v>1297.2586670000001</v>
      </c>
      <c r="J1396">
        <v>1280.9573975000001</v>
      </c>
      <c r="K1396">
        <v>1650</v>
      </c>
      <c r="L1396">
        <v>0</v>
      </c>
      <c r="M1396">
        <v>0</v>
      </c>
      <c r="N1396">
        <v>1650</v>
      </c>
    </row>
    <row r="1397" spans="1:14" x14ac:dyDescent="0.25">
      <c r="A1397">
        <v>1182.9673130000001</v>
      </c>
      <c r="B1397" s="1">
        <f>DATE(2013,7,26) + TIME(23,12,55)</f>
        <v>41481.967303240737</v>
      </c>
      <c r="C1397">
        <v>80</v>
      </c>
      <c r="D1397">
        <v>79.940986632999994</v>
      </c>
      <c r="E1397">
        <v>40</v>
      </c>
      <c r="F1397">
        <v>36.732158661</v>
      </c>
      <c r="G1397">
        <v>1366.3031006000001</v>
      </c>
      <c r="H1397">
        <v>1356.4298096</v>
      </c>
      <c r="I1397">
        <v>1297.239624</v>
      </c>
      <c r="J1397">
        <v>1280.9154053</v>
      </c>
      <c r="K1397">
        <v>1650</v>
      </c>
      <c r="L1397">
        <v>0</v>
      </c>
      <c r="M1397">
        <v>0</v>
      </c>
      <c r="N1397">
        <v>1650</v>
      </c>
    </row>
    <row r="1398" spans="1:14" x14ac:dyDescent="0.25">
      <c r="A1398">
        <v>1184.599952</v>
      </c>
      <c r="B1398" s="1">
        <f>DATE(2013,7,28) + TIME(14,23,55)</f>
        <v>41483.599942129629</v>
      </c>
      <c r="C1398">
        <v>80</v>
      </c>
      <c r="D1398">
        <v>79.941001892000003</v>
      </c>
      <c r="E1398">
        <v>40</v>
      </c>
      <c r="F1398">
        <v>36.700935364000003</v>
      </c>
      <c r="G1398">
        <v>1366.2580565999999</v>
      </c>
      <c r="H1398">
        <v>1356.3934326000001</v>
      </c>
      <c r="I1398">
        <v>1297.2205810999999</v>
      </c>
      <c r="J1398">
        <v>1280.8730469</v>
      </c>
      <c r="K1398">
        <v>1650</v>
      </c>
      <c r="L1398">
        <v>0</v>
      </c>
      <c r="M1398">
        <v>0</v>
      </c>
      <c r="N1398">
        <v>1650</v>
      </c>
    </row>
    <row r="1399" spans="1:14" x14ac:dyDescent="0.25">
      <c r="A1399">
        <v>1186.2611420000001</v>
      </c>
      <c r="B1399" s="1">
        <f>DATE(2013,7,30) + TIME(6,16,2)</f>
        <v>41485.261134259257</v>
      </c>
      <c r="C1399">
        <v>80</v>
      </c>
      <c r="D1399">
        <v>79.941017150999997</v>
      </c>
      <c r="E1399">
        <v>40</v>
      </c>
      <c r="F1399">
        <v>36.671413422000001</v>
      </c>
      <c r="G1399">
        <v>1366.2127685999999</v>
      </c>
      <c r="H1399">
        <v>1356.3566894999999</v>
      </c>
      <c r="I1399">
        <v>1297.2015381000001</v>
      </c>
      <c r="J1399">
        <v>1280.8302002</v>
      </c>
      <c r="K1399">
        <v>1650</v>
      </c>
      <c r="L1399">
        <v>0</v>
      </c>
      <c r="M1399">
        <v>0</v>
      </c>
      <c r="N1399">
        <v>1650</v>
      </c>
    </row>
    <row r="1400" spans="1:14" x14ac:dyDescent="0.25">
      <c r="A1400">
        <v>1187.1305709999999</v>
      </c>
      <c r="B1400" s="1">
        <f>DATE(2013,7,31) + TIME(3,8,1)</f>
        <v>41486.130567129629</v>
      </c>
      <c r="C1400">
        <v>80</v>
      </c>
      <c r="D1400">
        <v>79.941009520999998</v>
      </c>
      <c r="E1400">
        <v>40</v>
      </c>
      <c r="F1400">
        <v>36.651702880999999</v>
      </c>
      <c r="G1400">
        <v>1366.1671143000001</v>
      </c>
      <c r="H1400">
        <v>1356.3197021000001</v>
      </c>
      <c r="I1400">
        <v>1297.1843262</v>
      </c>
      <c r="J1400">
        <v>1280.7923584</v>
      </c>
      <c r="K1400">
        <v>1650</v>
      </c>
      <c r="L1400">
        <v>0</v>
      </c>
      <c r="M1400">
        <v>0</v>
      </c>
      <c r="N1400">
        <v>1650</v>
      </c>
    </row>
    <row r="1401" spans="1:14" x14ac:dyDescent="0.25">
      <c r="A1401">
        <v>1188</v>
      </c>
      <c r="B1401" s="1">
        <f>DATE(2013,8,1) + TIME(0,0,0)</f>
        <v>41487</v>
      </c>
      <c r="C1401">
        <v>80</v>
      </c>
      <c r="D1401">
        <v>79.941009520999998</v>
      </c>
      <c r="E1401">
        <v>40</v>
      </c>
      <c r="F1401">
        <v>36.635051726999997</v>
      </c>
      <c r="G1401">
        <v>1366.1433105000001</v>
      </c>
      <c r="H1401">
        <v>1356.300293</v>
      </c>
      <c r="I1401">
        <v>1297.1733397999999</v>
      </c>
      <c r="J1401">
        <v>1280.7669678</v>
      </c>
      <c r="K1401">
        <v>1650</v>
      </c>
      <c r="L1401">
        <v>0</v>
      </c>
      <c r="M1401">
        <v>0</v>
      </c>
      <c r="N1401">
        <v>1650</v>
      </c>
    </row>
    <row r="1402" spans="1:14" x14ac:dyDescent="0.25">
      <c r="A1402">
        <v>1189.734723</v>
      </c>
      <c r="B1402" s="1">
        <f>DATE(2013,8,2) + TIME(17,38,0)</f>
        <v>41488.734722222223</v>
      </c>
      <c r="C1402">
        <v>80</v>
      </c>
      <c r="D1402">
        <v>79.941040039000001</v>
      </c>
      <c r="E1402">
        <v>40</v>
      </c>
      <c r="F1402">
        <v>36.614425658999998</v>
      </c>
      <c r="G1402">
        <v>1366.1199951000001</v>
      </c>
      <c r="H1402">
        <v>1356.2813721</v>
      </c>
      <c r="I1402">
        <v>1297.1612548999999</v>
      </c>
      <c r="J1402">
        <v>1280.7382812000001</v>
      </c>
      <c r="K1402">
        <v>1650</v>
      </c>
      <c r="L1402">
        <v>0</v>
      </c>
      <c r="M1402">
        <v>0</v>
      </c>
      <c r="N1402">
        <v>1650</v>
      </c>
    </row>
    <row r="1403" spans="1:14" x14ac:dyDescent="0.25">
      <c r="A1403">
        <v>1191.4910890000001</v>
      </c>
      <c r="B1403" s="1">
        <f>DATE(2013,8,4) + TIME(11,47,10)</f>
        <v>41490.491087962961</v>
      </c>
      <c r="C1403">
        <v>80</v>
      </c>
      <c r="D1403">
        <v>79.941062927000004</v>
      </c>
      <c r="E1403">
        <v>40</v>
      </c>
      <c r="F1403">
        <v>36.593288422000001</v>
      </c>
      <c r="G1403">
        <v>1366.0737305</v>
      </c>
      <c r="H1403">
        <v>1356.2436522999999</v>
      </c>
      <c r="I1403">
        <v>1297.1433105000001</v>
      </c>
      <c r="J1403">
        <v>1280.6962891000001</v>
      </c>
      <c r="K1403">
        <v>1650</v>
      </c>
      <c r="L1403">
        <v>0</v>
      </c>
      <c r="M1403">
        <v>0</v>
      </c>
      <c r="N1403">
        <v>1650</v>
      </c>
    </row>
    <row r="1404" spans="1:14" x14ac:dyDescent="0.25">
      <c r="A1404">
        <v>1193.2813329999999</v>
      </c>
      <c r="B1404" s="1">
        <f>DATE(2013,8,6) + TIME(6,45,7)</f>
        <v>41492.281331018516</v>
      </c>
      <c r="C1404">
        <v>80</v>
      </c>
      <c r="D1404">
        <v>79.941078185999999</v>
      </c>
      <c r="E1404">
        <v>40</v>
      </c>
      <c r="F1404">
        <v>36.57359314</v>
      </c>
      <c r="G1404">
        <v>1366.0272216999999</v>
      </c>
      <c r="H1404">
        <v>1356.2056885</v>
      </c>
      <c r="I1404">
        <v>1297.1248779</v>
      </c>
      <c r="J1404">
        <v>1280.6529541</v>
      </c>
      <c r="K1404">
        <v>1650</v>
      </c>
      <c r="L1404">
        <v>0</v>
      </c>
      <c r="M1404">
        <v>0</v>
      </c>
      <c r="N1404">
        <v>1650</v>
      </c>
    </row>
    <row r="1405" spans="1:14" x14ac:dyDescent="0.25">
      <c r="A1405">
        <v>1195.105534</v>
      </c>
      <c r="B1405" s="1">
        <f>DATE(2013,8,8) + TIME(2,31,58)</f>
        <v>41494.105532407404</v>
      </c>
      <c r="C1405">
        <v>80</v>
      </c>
      <c r="D1405">
        <v>79.941101074000002</v>
      </c>
      <c r="E1405">
        <v>40</v>
      </c>
      <c r="F1405">
        <v>36.556346892999997</v>
      </c>
      <c r="G1405">
        <v>1365.9803466999999</v>
      </c>
      <c r="H1405">
        <v>1356.1673584</v>
      </c>
      <c r="I1405">
        <v>1297.1064452999999</v>
      </c>
      <c r="J1405">
        <v>1280.6090088000001</v>
      </c>
      <c r="K1405">
        <v>1650</v>
      </c>
      <c r="L1405">
        <v>0</v>
      </c>
      <c r="M1405">
        <v>0</v>
      </c>
      <c r="N1405">
        <v>1650</v>
      </c>
    </row>
    <row r="1406" spans="1:14" x14ac:dyDescent="0.25">
      <c r="A1406">
        <v>1196.9468460000001</v>
      </c>
      <c r="B1406" s="1">
        <f>DATE(2013,8,9) + TIME(22,43,27)</f>
        <v>41495.946840277778</v>
      </c>
      <c r="C1406">
        <v>80</v>
      </c>
      <c r="D1406">
        <v>79.941123962000006</v>
      </c>
      <c r="E1406">
        <v>40</v>
      </c>
      <c r="F1406">
        <v>36.542263030999997</v>
      </c>
      <c r="G1406">
        <v>1365.9331055</v>
      </c>
      <c r="H1406">
        <v>1356.1286620999999</v>
      </c>
      <c r="I1406">
        <v>1297.0883789</v>
      </c>
      <c r="J1406">
        <v>1280.5649414</v>
      </c>
      <c r="K1406">
        <v>1650</v>
      </c>
      <c r="L1406">
        <v>0</v>
      </c>
      <c r="M1406">
        <v>0</v>
      </c>
      <c r="N1406">
        <v>1650</v>
      </c>
    </row>
    <row r="1407" spans="1:14" x14ac:dyDescent="0.25">
      <c r="A1407">
        <v>1198.802328</v>
      </c>
      <c r="B1407" s="1">
        <f>DATE(2013,8,11) + TIME(19,15,21)</f>
        <v>41497.80232638889</v>
      </c>
      <c r="C1407">
        <v>80</v>
      </c>
      <c r="D1407">
        <v>79.941139221</v>
      </c>
      <c r="E1407">
        <v>40</v>
      </c>
      <c r="F1407">
        <v>36.531856537000003</v>
      </c>
      <c r="G1407">
        <v>1365.8858643000001</v>
      </c>
      <c r="H1407">
        <v>1356.0898437999999</v>
      </c>
      <c r="I1407">
        <v>1297.0706786999999</v>
      </c>
      <c r="J1407">
        <v>1280.5213623</v>
      </c>
      <c r="K1407">
        <v>1650</v>
      </c>
      <c r="L1407">
        <v>0</v>
      </c>
      <c r="M1407">
        <v>0</v>
      </c>
      <c r="N1407">
        <v>1650</v>
      </c>
    </row>
    <row r="1408" spans="1:14" x14ac:dyDescent="0.25">
      <c r="A1408">
        <v>1200.6776669999999</v>
      </c>
      <c r="B1408" s="1">
        <f>DATE(2013,8,13) + TIME(16,15,50)</f>
        <v>41499.677662037036</v>
      </c>
      <c r="C1408">
        <v>80</v>
      </c>
      <c r="D1408">
        <v>79.941162109000004</v>
      </c>
      <c r="E1408">
        <v>40</v>
      </c>
      <c r="F1408">
        <v>36.525524138999998</v>
      </c>
      <c r="G1408">
        <v>1365.8388672000001</v>
      </c>
      <c r="H1408">
        <v>1356.0511475000001</v>
      </c>
      <c r="I1408">
        <v>1297.0537108999999</v>
      </c>
      <c r="J1408">
        <v>1280.4783935999999</v>
      </c>
      <c r="K1408">
        <v>1650</v>
      </c>
      <c r="L1408">
        <v>0</v>
      </c>
      <c r="M1408">
        <v>0</v>
      </c>
      <c r="N1408">
        <v>1650</v>
      </c>
    </row>
    <row r="1409" spans="1:14" x14ac:dyDescent="0.25">
      <c r="A1409">
        <v>1202.578528</v>
      </c>
      <c r="B1409" s="1">
        <f>DATE(2013,8,15) + TIME(13,53,4)</f>
        <v>41501.578518518516</v>
      </c>
      <c r="C1409">
        <v>80</v>
      </c>
      <c r="D1409">
        <v>79.941184997999997</v>
      </c>
      <c r="E1409">
        <v>40</v>
      </c>
      <c r="F1409">
        <v>36.523647308000001</v>
      </c>
      <c r="G1409">
        <v>1365.7918701000001</v>
      </c>
      <c r="H1409">
        <v>1356.0123291</v>
      </c>
      <c r="I1409">
        <v>1297.0373535000001</v>
      </c>
      <c r="J1409">
        <v>1280.4364014</v>
      </c>
      <c r="K1409">
        <v>1650</v>
      </c>
      <c r="L1409">
        <v>0</v>
      </c>
      <c r="M1409">
        <v>0</v>
      </c>
      <c r="N1409">
        <v>1650</v>
      </c>
    </row>
    <row r="1410" spans="1:14" x14ac:dyDescent="0.25">
      <c r="A1410">
        <v>1204.510792</v>
      </c>
      <c r="B1410" s="1">
        <f>DATE(2013,8,17) + TIME(12,15,32)</f>
        <v>41503.510787037034</v>
      </c>
      <c r="C1410">
        <v>80</v>
      </c>
      <c r="D1410">
        <v>79.941215514999996</v>
      </c>
      <c r="E1410">
        <v>40</v>
      </c>
      <c r="F1410">
        <v>36.52664566</v>
      </c>
      <c r="G1410">
        <v>1365.744751</v>
      </c>
      <c r="H1410">
        <v>1355.9733887</v>
      </c>
      <c r="I1410">
        <v>1297.0218506000001</v>
      </c>
      <c r="J1410">
        <v>1280.3952637</v>
      </c>
      <c r="K1410">
        <v>1650</v>
      </c>
      <c r="L1410">
        <v>0</v>
      </c>
      <c r="M1410">
        <v>0</v>
      </c>
      <c r="N1410">
        <v>1650</v>
      </c>
    </row>
    <row r="1411" spans="1:14" x14ac:dyDescent="0.25">
      <c r="A1411">
        <v>1206.4705269999999</v>
      </c>
      <c r="B1411" s="1">
        <f>DATE(2013,8,19) + TIME(11,17,33)</f>
        <v>41505.470520833333</v>
      </c>
      <c r="C1411">
        <v>80</v>
      </c>
      <c r="D1411">
        <v>79.941238403</v>
      </c>
      <c r="E1411">
        <v>40</v>
      </c>
      <c r="F1411">
        <v>36.535007477000001</v>
      </c>
      <c r="G1411">
        <v>1365.6972656</v>
      </c>
      <c r="H1411">
        <v>1355.934082</v>
      </c>
      <c r="I1411">
        <v>1297.0070800999999</v>
      </c>
      <c r="J1411">
        <v>1280.3553466999999</v>
      </c>
      <c r="K1411">
        <v>1650</v>
      </c>
      <c r="L1411">
        <v>0</v>
      </c>
      <c r="M1411">
        <v>0</v>
      </c>
      <c r="N1411">
        <v>1650</v>
      </c>
    </row>
    <row r="1412" spans="1:14" x14ac:dyDescent="0.25">
      <c r="A1412">
        <v>1208.4551489999999</v>
      </c>
      <c r="B1412" s="1">
        <f>DATE(2013,8,21) + TIME(10,55,24)</f>
        <v>41507.455138888887</v>
      </c>
      <c r="C1412">
        <v>80</v>
      </c>
      <c r="D1412">
        <v>79.941261291999993</v>
      </c>
      <c r="E1412">
        <v>40</v>
      </c>
      <c r="F1412">
        <v>36.549232482999997</v>
      </c>
      <c r="G1412">
        <v>1365.6496582</v>
      </c>
      <c r="H1412">
        <v>1355.8945312000001</v>
      </c>
      <c r="I1412">
        <v>1296.9932861</v>
      </c>
      <c r="J1412">
        <v>1280.3166504000001</v>
      </c>
      <c r="K1412">
        <v>1650</v>
      </c>
      <c r="L1412">
        <v>0</v>
      </c>
      <c r="M1412">
        <v>0</v>
      </c>
      <c r="N1412">
        <v>1650</v>
      </c>
    </row>
    <row r="1413" spans="1:14" x14ac:dyDescent="0.25">
      <c r="A1413">
        <v>1210.4704039999999</v>
      </c>
      <c r="B1413" s="1">
        <f>DATE(2013,8,23) + TIME(11,17,22)</f>
        <v>41509.470393518517</v>
      </c>
      <c r="C1413">
        <v>80</v>
      </c>
      <c r="D1413">
        <v>79.941291809000006</v>
      </c>
      <c r="E1413">
        <v>40</v>
      </c>
      <c r="F1413">
        <v>36.569881439</v>
      </c>
      <c r="G1413">
        <v>1365.6018065999999</v>
      </c>
      <c r="H1413">
        <v>1355.8548584</v>
      </c>
      <c r="I1413">
        <v>1296.9807129000001</v>
      </c>
      <c r="J1413">
        <v>1280.2796631000001</v>
      </c>
      <c r="K1413">
        <v>1650</v>
      </c>
      <c r="L1413">
        <v>0</v>
      </c>
      <c r="M1413">
        <v>0</v>
      </c>
      <c r="N1413">
        <v>1650</v>
      </c>
    </row>
    <row r="1414" spans="1:14" x14ac:dyDescent="0.25">
      <c r="A1414">
        <v>1212.52126</v>
      </c>
      <c r="B1414" s="1">
        <f>DATE(2013,8,25) + TIME(12,30,36)</f>
        <v>41511.521249999998</v>
      </c>
      <c r="C1414">
        <v>80</v>
      </c>
      <c r="D1414">
        <v>79.941322326999995</v>
      </c>
      <c r="E1414">
        <v>40</v>
      </c>
      <c r="F1414">
        <v>36.597599029999998</v>
      </c>
      <c r="G1414">
        <v>1365.5538329999999</v>
      </c>
      <c r="H1414">
        <v>1355.8148193</v>
      </c>
      <c r="I1414">
        <v>1296.9692382999999</v>
      </c>
      <c r="J1414">
        <v>1280.2446289</v>
      </c>
      <c r="K1414">
        <v>1650</v>
      </c>
      <c r="L1414">
        <v>0</v>
      </c>
      <c r="M1414">
        <v>0</v>
      </c>
      <c r="N1414">
        <v>1650</v>
      </c>
    </row>
    <row r="1415" spans="1:14" x14ac:dyDescent="0.25">
      <c r="A1415">
        <v>1214.595873</v>
      </c>
      <c r="B1415" s="1">
        <f>DATE(2013,8,27) + TIME(14,18,3)</f>
        <v>41513.595868055556</v>
      </c>
      <c r="C1415">
        <v>80</v>
      </c>
      <c r="D1415">
        <v>79.941352843999994</v>
      </c>
      <c r="E1415">
        <v>40</v>
      </c>
      <c r="F1415">
        <v>36.633026123</v>
      </c>
      <c r="G1415">
        <v>1365.5054932</v>
      </c>
      <c r="H1415">
        <v>1355.7744141000001</v>
      </c>
      <c r="I1415">
        <v>1296.9591064000001</v>
      </c>
      <c r="J1415">
        <v>1280.2116699000001</v>
      </c>
      <c r="K1415">
        <v>1650</v>
      </c>
      <c r="L1415">
        <v>0</v>
      </c>
      <c r="M1415">
        <v>0</v>
      </c>
      <c r="N1415">
        <v>1650</v>
      </c>
    </row>
    <row r="1416" spans="1:14" x14ac:dyDescent="0.25">
      <c r="A1416">
        <v>1216.7006060000001</v>
      </c>
      <c r="B1416" s="1">
        <f>DATE(2013,8,29) + TIME(16,48,52)</f>
        <v>41515.700601851851</v>
      </c>
      <c r="C1416">
        <v>80</v>
      </c>
      <c r="D1416">
        <v>79.941383361999996</v>
      </c>
      <c r="E1416">
        <v>40</v>
      </c>
      <c r="F1416">
        <v>36.676811217999997</v>
      </c>
      <c r="G1416">
        <v>1365.4570312000001</v>
      </c>
      <c r="H1416">
        <v>1355.7338867000001</v>
      </c>
      <c r="I1416">
        <v>1296.9505615</v>
      </c>
      <c r="J1416">
        <v>1280.1812743999999</v>
      </c>
      <c r="K1416">
        <v>1650</v>
      </c>
      <c r="L1416">
        <v>0</v>
      </c>
      <c r="M1416">
        <v>0</v>
      </c>
      <c r="N1416">
        <v>1650</v>
      </c>
    </row>
    <row r="1417" spans="1:14" x14ac:dyDescent="0.25">
      <c r="A1417">
        <v>1218.8420390000001</v>
      </c>
      <c r="B1417" s="1">
        <f>DATE(2013,8,31) + TIME(20,12,32)</f>
        <v>41517.842037037037</v>
      </c>
      <c r="C1417">
        <v>80</v>
      </c>
      <c r="D1417">
        <v>79.941413878999995</v>
      </c>
      <c r="E1417">
        <v>40</v>
      </c>
      <c r="F1417">
        <v>36.729766845999997</v>
      </c>
      <c r="G1417">
        <v>1365.4083252</v>
      </c>
      <c r="H1417">
        <v>1355.6929932</v>
      </c>
      <c r="I1417">
        <v>1296.9436035000001</v>
      </c>
      <c r="J1417">
        <v>1280.1536865</v>
      </c>
      <c r="K1417">
        <v>1650</v>
      </c>
      <c r="L1417">
        <v>0</v>
      </c>
      <c r="M1417">
        <v>0</v>
      </c>
      <c r="N1417">
        <v>1650</v>
      </c>
    </row>
    <row r="1418" spans="1:14" x14ac:dyDescent="0.25">
      <c r="A1418">
        <v>1219</v>
      </c>
      <c r="B1418" s="1">
        <f>DATE(2013,9,1) + TIME(0,0,0)</f>
        <v>41518</v>
      </c>
      <c r="C1418">
        <v>80</v>
      </c>
      <c r="D1418">
        <v>79.94140625</v>
      </c>
      <c r="E1418">
        <v>40</v>
      </c>
      <c r="F1418">
        <v>36.741046906000001</v>
      </c>
      <c r="G1418">
        <v>1365.3616943</v>
      </c>
      <c r="H1418">
        <v>1355.6541748</v>
      </c>
      <c r="I1418">
        <v>1296.9569091999999</v>
      </c>
      <c r="J1418">
        <v>1280.1433105000001</v>
      </c>
      <c r="K1418">
        <v>1650</v>
      </c>
      <c r="L1418">
        <v>0</v>
      </c>
      <c r="M1418">
        <v>0</v>
      </c>
      <c r="N1418">
        <v>1650</v>
      </c>
    </row>
    <row r="1419" spans="1:14" x14ac:dyDescent="0.25">
      <c r="A1419">
        <v>1221.1660429999999</v>
      </c>
      <c r="B1419" s="1">
        <f>DATE(2013,9,3) + TIME(3,59,6)</f>
        <v>41520.166041666664</v>
      </c>
      <c r="C1419">
        <v>80</v>
      </c>
      <c r="D1419">
        <v>79.941444396999998</v>
      </c>
      <c r="E1419">
        <v>40</v>
      </c>
      <c r="F1419">
        <v>36.800403594999999</v>
      </c>
      <c r="G1419">
        <v>1365.3554687999999</v>
      </c>
      <c r="H1419">
        <v>1355.6485596</v>
      </c>
      <c r="I1419">
        <v>1296.9372559000001</v>
      </c>
      <c r="J1419">
        <v>1280.1270752</v>
      </c>
      <c r="K1419">
        <v>1650</v>
      </c>
      <c r="L1419">
        <v>0</v>
      </c>
      <c r="M1419">
        <v>0</v>
      </c>
      <c r="N1419">
        <v>1650</v>
      </c>
    </row>
    <row r="1420" spans="1:14" x14ac:dyDescent="0.25">
      <c r="A1420">
        <v>1223.3565570000001</v>
      </c>
      <c r="B1420" s="1">
        <f>DATE(2013,9,5) + TIME(8,33,26)</f>
        <v>41522.356550925928</v>
      </c>
      <c r="C1420">
        <v>80</v>
      </c>
      <c r="D1420">
        <v>79.941482543999996</v>
      </c>
      <c r="E1420">
        <v>40</v>
      </c>
      <c r="F1420">
        <v>36.873134612999998</v>
      </c>
      <c r="G1420">
        <v>1365.3065185999999</v>
      </c>
      <c r="H1420">
        <v>1355.6074219</v>
      </c>
      <c r="I1420">
        <v>1296.9348144999999</v>
      </c>
      <c r="J1420">
        <v>1280.1071777</v>
      </c>
      <c r="K1420">
        <v>1650</v>
      </c>
      <c r="L1420">
        <v>0</v>
      </c>
      <c r="M1420">
        <v>0</v>
      </c>
      <c r="N1420">
        <v>1650</v>
      </c>
    </row>
    <row r="1421" spans="1:14" x14ac:dyDescent="0.25">
      <c r="A1421">
        <v>1225.5781400000001</v>
      </c>
      <c r="B1421" s="1">
        <f>DATE(2013,9,7) + TIME(13,52,31)</f>
        <v>41524.578136574077</v>
      </c>
      <c r="C1421">
        <v>80</v>
      </c>
      <c r="D1421">
        <v>79.941520690999994</v>
      </c>
      <c r="E1421">
        <v>40</v>
      </c>
      <c r="F1421">
        <v>36.958366394000002</v>
      </c>
      <c r="G1421">
        <v>1365.2573242000001</v>
      </c>
      <c r="H1421">
        <v>1355.5657959</v>
      </c>
      <c r="I1421">
        <v>1296.934082</v>
      </c>
      <c r="J1421">
        <v>1280.0910644999999</v>
      </c>
      <c r="K1421">
        <v>1650</v>
      </c>
      <c r="L1421">
        <v>0</v>
      </c>
      <c r="M1421">
        <v>0</v>
      </c>
      <c r="N1421">
        <v>1650</v>
      </c>
    </row>
    <row r="1422" spans="1:14" x14ac:dyDescent="0.25">
      <c r="A1422">
        <v>1227.839238</v>
      </c>
      <c r="B1422" s="1">
        <f>DATE(2013,9,9) + TIME(20,8,30)</f>
        <v>41526.839236111111</v>
      </c>
      <c r="C1422">
        <v>80</v>
      </c>
      <c r="D1422">
        <v>79.941551208000007</v>
      </c>
      <c r="E1422">
        <v>40</v>
      </c>
      <c r="F1422">
        <v>37.056514739999997</v>
      </c>
      <c r="G1422">
        <v>1365.2080077999999</v>
      </c>
      <c r="H1422">
        <v>1355.5240478999999</v>
      </c>
      <c r="I1422">
        <v>1296.9355469</v>
      </c>
      <c r="J1422">
        <v>1280.0793457</v>
      </c>
      <c r="K1422">
        <v>1650</v>
      </c>
      <c r="L1422">
        <v>0</v>
      </c>
      <c r="M1422">
        <v>0</v>
      </c>
      <c r="N1422">
        <v>1650</v>
      </c>
    </row>
    <row r="1423" spans="1:14" x14ac:dyDescent="0.25">
      <c r="A1423">
        <v>1230.134401</v>
      </c>
      <c r="B1423" s="1">
        <f>DATE(2013,9,12) + TIME(3,13,32)</f>
        <v>41529.134398148148</v>
      </c>
      <c r="C1423">
        <v>80</v>
      </c>
      <c r="D1423">
        <v>79.941589355000005</v>
      </c>
      <c r="E1423">
        <v>40</v>
      </c>
      <c r="F1423">
        <v>37.168384551999999</v>
      </c>
      <c r="G1423">
        <v>1365.1582031</v>
      </c>
      <c r="H1423">
        <v>1355.4818115</v>
      </c>
      <c r="I1423">
        <v>1296.9393310999999</v>
      </c>
      <c r="J1423">
        <v>1280.0723877</v>
      </c>
      <c r="K1423">
        <v>1650</v>
      </c>
      <c r="L1423">
        <v>0</v>
      </c>
      <c r="M1423">
        <v>0</v>
      </c>
      <c r="N1423">
        <v>1650</v>
      </c>
    </row>
    <row r="1424" spans="1:14" x14ac:dyDescent="0.25">
      <c r="A1424">
        <v>1232.4527439999999</v>
      </c>
      <c r="B1424" s="1">
        <f>DATE(2013,9,14) + TIME(10,51,57)</f>
        <v>41531.452743055554</v>
      </c>
      <c r="C1424">
        <v>80</v>
      </c>
      <c r="D1424">
        <v>79.941627502000003</v>
      </c>
      <c r="E1424">
        <v>40</v>
      </c>
      <c r="F1424">
        <v>37.294586182000003</v>
      </c>
      <c r="G1424">
        <v>1365.1081543</v>
      </c>
      <c r="H1424">
        <v>1355.4392089999999</v>
      </c>
      <c r="I1424">
        <v>1296.9458007999999</v>
      </c>
      <c r="J1424">
        <v>1280.0708007999999</v>
      </c>
      <c r="K1424">
        <v>1650</v>
      </c>
      <c r="L1424">
        <v>0</v>
      </c>
      <c r="M1424">
        <v>0</v>
      </c>
      <c r="N1424">
        <v>1650</v>
      </c>
    </row>
    <row r="1425" spans="1:14" x14ac:dyDescent="0.25">
      <c r="A1425">
        <v>1234.798217</v>
      </c>
      <c r="B1425" s="1">
        <f>DATE(2013,9,16) + TIME(19,9,25)</f>
        <v>41533.798206018517</v>
      </c>
      <c r="C1425">
        <v>80</v>
      </c>
      <c r="D1425">
        <v>79.941665649000001</v>
      </c>
      <c r="E1425">
        <v>40</v>
      </c>
      <c r="F1425">
        <v>37.435726166000002</v>
      </c>
      <c r="G1425">
        <v>1365.0581055</v>
      </c>
      <c r="H1425">
        <v>1355.3964844</v>
      </c>
      <c r="I1425">
        <v>1296.9549560999999</v>
      </c>
      <c r="J1425">
        <v>1280.0750731999999</v>
      </c>
      <c r="K1425">
        <v>1650</v>
      </c>
      <c r="L1425">
        <v>0</v>
      </c>
      <c r="M1425">
        <v>0</v>
      </c>
      <c r="N1425">
        <v>1650</v>
      </c>
    </row>
    <row r="1426" spans="1:14" x14ac:dyDescent="0.25">
      <c r="A1426">
        <v>1237.178412</v>
      </c>
      <c r="B1426" s="1">
        <f>DATE(2013,9,19) + TIME(4,16,54)</f>
        <v>41536.178402777776</v>
      </c>
      <c r="C1426">
        <v>80</v>
      </c>
      <c r="D1426">
        <v>79.941711425999998</v>
      </c>
      <c r="E1426">
        <v>40</v>
      </c>
      <c r="F1426">
        <v>37.592723845999998</v>
      </c>
      <c r="G1426">
        <v>1365.0079346</v>
      </c>
      <c r="H1426">
        <v>1355.3537598</v>
      </c>
      <c r="I1426">
        <v>1296.9669189000001</v>
      </c>
      <c r="J1426">
        <v>1280.0855713000001</v>
      </c>
      <c r="K1426">
        <v>1650</v>
      </c>
      <c r="L1426">
        <v>0</v>
      </c>
      <c r="M1426">
        <v>0</v>
      </c>
      <c r="N1426">
        <v>1650</v>
      </c>
    </row>
    <row r="1427" spans="1:14" x14ac:dyDescent="0.25">
      <c r="A1427">
        <v>1239.600747</v>
      </c>
      <c r="B1427" s="1">
        <f>DATE(2013,9,21) + TIME(14,25,4)</f>
        <v>41538.600740740738</v>
      </c>
      <c r="C1427">
        <v>80</v>
      </c>
      <c r="D1427">
        <v>79.941749572999996</v>
      </c>
      <c r="E1427">
        <v>40</v>
      </c>
      <c r="F1427">
        <v>37.766746521000002</v>
      </c>
      <c r="G1427">
        <v>1364.9575195</v>
      </c>
      <c r="H1427">
        <v>1355.3106689000001</v>
      </c>
      <c r="I1427">
        <v>1296.9818115</v>
      </c>
      <c r="J1427">
        <v>1280.1026611</v>
      </c>
      <c r="K1427">
        <v>1650</v>
      </c>
      <c r="L1427">
        <v>0</v>
      </c>
      <c r="M1427">
        <v>0</v>
      </c>
      <c r="N1427">
        <v>1650</v>
      </c>
    </row>
    <row r="1428" spans="1:14" x14ac:dyDescent="0.25">
      <c r="A1428">
        <v>1242.0704940000001</v>
      </c>
      <c r="B1428" s="1">
        <f>DATE(2013,9,24) + TIME(1,41,30)</f>
        <v>41541.070486111108</v>
      </c>
      <c r="C1428">
        <v>80</v>
      </c>
      <c r="D1428">
        <v>79.941795349000003</v>
      </c>
      <c r="E1428">
        <v>40</v>
      </c>
      <c r="F1428">
        <v>37.959037780999999</v>
      </c>
      <c r="G1428">
        <v>1364.9067382999999</v>
      </c>
      <c r="H1428">
        <v>1355.2670897999999</v>
      </c>
      <c r="I1428">
        <v>1297</v>
      </c>
      <c r="J1428">
        <v>1280.1269531</v>
      </c>
      <c r="K1428">
        <v>1650</v>
      </c>
      <c r="L1428">
        <v>0</v>
      </c>
      <c r="M1428">
        <v>0</v>
      </c>
      <c r="N1428">
        <v>1650</v>
      </c>
    </row>
    <row r="1429" spans="1:14" x14ac:dyDescent="0.25">
      <c r="A1429">
        <v>1244.57069</v>
      </c>
      <c r="B1429" s="1">
        <f>DATE(2013,9,26) + TIME(13,41,47)</f>
        <v>41543.57068287037</v>
      </c>
      <c r="C1429">
        <v>80</v>
      </c>
      <c r="D1429">
        <v>79.941841124999996</v>
      </c>
      <c r="E1429">
        <v>40</v>
      </c>
      <c r="F1429">
        <v>38.170192718999999</v>
      </c>
      <c r="G1429">
        <v>1364.8555908000001</v>
      </c>
      <c r="H1429">
        <v>1355.2231445</v>
      </c>
      <c r="I1429">
        <v>1297.0217285000001</v>
      </c>
      <c r="J1429">
        <v>1280.1590576000001</v>
      </c>
      <c r="K1429">
        <v>1650</v>
      </c>
      <c r="L1429">
        <v>0</v>
      </c>
      <c r="M1429">
        <v>0</v>
      </c>
      <c r="N1429">
        <v>1650</v>
      </c>
    </row>
    <row r="1430" spans="1:14" x14ac:dyDescent="0.25">
      <c r="A1430">
        <v>1245.8265610000001</v>
      </c>
      <c r="B1430" s="1">
        <f>DATE(2013,9,27) + TIME(19,50,14)</f>
        <v>41544.826550925929</v>
      </c>
      <c r="C1430">
        <v>80</v>
      </c>
      <c r="D1430">
        <v>79.941848754999995</v>
      </c>
      <c r="E1430">
        <v>40</v>
      </c>
      <c r="F1430">
        <v>38.344020843999999</v>
      </c>
      <c r="G1430">
        <v>1364.8043213000001</v>
      </c>
      <c r="H1430">
        <v>1355.1790771000001</v>
      </c>
      <c r="I1430">
        <v>1297.0566406</v>
      </c>
      <c r="J1430">
        <v>1280.1973877</v>
      </c>
      <c r="K1430">
        <v>1650</v>
      </c>
      <c r="L1430">
        <v>0</v>
      </c>
      <c r="M1430">
        <v>0</v>
      </c>
      <c r="N1430">
        <v>1650</v>
      </c>
    </row>
    <row r="1431" spans="1:14" x14ac:dyDescent="0.25">
      <c r="A1431">
        <v>1247.0824319999999</v>
      </c>
      <c r="B1431" s="1">
        <f>DATE(2013,9,29) + TIME(1,58,42)</f>
        <v>41546.082430555558</v>
      </c>
      <c r="C1431">
        <v>80</v>
      </c>
      <c r="D1431">
        <v>79.941864014000004</v>
      </c>
      <c r="E1431">
        <v>40</v>
      </c>
      <c r="F1431">
        <v>38.493705749999997</v>
      </c>
      <c r="G1431">
        <v>1364.7785644999999</v>
      </c>
      <c r="H1431">
        <v>1355.1568603999999</v>
      </c>
      <c r="I1431">
        <v>1297.0671387</v>
      </c>
      <c r="J1431">
        <v>1280.2237548999999</v>
      </c>
      <c r="K1431">
        <v>1650</v>
      </c>
      <c r="L1431">
        <v>0</v>
      </c>
      <c r="M1431">
        <v>0</v>
      </c>
      <c r="N1431">
        <v>1650</v>
      </c>
    </row>
    <row r="1432" spans="1:14" x14ac:dyDescent="0.25">
      <c r="A1432">
        <v>1249</v>
      </c>
      <c r="B1432" s="1">
        <f>DATE(2013,10,1) + TIME(0,0,0)</f>
        <v>41548</v>
      </c>
      <c r="C1432">
        <v>80</v>
      </c>
      <c r="D1432">
        <v>79.941909789999997</v>
      </c>
      <c r="E1432">
        <v>40</v>
      </c>
      <c r="F1432">
        <v>38.661602019999997</v>
      </c>
      <c r="G1432">
        <v>1364.7531738</v>
      </c>
      <c r="H1432">
        <v>1355.1350098</v>
      </c>
      <c r="I1432">
        <v>1297.0755615</v>
      </c>
      <c r="J1432">
        <v>1280.2518310999999</v>
      </c>
      <c r="K1432">
        <v>1650</v>
      </c>
      <c r="L1432">
        <v>0</v>
      </c>
      <c r="M1432">
        <v>0</v>
      </c>
      <c r="N1432">
        <v>1650</v>
      </c>
    </row>
    <row r="1433" spans="1:14" x14ac:dyDescent="0.25">
      <c r="A1433">
        <v>1251.511741</v>
      </c>
      <c r="B1433" s="1">
        <f>DATE(2013,10,3) + TIME(12,16,54)</f>
        <v>41550.511736111112</v>
      </c>
      <c r="C1433">
        <v>80</v>
      </c>
      <c r="D1433">
        <v>79.941963196000003</v>
      </c>
      <c r="E1433">
        <v>40</v>
      </c>
      <c r="F1433">
        <v>38.871368408000002</v>
      </c>
      <c r="G1433">
        <v>1364.7149658000001</v>
      </c>
      <c r="H1433">
        <v>1355.1019286999999</v>
      </c>
      <c r="I1433">
        <v>1297.0976562000001</v>
      </c>
      <c r="J1433">
        <v>1280.2937012</v>
      </c>
      <c r="K1433">
        <v>1650</v>
      </c>
      <c r="L1433">
        <v>0</v>
      </c>
      <c r="M1433">
        <v>0</v>
      </c>
      <c r="N1433">
        <v>1650</v>
      </c>
    </row>
    <row r="1434" spans="1:14" x14ac:dyDescent="0.25">
      <c r="A1434">
        <v>1254.053991</v>
      </c>
      <c r="B1434" s="1">
        <f>DATE(2013,10,6) + TIME(1,17,44)</f>
        <v>41553.053981481484</v>
      </c>
      <c r="C1434">
        <v>80</v>
      </c>
      <c r="D1434">
        <v>79.942008971999996</v>
      </c>
      <c r="E1434">
        <v>40</v>
      </c>
      <c r="F1434">
        <v>39.129428863999998</v>
      </c>
      <c r="G1434">
        <v>1364.6651611</v>
      </c>
      <c r="H1434">
        <v>1355.0589600000001</v>
      </c>
      <c r="I1434">
        <v>1297.1329346</v>
      </c>
      <c r="J1434">
        <v>1280.3522949000001</v>
      </c>
      <c r="K1434">
        <v>1650</v>
      </c>
      <c r="L1434">
        <v>0</v>
      </c>
      <c r="M1434">
        <v>0</v>
      </c>
      <c r="N1434">
        <v>1650</v>
      </c>
    </row>
    <row r="1435" spans="1:14" x14ac:dyDescent="0.25">
      <c r="A1435">
        <v>1256.6398939999999</v>
      </c>
      <c r="B1435" s="1">
        <f>DATE(2013,10,8) + TIME(15,21,26)</f>
        <v>41555.639884259261</v>
      </c>
      <c r="C1435">
        <v>80</v>
      </c>
      <c r="D1435">
        <v>79.942062378000003</v>
      </c>
      <c r="E1435">
        <v>40</v>
      </c>
      <c r="F1435">
        <v>39.414936066000003</v>
      </c>
      <c r="G1435">
        <v>1364.6153564000001</v>
      </c>
      <c r="H1435">
        <v>1355.0158690999999</v>
      </c>
      <c r="I1435">
        <v>1297.1705322</v>
      </c>
      <c r="J1435">
        <v>1280.4205322</v>
      </c>
      <c r="K1435">
        <v>1650</v>
      </c>
      <c r="L1435">
        <v>0</v>
      </c>
      <c r="M1435">
        <v>0</v>
      </c>
      <c r="N1435">
        <v>1650</v>
      </c>
    </row>
    <row r="1436" spans="1:14" x14ac:dyDescent="0.25">
      <c r="A1436">
        <v>1259.2776699999999</v>
      </c>
      <c r="B1436" s="1">
        <f>DATE(2013,10,11) + TIME(6,39,50)</f>
        <v>41558.277662037035</v>
      </c>
      <c r="C1436">
        <v>80</v>
      </c>
      <c r="D1436">
        <v>79.942108153999996</v>
      </c>
      <c r="E1436">
        <v>40</v>
      </c>
      <c r="F1436">
        <v>39.721553802000003</v>
      </c>
      <c r="G1436">
        <v>1364.5653076000001</v>
      </c>
      <c r="H1436">
        <v>1354.9725341999999</v>
      </c>
      <c r="I1436">
        <v>1297.2114257999999</v>
      </c>
      <c r="J1436">
        <v>1280.4975586</v>
      </c>
      <c r="K1436">
        <v>1650</v>
      </c>
      <c r="L1436">
        <v>0</v>
      </c>
      <c r="M1436">
        <v>0</v>
      </c>
      <c r="N1436">
        <v>1650</v>
      </c>
    </row>
    <row r="1437" spans="1:14" x14ac:dyDescent="0.25">
      <c r="A1437">
        <v>1261.9764580000001</v>
      </c>
      <c r="B1437" s="1">
        <f>DATE(2013,10,13) + TIME(23,26,5)</f>
        <v>41560.976446759261</v>
      </c>
      <c r="C1437">
        <v>80</v>
      </c>
      <c r="D1437">
        <v>79.942161560000002</v>
      </c>
      <c r="E1437">
        <v>40</v>
      </c>
      <c r="F1437">
        <v>40.047374724999997</v>
      </c>
      <c r="G1437">
        <v>1364.5150146000001</v>
      </c>
      <c r="H1437">
        <v>1354.9288329999999</v>
      </c>
      <c r="I1437">
        <v>1297.2559814000001</v>
      </c>
      <c r="J1437">
        <v>1280.583374</v>
      </c>
      <c r="K1437">
        <v>1650</v>
      </c>
      <c r="L1437">
        <v>0</v>
      </c>
      <c r="M1437">
        <v>0</v>
      </c>
      <c r="N1437">
        <v>1650</v>
      </c>
    </row>
    <row r="1438" spans="1:14" x14ac:dyDescent="0.25">
      <c r="A1438">
        <v>1264.7465070000001</v>
      </c>
      <c r="B1438" s="1">
        <f>DATE(2013,10,16) + TIME(17,54,58)</f>
        <v>41563.746504629627</v>
      </c>
      <c r="C1438">
        <v>80</v>
      </c>
      <c r="D1438">
        <v>79.942214965999995</v>
      </c>
      <c r="E1438">
        <v>40</v>
      </c>
      <c r="F1438">
        <v>40.392063141000001</v>
      </c>
      <c r="G1438">
        <v>1364.4642334</v>
      </c>
      <c r="H1438">
        <v>1354.8847656</v>
      </c>
      <c r="I1438">
        <v>1297.3043213000001</v>
      </c>
      <c r="J1438">
        <v>1280.6782227000001</v>
      </c>
      <c r="K1438">
        <v>1650</v>
      </c>
      <c r="L1438">
        <v>0</v>
      </c>
      <c r="M1438">
        <v>0</v>
      </c>
      <c r="N1438">
        <v>1650</v>
      </c>
    </row>
    <row r="1439" spans="1:14" x14ac:dyDescent="0.25">
      <c r="A1439">
        <v>1267.550575</v>
      </c>
      <c r="B1439" s="1">
        <f>DATE(2013,10,19) + TIME(13,12,49)</f>
        <v>41566.550567129627</v>
      </c>
      <c r="C1439">
        <v>80</v>
      </c>
      <c r="D1439">
        <v>79.942268372000001</v>
      </c>
      <c r="E1439">
        <v>40</v>
      </c>
      <c r="F1439">
        <v>40.753753662000001</v>
      </c>
      <c r="G1439">
        <v>1364.4129639</v>
      </c>
      <c r="H1439">
        <v>1354.840332</v>
      </c>
      <c r="I1439">
        <v>1297.3571777</v>
      </c>
      <c r="J1439">
        <v>1280.7819824000001</v>
      </c>
      <c r="K1439">
        <v>1650</v>
      </c>
      <c r="L1439">
        <v>0</v>
      </c>
      <c r="M1439">
        <v>0</v>
      </c>
      <c r="N1439">
        <v>1650</v>
      </c>
    </row>
    <row r="1440" spans="1:14" x14ac:dyDescent="0.25">
      <c r="A1440">
        <v>1270.394313</v>
      </c>
      <c r="B1440" s="1">
        <f>DATE(2013,10,22) + TIME(9,27,48)</f>
        <v>41569.394305555557</v>
      </c>
      <c r="C1440">
        <v>80</v>
      </c>
      <c r="D1440">
        <v>79.942321777000004</v>
      </c>
      <c r="E1440">
        <v>40</v>
      </c>
      <c r="F1440">
        <v>41.128932953000003</v>
      </c>
      <c r="G1440">
        <v>1364.3619385</v>
      </c>
      <c r="H1440">
        <v>1354.7958983999999</v>
      </c>
      <c r="I1440">
        <v>1297.4133300999999</v>
      </c>
      <c r="J1440">
        <v>1280.8936768000001</v>
      </c>
      <c r="K1440">
        <v>1650</v>
      </c>
      <c r="L1440">
        <v>0</v>
      </c>
      <c r="M1440">
        <v>0</v>
      </c>
      <c r="N1440">
        <v>1650</v>
      </c>
    </row>
    <row r="1441" spans="1:14" x14ac:dyDescent="0.25">
      <c r="A1441">
        <v>1273.2792139999999</v>
      </c>
      <c r="B1441" s="1">
        <f>DATE(2013,10,25) + TIME(6,42,4)</f>
        <v>41572.27921296296</v>
      </c>
      <c r="C1441">
        <v>80</v>
      </c>
      <c r="D1441">
        <v>79.942382812000005</v>
      </c>
      <c r="E1441">
        <v>40</v>
      </c>
      <c r="F1441">
        <v>41.515335082999997</v>
      </c>
      <c r="G1441">
        <v>1364.3110352000001</v>
      </c>
      <c r="H1441">
        <v>1354.7515868999999</v>
      </c>
      <c r="I1441">
        <v>1297.4729004000001</v>
      </c>
      <c r="J1441">
        <v>1281.0128173999999</v>
      </c>
      <c r="K1441">
        <v>1650</v>
      </c>
      <c r="L1441">
        <v>0</v>
      </c>
      <c r="M1441">
        <v>0</v>
      </c>
      <c r="N1441">
        <v>1650</v>
      </c>
    </row>
    <row r="1442" spans="1:14" x14ac:dyDescent="0.25">
      <c r="A1442">
        <v>1276.1965319999999</v>
      </c>
      <c r="B1442" s="1">
        <f>DATE(2013,10,28) + TIME(4,43,0)</f>
        <v>41575.196527777778</v>
      </c>
      <c r="C1442">
        <v>80</v>
      </c>
      <c r="D1442">
        <v>79.942436217999997</v>
      </c>
      <c r="E1442">
        <v>40</v>
      </c>
      <c r="F1442">
        <v>41.910625457999998</v>
      </c>
      <c r="G1442">
        <v>1364.260376</v>
      </c>
      <c r="H1442">
        <v>1354.7075195</v>
      </c>
      <c r="I1442">
        <v>1297.5358887</v>
      </c>
      <c r="J1442">
        <v>1281.1387939000001</v>
      </c>
      <c r="K1442">
        <v>1650</v>
      </c>
      <c r="L1442">
        <v>0</v>
      </c>
      <c r="M1442">
        <v>0</v>
      </c>
      <c r="N1442">
        <v>1650</v>
      </c>
    </row>
    <row r="1443" spans="1:14" x14ac:dyDescent="0.25">
      <c r="A1443">
        <v>1279.165798</v>
      </c>
      <c r="B1443" s="1">
        <f>DATE(2013,10,31) + TIME(3,58,44)</f>
        <v>41578.16578703704</v>
      </c>
      <c r="C1443">
        <v>80</v>
      </c>
      <c r="D1443">
        <v>79.942497252999999</v>
      </c>
      <c r="E1443">
        <v>40</v>
      </c>
      <c r="F1443">
        <v>42.312767029</v>
      </c>
      <c r="G1443">
        <v>1364.2100829999999</v>
      </c>
      <c r="H1443">
        <v>1354.6638184000001</v>
      </c>
      <c r="I1443">
        <v>1297.6016846</v>
      </c>
      <c r="J1443">
        <v>1281.2707519999999</v>
      </c>
      <c r="K1443">
        <v>1650</v>
      </c>
      <c r="L1443">
        <v>0</v>
      </c>
      <c r="M1443">
        <v>0</v>
      </c>
      <c r="N1443">
        <v>1650</v>
      </c>
    </row>
    <row r="1444" spans="1:14" x14ac:dyDescent="0.25">
      <c r="A1444">
        <v>1280</v>
      </c>
      <c r="B1444" s="1">
        <f>DATE(2013,11,1) + TIME(0,0,0)</f>
        <v>41579</v>
      </c>
      <c r="C1444">
        <v>80</v>
      </c>
      <c r="D1444">
        <v>79.942497252999999</v>
      </c>
      <c r="E1444">
        <v>40</v>
      </c>
      <c r="F1444">
        <v>42.551414489999999</v>
      </c>
      <c r="G1444">
        <v>1364.1605225000001</v>
      </c>
      <c r="H1444">
        <v>1354.6207274999999</v>
      </c>
      <c r="I1444">
        <v>1297.6879882999999</v>
      </c>
      <c r="J1444">
        <v>1281.3876952999999</v>
      </c>
      <c r="K1444">
        <v>1650</v>
      </c>
      <c r="L1444">
        <v>0</v>
      </c>
      <c r="M1444">
        <v>0</v>
      </c>
      <c r="N1444">
        <v>1650</v>
      </c>
    </row>
    <row r="1445" spans="1:14" x14ac:dyDescent="0.25">
      <c r="A1445">
        <v>1280.0000010000001</v>
      </c>
      <c r="B1445" s="1">
        <f>DATE(2013,11,1) + TIME(0,0,0)</f>
        <v>41579</v>
      </c>
      <c r="C1445">
        <v>80</v>
      </c>
      <c r="D1445">
        <v>79.942413329999994</v>
      </c>
      <c r="E1445">
        <v>40</v>
      </c>
      <c r="F1445">
        <v>42.551494597999998</v>
      </c>
      <c r="G1445">
        <v>1354.0213623</v>
      </c>
      <c r="H1445">
        <v>1346.1569824000001</v>
      </c>
      <c r="I1445">
        <v>1314.6884766000001</v>
      </c>
      <c r="J1445">
        <v>1298.3458252</v>
      </c>
      <c r="K1445">
        <v>0</v>
      </c>
      <c r="L1445">
        <v>1650</v>
      </c>
      <c r="M1445">
        <v>1650</v>
      </c>
      <c r="N1445">
        <v>0</v>
      </c>
    </row>
    <row r="1446" spans="1:14" x14ac:dyDescent="0.25">
      <c r="A1446">
        <v>1280.000004</v>
      </c>
      <c r="B1446" s="1">
        <f>DATE(2013,11,1) + TIME(0,0,0)</f>
        <v>41579</v>
      </c>
      <c r="C1446">
        <v>80</v>
      </c>
      <c r="D1446">
        <v>79.942199707</v>
      </c>
      <c r="E1446">
        <v>40</v>
      </c>
      <c r="F1446">
        <v>42.551704407000003</v>
      </c>
      <c r="G1446">
        <v>1352.5072021000001</v>
      </c>
      <c r="H1446">
        <v>1344.6423339999999</v>
      </c>
      <c r="I1446">
        <v>1316.3470459</v>
      </c>
      <c r="J1446">
        <v>1300.1228027</v>
      </c>
      <c r="K1446">
        <v>0</v>
      </c>
      <c r="L1446">
        <v>1650</v>
      </c>
      <c r="M1446">
        <v>1650</v>
      </c>
      <c r="N1446">
        <v>0</v>
      </c>
    </row>
    <row r="1447" spans="1:14" x14ac:dyDescent="0.25">
      <c r="A1447">
        <v>1280.0000130000001</v>
      </c>
      <c r="B1447" s="1">
        <f>DATE(2013,11,1) + TIME(0,0,1)</f>
        <v>41579.000011574077</v>
      </c>
      <c r="C1447">
        <v>80</v>
      </c>
      <c r="D1447">
        <v>79.941764832000004</v>
      </c>
      <c r="E1447">
        <v>40</v>
      </c>
      <c r="F1447">
        <v>42.552185059000003</v>
      </c>
      <c r="G1447">
        <v>1349.4505615</v>
      </c>
      <c r="H1447">
        <v>1341.5852050999999</v>
      </c>
      <c r="I1447">
        <v>1320.2413329999999</v>
      </c>
      <c r="J1447">
        <v>1304.2209473</v>
      </c>
      <c r="K1447">
        <v>0</v>
      </c>
      <c r="L1447">
        <v>1650</v>
      </c>
      <c r="M1447">
        <v>1650</v>
      </c>
      <c r="N1447">
        <v>0</v>
      </c>
    </row>
    <row r="1448" spans="1:14" x14ac:dyDescent="0.25">
      <c r="A1448">
        <v>1280.0000399999999</v>
      </c>
      <c r="B1448" s="1">
        <f>DATE(2013,11,1) + TIME(0,0,3)</f>
        <v>41579.000034722223</v>
      </c>
      <c r="C1448">
        <v>80</v>
      </c>
      <c r="D1448">
        <v>79.941123962000006</v>
      </c>
      <c r="E1448">
        <v>40</v>
      </c>
      <c r="F1448">
        <v>42.552986144999998</v>
      </c>
      <c r="G1448">
        <v>1344.9840088000001</v>
      </c>
      <c r="H1448">
        <v>1337.1202393000001</v>
      </c>
      <c r="I1448">
        <v>1327.1734618999999</v>
      </c>
      <c r="J1448">
        <v>1311.2957764</v>
      </c>
      <c r="K1448">
        <v>0</v>
      </c>
      <c r="L1448">
        <v>1650</v>
      </c>
      <c r="M1448">
        <v>1650</v>
      </c>
      <c r="N1448">
        <v>0</v>
      </c>
    </row>
    <row r="1449" spans="1:14" x14ac:dyDescent="0.25">
      <c r="A1449">
        <v>1280.000121</v>
      </c>
      <c r="B1449" s="1">
        <f>DATE(2013,11,1) + TIME(0,0,10)</f>
        <v>41579.000115740739</v>
      </c>
      <c r="C1449">
        <v>80</v>
      </c>
      <c r="D1449">
        <v>79.940406799000002</v>
      </c>
      <c r="E1449">
        <v>40</v>
      </c>
      <c r="F1449">
        <v>42.553897857999999</v>
      </c>
      <c r="G1449">
        <v>1340.0117187999999</v>
      </c>
      <c r="H1449">
        <v>1332.1518555</v>
      </c>
      <c r="I1449">
        <v>1336.1499022999999</v>
      </c>
      <c r="J1449">
        <v>1320.2801514</v>
      </c>
      <c r="K1449">
        <v>0</v>
      </c>
      <c r="L1449">
        <v>1650</v>
      </c>
      <c r="M1449">
        <v>1650</v>
      </c>
      <c r="N1449">
        <v>0</v>
      </c>
    </row>
    <row r="1450" spans="1:14" x14ac:dyDescent="0.25">
      <c r="A1450">
        <v>1280.000364</v>
      </c>
      <c r="B1450" s="1">
        <f>DATE(2013,11,1) + TIME(0,0,31)</f>
        <v>41579.000358796293</v>
      </c>
      <c r="C1450">
        <v>80</v>
      </c>
      <c r="D1450">
        <v>79.939651488999999</v>
      </c>
      <c r="E1450">
        <v>40</v>
      </c>
      <c r="F1450">
        <v>42.554512023999997</v>
      </c>
      <c r="G1450">
        <v>1335.0040283000001</v>
      </c>
      <c r="H1450">
        <v>1327.1428223</v>
      </c>
      <c r="I1450">
        <v>1345.6835937999999</v>
      </c>
      <c r="J1450">
        <v>1329.8024902</v>
      </c>
      <c r="K1450">
        <v>0</v>
      </c>
      <c r="L1450">
        <v>1650</v>
      </c>
      <c r="M1450">
        <v>1650</v>
      </c>
      <c r="N1450">
        <v>0</v>
      </c>
    </row>
    <row r="1451" spans="1:14" x14ac:dyDescent="0.25">
      <c r="A1451">
        <v>1280.0010930000001</v>
      </c>
      <c r="B1451" s="1">
        <f>DATE(2013,11,1) + TIME(0,1,34)</f>
        <v>41579.001087962963</v>
      </c>
      <c r="C1451">
        <v>80</v>
      </c>
      <c r="D1451">
        <v>79.938796996999997</v>
      </c>
      <c r="E1451">
        <v>40</v>
      </c>
      <c r="F1451">
        <v>42.554054260000001</v>
      </c>
      <c r="G1451">
        <v>1329.9165039</v>
      </c>
      <c r="H1451">
        <v>1322.0008545000001</v>
      </c>
      <c r="I1451">
        <v>1355.3500977000001</v>
      </c>
      <c r="J1451">
        <v>1339.4569091999999</v>
      </c>
      <c r="K1451">
        <v>0</v>
      </c>
      <c r="L1451">
        <v>1650</v>
      </c>
      <c r="M1451">
        <v>1650</v>
      </c>
      <c r="N1451">
        <v>0</v>
      </c>
    </row>
    <row r="1452" spans="1:14" x14ac:dyDescent="0.25">
      <c r="A1452">
        <v>1280.0032799999999</v>
      </c>
      <c r="B1452" s="1">
        <f>DATE(2013,11,1) + TIME(0,4,43)</f>
        <v>41579.003275462965</v>
      </c>
      <c r="C1452">
        <v>80</v>
      </c>
      <c r="D1452">
        <v>79.937644958000007</v>
      </c>
      <c r="E1452">
        <v>40</v>
      </c>
      <c r="F1452">
        <v>42.550292968999997</v>
      </c>
      <c r="G1452">
        <v>1324.6506348</v>
      </c>
      <c r="H1452">
        <v>1316.5827637</v>
      </c>
      <c r="I1452">
        <v>1364.8446045000001</v>
      </c>
      <c r="J1452">
        <v>1348.8770752</v>
      </c>
      <c r="K1452">
        <v>0</v>
      </c>
      <c r="L1452">
        <v>1650</v>
      </c>
      <c r="M1452">
        <v>1650</v>
      </c>
      <c r="N1452">
        <v>0</v>
      </c>
    </row>
    <row r="1453" spans="1:14" x14ac:dyDescent="0.25">
      <c r="A1453">
        <v>1280.0098410000001</v>
      </c>
      <c r="B1453" s="1">
        <f>DATE(2013,11,1) + TIME(0,14,10)</f>
        <v>41579.009837962964</v>
      </c>
      <c r="C1453">
        <v>80</v>
      </c>
      <c r="D1453">
        <v>79.935714722</v>
      </c>
      <c r="E1453">
        <v>40</v>
      </c>
      <c r="F1453">
        <v>42.536499022999998</v>
      </c>
      <c r="G1453">
        <v>1319.6477050999999</v>
      </c>
      <c r="H1453">
        <v>1311.4304199000001</v>
      </c>
      <c r="I1453">
        <v>1372.9378661999999</v>
      </c>
      <c r="J1453">
        <v>1356.8334961</v>
      </c>
      <c r="K1453">
        <v>0</v>
      </c>
      <c r="L1453">
        <v>1650</v>
      </c>
      <c r="M1453">
        <v>1650</v>
      </c>
      <c r="N1453">
        <v>0</v>
      </c>
    </row>
    <row r="1454" spans="1:14" x14ac:dyDescent="0.25">
      <c r="A1454">
        <v>1280.029524</v>
      </c>
      <c r="B1454" s="1">
        <f>DATE(2013,11,1) + TIME(0,42,30)</f>
        <v>41579.029513888891</v>
      </c>
      <c r="C1454">
        <v>80</v>
      </c>
      <c r="D1454">
        <v>79.931533813000001</v>
      </c>
      <c r="E1454">
        <v>40</v>
      </c>
      <c r="F1454">
        <v>42.493293762</v>
      </c>
      <c r="G1454">
        <v>1315.8878173999999</v>
      </c>
      <c r="H1454">
        <v>1307.6098632999999</v>
      </c>
      <c r="I1454">
        <v>1378.0765381000001</v>
      </c>
      <c r="J1454">
        <v>1361.8529053</v>
      </c>
      <c r="K1454">
        <v>0</v>
      </c>
      <c r="L1454">
        <v>1650</v>
      </c>
      <c r="M1454">
        <v>1650</v>
      </c>
      <c r="N1454">
        <v>0</v>
      </c>
    </row>
    <row r="1455" spans="1:14" x14ac:dyDescent="0.25">
      <c r="A1455">
        <v>1280.088573</v>
      </c>
      <c r="B1455" s="1">
        <f>DATE(2013,11,1) + TIME(2,7,32)</f>
        <v>41579.088564814818</v>
      </c>
      <c r="C1455">
        <v>80</v>
      </c>
      <c r="D1455">
        <v>79.920707703000005</v>
      </c>
      <c r="E1455">
        <v>40</v>
      </c>
      <c r="F1455">
        <v>42.368438720999997</v>
      </c>
      <c r="G1455">
        <v>1313.9881591999999</v>
      </c>
      <c r="H1455">
        <v>1305.6965332</v>
      </c>
      <c r="I1455">
        <v>1379.9873047000001</v>
      </c>
      <c r="J1455">
        <v>1363.7058105000001</v>
      </c>
      <c r="K1455">
        <v>0</v>
      </c>
      <c r="L1455">
        <v>1650</v>
      </c>
      <c r="M1455">
        <v>1650</v>
      </c>
      <c r="N1455">
        <v>0</v>
      </c>
    </row>
    <row r="1456" spans="1:14" x14ac:dyDescent="0.25">
      <c r="A1456">
        <v>1280.2213839999999</v>
      </c>
      <c r="B1456" s="1">
        <f>DATE(2013,11,1) + TIME(5,18,47)</f>
        <v>41579.221377314818</v>
      </c>
      <c r="C1456">
        <v>80</v>
      </c>
      <c r="D1456">
        <v>79.898452758999994</v>
      </c>
      <c r="E1456">
        <v>40</v>
      </c>
      <c r="F1456">
        <v>42.117511749000002</v>
      </c>
      <c r="G1456">
        <v>1313.4777832</v>
      </c>
      <c r="H1456">
        <v>1305.1834716999999</v>
      </c>
      <c r="I1456">
        <v>1380.1835937999999</v>
      </c>
      <c r="J1456">
        <v>1363.8814697</v>
      </c>
      <c r="K1456">
        <v>0</v>
      </c>
      <c r="L1456">
        <v>1650</v>
      </c>
      <c r="M1456">
        <v>1650</v>
      </c>
      <c r="N1456">
        <v>0</v>
      </c>
    </row>
    <row r="1457" spans="1:14" x14ac:dyDescent="0.25">
      <c r="A1457">
        <v>1280.3645939999999</v>
      </c>
      <c r="B1457" s="1">
        <f>DATE(2013,11,1) + TIME(8,45,0)</f>
        <v>41579.364583333336</v>
      </c>
      <c r="C1457">
        <v>80</v>
      </c>
      <c r="D1457">
        <v>79.875274657999995</v>
      </c>
      <c r="E1457">
        <v>40</v>
      </c>
      <c r="F1457">
        <v>41.878147124999998</v>
      </c>
      <c r="G1457">
        <v>1313.3948975000001</v>
      </c>
      <c r="H1457">
        <v>1305.0998535000001</v>
      </c>
      <c r="I1457">
        <v>1380.1029053</v>
      </c>
      <c r="J1457">
        <v>1363.793457</v>
      </c>
      <c r="K1457">
        <v>0</v>
      </c>
      <c r="L1457">
        <v>1650</v>
      </c>
      <c r="M1457">
        <v>1650</v>
      </c>
      <c r="N1457">
        <v>0</v>
      </c>
    </row>
    <row r="1458" spans="1:14" x14ac:dyDescent="0.25">
      <c r="A1458">
        <v>1280.5199849999999</v>
      </c>
      <c r="B1458" s="1">
        <f>DATE(2013,11,1) + TIME(12,28,46)</f>
        <v>41579.519976851851</v>
      </c>
      <c r="C1458">
        <v>80</v>
      </c>
      <c r="D1458">
        <v>79.850952148000005</v>
      </c>
      <c r="E1458">
        <v>40</v>
      </c>
      <c r="F1458">
        <v>41.650455475000001</v>
      </c>
      <c r="G1458">
        <v>1313.3756103999999</v>
      </c>
      <c r="H1458">
        <v>1305.0802002</v>
      </c>
      <c r="I1458">
        <v>1380.0164795000001</v>
      </c>
      <c r="J1458">
        <v>1363.7023925999999</v>
      </c>
      <c r="K1458">
        <v>0</v>
      </c>
      <c r="L1458">
        <v>1650</v>
      </c>
      <c r="M1458">
        <v>1650</v>
      </c>
      <c r="N1458">
        <v>0</v>
      </c>
    </row>
    <row r="1459" spans="1:14" x14ac:dyDescent="0.25">
      <c r="A1459">
        <v>1280.690071</v>
      </c>
      <c r="B1459" s="1">
        <f>DATE(2013,11,1) + TIME(16,33,42)</f>
        <v>41579.690069444441</v>
      </c>
      <c r="C1459">
        <v>80</v>
      </c>
      <c r="D1459">
        <v>79.825225829999994</v>
      </c>
      <c r="E1459">
        <v>40</v>
      </c>
      <c r="F1459">
        <v>41.434272765999999</v>
      </c>
      <c r="G1459">
        <v>1313.3668213000001</v>
      </c>
      <c r="H1459">
        <v>1305.0709228999999</v>
      </c>
      <c r="I1459">
        <v>1379.9349365</v>
      </c>
      <c r="J1459">
        <v>1363.6180420000001</v>
      </c>
      <c r="K1459">
        <v>0</v>
      </c>
      <c r="L1459">
        <v>1650</v>
      </c>
      <c r="M1459">
        <v>1650</v>
      </c>
      <c r="N1459">
        <v>0</v>
      </c>
    </row>
    <row r="1460" spans="1:14" x14ac:dyDescent="0.25">
      <c r="A1460">
        <v>1280.8782229999999</v>
      </c>
      <c r="B1460" s="1">
        <f>DATE(2013,11,1) + TIME(21,4,38)</f>
        <v>41579.878217592595</v>
      </c>
      <c r="C1460">
        <v>80</v>
      </c>
      <c r="D1460">
        <v>79.797760010000005</v>
      </c>
      <c r="E1460">
        <v>40</v>
      </c>
      <c r="F1460">
        <v>41.229507446</v>
      </c>
      <c r="G1460">
        <v>1313.3596190999999</v>
      </c>
      <c r="H1460">
        <v>1305.0631103999999</v>
      </c>
      <c r="I1460">
        <v>1379.855957</v>
      </c>
      <c r="J1460">
        <v>1363.5378418</v>
      </c>
      <c r="K1460">
        <v>0</v>
      </c>
      <c r="L1460">
        <v>1650</v>
      </c>
      <c r="M1460">
        <v>1650</v>
      </c>
      <c r="N1460">
        <v>0</v>
      </c>
    </row>
    <row r="1461" spans="1:14" x14ac:dyDescent="0.25">
      <c r="A1461">
        <v>1281.089005</v>
      </c>
      <c r="B1461" s="1">
        <f>DATE(2013,11,2) + TIME(2,8,10)</f>
        <v>41580.089004629626</v>
      </c>
      <c r="C1461">
        <v>80</v>
      </c>
      <c r="D1461">
        <v>79.768127441000004</v>
      </c>
      <c r="E1461">
        <v>40</v>
      </c>
      <c r="F1461">
        <v>41.036216736</v>
      </c>
      <c r="G1461">
        <v>1313.3520507999999</v>
      </c>
      <c r="H1461">
        <v>1305.0548096</v>
      </c>
      <c r="I1461">
        <v>1379.7785644999999</v>
      </c>
      <c r="J1461">
        <v>1363.4609375</v>
      </c>
      <c r="K1461">
        <v>0</v>
      </c>
      <c r="L1461">
        <v>1650</v>
      </c>
      <c r="M1461">
        <v>1650</v>
      </c>
      <c r="N1461">
        <v>0</v>
      </c>
    </row>
    <row r="1462" spans="1:14" x14ac:dyDescent="0.25">
      <c r="A1462">
        <v>1281.3288230000001</v>
      </c>
      <c r="B1462" s="1">
        <f>DATE(2013,11,2) + TIME(7,53,30)</f>
        <v>41580.328819444447</v>
      </c>
      <c r="C1462">
        <v>80</v>
      </c>
      <c r="D1462">
        <v>79.735725403000004</v>
      </c>
      <c r="E1462">
        <v>40</v>
      </c>
      <c r="F1462">
        <v>40.854625702</v>
      </c>
      <c r="G1462">
        <v>1313.3438721</v>
      </c>
      <c r="H1462">
        <v>1305.0458983999999</v>
      </c>
      <c r="I1462">
        <v>1379.7025146000001</v>
      </c>
      <c r="J1462">
        <v>1363.3873291</v>
      </c>
      <c r="K1462">
        <v>0</v>
      </c>
      <c r="L1462">
        <v>1650</v>
      </c>
      <c r="M1462">
        <v>1650</v>
      </c>
      <c r="N1462">
        <v>0</v>
      </c>
    </row>
    <row r="1463" spans="1:14" x14ac:dyDescent="0.25">
      <c r="A1463">
        <v>1281.5938120000001</v>
      </c>
      <c r="B1463" s="1">
        <f>DATE(2013,11,2) + TIME(14,15,5)</f>
        <v>41580.593807870369</v>
      </c>
      <c r="C1463">
        <v>80</v>
      </c>
      <c r="D1463">
        <v>79.701141356999997</v>
      </c>
      <c r="E1463">
        <v>40</v>
      </c>
      <c r="F1463">
        <v>40.69172287</v>
      </c>
      <c r="G1463">
        <v>1313.3347168</v>
      </c>
      <c r="H1463">
        <v>1305.0358887</v>
      </c>
      <c r="I1463">
        <v>1379.6306152</v>
      </c>
      <c r="J1463">
        <v>1363.3197021000001</v>
      </c>
      <c r="K1463">
        <v>0</v>
      </c>
      <c r="L1463">
        <v>1650</v>
      </c>
      <c r="M1463">
        <v>1650</v>
      </c>
      <c r="N1463">
        <v>0</v>
      </c>
    </row>
    <row r="1464" spans="1:14" x14ac:dyDescent="0.25">
      <c r="A1464">
        <v>1281.875597</v>
      </c>
      <c r="B1464" s="1">
        <f>DATE(2013,11,2) + TIME(21,0,51)</f>
        <v>41580.875590277778</v>
      </c>
      <c r="C1464">
        <v>80</v>
      </c>
      <c r="D1464">
        <v>79.665306091000005</v>
      </c>
      <c r="E1464">
        <v>40</v>
      </c>
      <c r="F1464">
        <v>40.552574157999999</v>
      </c>
      <c r="G1464">
        <v>1313.3248291</v>
      </c>
      <c r="H1464">
        <v>1305.0251464999999</v>
      </c>
      <c r="I1464">
        <v>1379.5655518000001</v>
      </c>
      <c r="J1464">
        <v>1363.2606201000001</v>
      </c>
      <c r="K1464">
        <v>0</v>
      </c>
      <c r="L1464">
        <v>1650</v>
      </c>
      <c r="M1464">
        <v>1650</v>
      </c>
      <c r="N1464">
        <v>0</v>
      </c>
    </row>
    <row r="1465" spans="1:14" x14ac:dyDescent="0.25">
      <c r="A1465">
        <v>1282.178521</v>
      </c>
      <c r="B1465" s="1">
        <f>DATE(2013,11,3) + TIME(4,17,4)</f>
        <v>41581.178518518522</v>
      </c>
      <c r="C1465">
        <v>80</v>
      </c>
      <c r="D1465">
        <v>79.627792357999994</v>
      </c>
      <c r="E1465">
        <v>40</v>
      </c>
      <c r="F1465">
        <v>40.434024811</v>
      </c>
      <c r="G1465">
        <v>1313.3144531</v>
      </c>
      <c r="H1465">
        <v>1305.0136719</v>
      </c>
      <c r="I1465">
        <v>1379.5069579999999</v>
      </c>
      <c r="J1465">
        <v>1363.2088623</v>
      </c>
      <c r="K1465">
        <v>0</v>
      </c>
      <c r="L1465">
        <v>1650</v>
      </c>
      <c r="M1465">
        <v>1650</v>
      </c>
      <c r="N1465">
        <v>0</v>
      </c>
    </row>
    <row r="1466" spans="1:14" x14ac:dyDescent="0.25">
      <c r="A1466">
        <v>1282.5064540000001</v>
      </c>
      <c r="B1466" s="1">
        <f>DATE(2013,11,3) + TIME(12,9,17)</f>
        <v>41581.50644675926</v>
      </c>
      <c r="C1466">
        <v>80</v>
      </c>
      <c r="D1466">
        <v>79.588226317999997</v>
      </c>
      <c r="E1466">
        <v>40</v>
      </c>
      <c r="F1466">
        <v>40.333927154999998</v>
      </c>
      <c r="G1466">
        <v>1313.3034668</v>
      </c>
      <c r="H1466">
        <v>1305.0015868999999</v>
      </c>
      <c r="I1466">
        <v>1379.4541016000001</v>
      </c>
      <c r="J1466">
        <v>1363.1640625</v>
      </c>
      <c r="K1466">
        <v>0</v>
      </c>
      <c r="L1466">
        <v>1650</v>
      </c>
      <c r="M1466">
        <v>1650</v>
      </c>
      <c r="N1466">
        <v>0</v>
      </c>
    </row>
    <row r="1467" spans="1:14" x14ac:dyDescent="0.25">
      <c r="A1467">
        <v>1282.8645710000001</v>
      </c>
      <c r="B1467" s="1">
        <f>DATE(2013,11,3) + TIME(20,44,58)</f>
        <v>41581.864560185182</v>
      </c>
      <c r="C1467">
        <v>80</v>
      </c>
      <c r="D1467">
        <v>79.546157836999996</v>
      </c>
      <c r="E1467">
        <v>40</v>
      </c>
      <c r="F1467">
        <v>40.250270843999999</v>
      </c>
      <c r="G1467">
        <v>1313.2917480000001</v>
      </c>
      <c r="H1467">
        <v>1304.9886475000001</v>
      </c>
      <c r="I1467">
        <v>1379.4066161999999</v>
      </c>
      <c r="J1467">
        <v>1363.1254882999999</v>
      </c>
      <c r="K1467">
        <v>0</v>
      </c>
      <c r="L1467">
        <v>1650</v>
      </c>
      <c r="M1467">
        <v>1650</v>
      </c>
      <c r="N1467">
        <v>0</v>
      </c>
    </row>
    <row r="1468" spans="1:14" x14ac:dyDescent="0.25">
      <c r="A1468">
        <v>1283.2595779999999</v>
      </c>
      <c r="B1468" s="1">
        <f>DATE(2013,11,4) + TIME(6,13,47)</f>
        <v>41582.259571759256</v>
      </c>
      <c r="C1468">
        <v>80</v>
      </c>
      <c r="D1468">
        <v>79.500991821</v>
      </c>
      <c r="E1468">
        <v>40</v>
      </c>
      <c r="F1468">
        <v>40.181251525999997</v>
      </c>
      <c r="G1468">
        <v>1313.2791748</v>
      </c>
      <c r="H1468">
        <v>1304.9746094</v>
      </c>
      <c r="I1468">
        <v>1379.3640137</v>
      </c>
      <c r="J1468">
        <v>1363.0924072</v>
      </c>
      <c r="K1468">
        <v>0</v>
      </c>
      <c r="L1468">
        <v>1650</v>
      </c>
      <c r="M1468">
        <v>1650</v>
      </c>
      <c r="N1468">
        <v>0</v>
      </c>
    </row>
    <row r="1469" spans="1:14" x14ac:dyDescent="0.25">
      <c r="A1469">
        <v>1283.7003360000001</v>
      </c>
      <c r="B1469" s="1">
        <f>DATE(2013,11,4) + TIME(16,48,29)</f>
        <v>41582.700335648151</v>
      </c>
      <c r="C1469">
        <v>80</v>
      </c>
      <c r="D1469">
        <v>79.452003478999998</v>
      </c>
      <c r="E1469">
        <v>40</v>
      </c>
      <c r="F1469">
        <v>40.125221252000003</v>
      </c>
      <c r="G1469">
        <v>1313.2653809000001</v>
      </c>
      <c r="H1469">
        <v>1304.9593506000001</v>
      </c>
      <c r="I1469">
        <v>1379.3258057</v>
      </c>
      <c r="J1469">
        <v>1363.0645752</v>
      </c>
      <c r="K1469">
        <v>0</v>
      </c>
      <c r="L1469">
        <v>1650</v>
      </c>
      <c r="M1469">
        <v>1650</v>
      </c>
      <c r="N1469">
        <v>0</v>
      </c>
    </row>
    <row r="1470" spans="1:14" x14ac:dyDescent="0.25">
      <c r="A1470">
        <v>1284.1803910000001</v>
      </c>
      <c r="B1470" s="1">
        <f>DATE(2013,11,5) + TIME(4,19,45)</f>
        <v>41583.180381944447</v>
      </c>
      <c r="C1470">
        <v>80</v>
      </c>
      <c r="D1470">
        <v>79.399665833</v>
      </c>
      <c r="E1470">
        <v>40</v>
      </c>
      <c r="F1470">
        <v>40.081832886000001</v>
      </c>
      <c r="G1470">
        <v>1313.2502440999999</v>
      </c>
      <c r="H1470">
        <v>1304.9423827999999</v>
      </c>
      <c r="I1470">
        <v>1379.2921143000001</v>
      </c>
      <c r="J1470">
        <v>1363.0417480000001</v>
      </c>
      <c r="K1470">
        <v>0</v>
      </c>
      <c r="L1470">
        <v>1650</v>
      </c>
      <c r="M1470">
        <v>1650</v>
      </c>
      <c r="N1470">
        <v>0</v>
      </c>
    </row>
    <row r="1471" spans="1:14" x14ac:dyDescent="0.25">
      <c r="A1471">
        <v>1284.6668420000001</v>
      </c>
      <c r="B1471" s="1">
        <f>DATE(2013,11,5) + TIME(16,0,15)</f>
        <v>41583.66684027778</v>
      </c>
      <c r="C1471">
        <v>80</v>
      </c>
      <c r="D1471">
        <v>79.346504210999996</v>
      </c>
      <c r="E1471">
        <v>40</v>
      </c>
      <c r="F1471">
        <v>40.050670623999999</v>
      </c>
      <c r="G1471">
        <v>1313.2336425999999</v>
      </c>
      <c r="H1471">
        <v>1304.9240723</v>
      </c>
      <c r="I1471">
        <v>1379.2636719</v>
      </c>
      <c r="J1471">
        <v>1363.0242920000001</v>
      </c>
      <c r="K1471">
        <v>0</v>
      </c>
      <c r="L1471">
        <v>1650</v>
      </c>
      <c r="M1471">
        <v>1650</v>
      </c>
      <c r="N1471">
        <v>0</v>
      </c>
    </row>
    <row r="1472" spans="1:14" x14ac:dyDescent="0.25">
      <c r="A1472">
        <v>1285.165272</v>
      </c>
      <c r="B1472" s="1">
        <f>DATE(2013,11,6) + TIME(3,57,59)</f>
        <v>41584.165266203701</v>
      </c>
      <c r="C1472">
        <v>80</v>
      </c>
      <c r="D1472">
        <v>79.292297363000003</v>
      </c>
      <c r="E1472">
        <v>40</v>
      </c>
      <c r="F1472">
        <v>40.028179168999998</v>
      </c>
      <c r="G1472">
        <v>1313.2170410000001</v>
      </c>
      <c r="H1472">
        <v>1304.9056396000001</v>
      </c>
      <c r="I1472">
        <v>1379.2397461</v>
      </c>
      <c r="J1472">
        <v>1363.0108643000001</v>
      </c>
      <c r="K1472">
        <v>0</v>
      </c>
      <c r="L1472">
        <v>1650</v>
      </c>
      <c r="M1472">
        <v>1650</v>
      </c>
      <c r="N1472">
        <v>0</v>
      </c>
    </row>
    <row r="1473" spans="1:14" x14ac:dyDescent="0.25">
      <c r="A1473">
        <v>1285.680816</v>
      </c>
      <c r="B1473" s="1">
        <f>DATE(2013,11,6) + TIME(16,20,22)</f>
        <v>41584.680810185186</v>
      </c>
      <c r="C1473">
        <v>80</v>
      </c>
      <c r="D1473">
        <v>79.236785889000004</v>
      </c>
      <c r="E1473">
        <v>40</v>
      </c>
      <c r="F1473">
        <v>40.011951447000001</v>
      </c>
      <c r="G1473">
        <v>1313.2000731999999</v>
      </c>
      <c r="H1473">
        <v>1304.8867187999999</v>
      </c>
      <c r="I1473">
        <v>1379.2192382999999</v>
      </c>
      <c r="J1473">
        <v>1363.0002440999999</v>
      </c>
      <c r="K1473">
        <v>0</v>
      </c>
      <c r="L1473">
        <v>1650</v>
      </c>
      <c r="M1473">
        <v>1650</v>
      </c>
      <c r="N1473">
        <v>0</v>
      </c>
    </row>
    <row r="1474" spans="1:14" x14ac:dyDescent="0.25">
      <c r="A1474">
        <v>1286.218652</v>
      </c>
      <c r="B1474" s="1">
        <f>DATE(2013,11,7) + TIME(5,14,51)</f>
        <v>41585.218645833331</v>
      </c>
      <c r="C1474">
        <v>80</v>
      </c>
      <c r="D1474">
        <v>79.179626464999998</v>
      </c>
      <c r="E1474">
        <v>40</v>
      </c>
      <c r="F1474">
        <v>40.000282288000001</v>
      </c>
      <c r="G1474">
        <v>1313.1826172000001</v>
      </c>
      <c r="H1474">
        <v>1304.8670654</v>
      </c>
      <c r="I1474">
        <v>1379.2014160000001</v>
      </c>
      <c r="J1474">
        <v>1362.9918213000001</v>
      </c>
      <c r="K1474">
        <v>0</v>
      </c>
      <c r="L1474">
        <v>1650</v>
      </c>
      <c r="M1474">
        <v>1650</v>
      </c>
      <c r="N1474">
        <v>0</v>
      </c>
    </row>
    <row r="1475" spans="1:14" x14ac:dyDescent="0.25">
      <c r="A1475">
        <v>1286.78442</v>
      </c>
      <c r="B1475" s="1">
        <f>DATE(2013,11,7) + TIME(18,49,33)</f>
        <v>41585.784409722219</v>
      </c>
      <c r="C1475">
        <v>80</v>
      </c>
      <c r="D1475">
        <v>79.120437621999997</v>
      </c>
      <c r="E1475">
        <v>40</v>
      </c>
      <c r="F1475">
        <v>39.991950989000003</v>
      </c>
      <c r="G1475">
        <v>1313.1645507999999</v>
      </c>
      <c r="H1475">
        <v>1304.8466797000001</v>
      </c>
      <c r="I1475">
        <v>1379.1854248</v>
      </c>
      <c r="J1475">
        <v>1362.9851074000001</v>
      </c>
      <c r="K1475">
        <v>0</v>
      </c>
      <c r="L1475">
        <v>1650</v>
      </c>
      <c r="M1475">
        <v>1650</v>
      </c>
      <c r="N1475">
        <v>0</v>
      </c>
    </row>
    <row r="1476" spans="1:14" x14ac:dyDescent="0.25">
      <c r="A1476">
        <v>1287.38456</v>
      </c>
      <c r="B1476" s="1">
        <f>DATE(2013,11,8) + TIME(9,13,46)</f>
        <v>41586.384560185186</v>
      </c>
      <c r="C1476">
        <v>80</v>
      </c>
      <c r="D1476">
        <v>79.058746338000006</v>
      </c>
      <c r="E1476">
        <v>40</v>
      </c>
      <c r="F1476">
        <v>39.986068725999999</v>
      </c>
      <c r="G1476">
        <v>1313.1455077999999</v>
      </c>
      <c r="H1476">
        <v>1304.8251952999999</v>
      </c>
      <c r="I1476">
        <v>1379.1710204999999</v>
      </c>
      <c r="J1476">
        <v>1362.9796143000001</v>
      </c>
      <c r="K1476">
        <v>0</v>
      </c>
      <c r="L1476">
        <v>1650</v>
      </c>
      <c r="M1476">
        <v>1650</v>
      </c>
      <c r="N1476">
        <v>0</v>
      </c>
    </row>
    <row r="1477" spans="1:14" x14ac:dyDescent="0.25">
      <c r="A1477">
        <v>1288.026568</v>
      </c>
      <c r="B1477" s="1">
        <f>DATE(2013,11,9) + TIME(0,38,15)</f>
        <v>41587.026562500003</v>
      </c>
      <c r="C1477">
        <v>80</v>
      </c>
      <c r="D1477">
        <v>78.994018554999997</v>
      </c>
      <c r="E1477">
        <v>40</v>
      </c>
      <c r="F1477">
        <v>39.981971741000002</v>
      </c>
      <c r="G1477">
        <v>1313.1253661999999</v>
      </c>
      <c r="H1477">
        <v>1304.8024902</v>
      </c>
      <c r="I1477">
        <v>1379.1577147999999</v>
      </c>
      <c r="J1477">
        <v>1362.9749756000001</v>
      </c>
      <c r="K1477">
        <v>0</v>
      </c>
      <c r="L1477">
        <v>1650</v>
      </c>
      <c r="M1477">
        <v>1650</v>
      </c>
      <c r="N1477">
        <v>0</v>
      </c>
    </row>
    <row r="1478" spans="1:14" x14ac:dyDescent="0.25">
      <c r="A1478">
        <v>1288.7200150000001</v>
      </c>
      <c r="B1478" s="1">
        <f>DATE(2013,11,9) + TIME(17,16,49)</f>
        <v>41587.720011574071</v>
      </c>
      <c r="C1478">
        <v>80</v>
      </c>
      <c r="D1478">
        <v>78.925567627000007</v>
      </c>
      <c r="E1478">
        <v>40</v>
      </c>
      <c r="F1478">
        <v>39.979171753000003</v>
      </c>
      <c r="G1478">
        <v>1313.1038818</v>
      </c>
      <c r="H1478">
        <v>1304.7780762</v>
      </c>
      <c r="I1478">
        <v>1379.1452637</v>
      </c>
      <c r="J1478">
        <v>1362.9711914</v>
      </c>
      <c r="K1478">
        <v>0</v>
      </c>
      <c r="L1478">
        <v>1650</v>
      </c>
      <c r="M1478">
        <v>1650</v>
      </c>
      <c r="N1478">
        <v>0</v>
      </c>
    </row>
    <row r="1479" spans="1:14" x14ac:dyDescent="0.25">
      <c r="A1479">
        <v>1289.4589269999999</v>
      </c>
      <c r="B1479" s="1">
        <f>DATE(2013,11,10) + TIME(11,0,51)</f>
        <v>41588.458923611113</v>
      </c>
      <c r="C1479">
        <v>80</v>
      </c>
      <c r="D1479">
        <v>78.853645325000002</v>
      </c>
      <c r="E1479">
        <v>40</v>
      </c>
      <c r="F1479">
        <v>39.977325438999998</v>
      </c>
      <c r="G1479">
        <v>1313.0805664</v>
      </c>
      <c r="H1479">
        <v>1304.7515868999999</v>
      </c>
      <c r="I1479">
        <v>1379.1334228999999</v>
      </c>
      <c r="J1479">
        <v>1362.9677733999999</v>
      </c>
      <c r="K1479">
        <v>0</v>
      </c>
      <c r="L1479">
        <v>1650</v>
      </c>
      <c r="M1479">
        <v>1650</v>
      </c>
      <c r="N1479">
        <v>0</v>
      </c>
    </row>
    <row r="1480" spans="1:14" x14ac:dyDescent="0.25">
      <c r="A1480">
        <v>1290.2063519999999</v>
      </c>
      <c r="B1480" s="1">
        <f>DATE(2013,11,11) + TIME(4,57,8)</f>
        <v>41589.206342592595</v>
      </c>
      <c r="C1480">
        <v>80</v>
      </c>
      <c r="D1480">
        <v>78.780487061000002</v>
      </c>
      <c r="E1480">
        <v>40</v>
      </c>
      <c r="F1480">
        <v>39.976177216000004</v>
      </c>
      <c r="G1480">
        <v>1313.0556641000001</v>
      </c>
      <c r="H1480">
        <v>1304.7233887</v>
      </c>
      <c r="I1480">
        <v>1379.1221923999999</v>
      </c>
      <c r="J1480">
        <v>1362.9649658000001</v>
      </c>
      <c r="K1480">
        <v>0</v>
      </c>
      <c r="L1480">
        <v>1650</v>
      </c>
      <c r="M1480">
        <v>1650</v>
      </c>
      <c r="N1480">
        <v>0</v>
      </c>
    </row>
    <row r="1481" spans="1:14" x14ac:dyDescent="0.25">
      <c r="A1481">
        <v>1290.9689100000001</v>
      </c>
      <c r="B1481" s="1">
        <f>DATE(2013,11,11) + TIME(23,15,13)</f>
        <v>41589.968900462962</v>
      </c>
      <c r="C1481">
        <v>80</v>
      </c>
      <c r="D1481">
        <v>78.706192017000006</v>
      </c>
      <c r="E1481">
        <v>40</v>
      </c>
      <c r="F1481">
        <v>39.975463867000002</v>
      </c>
      <c r="G1481">
        <v>1313.0303954999999</v>
      </c>
      <c r="H1481">
        <v>1304.6947021000001</v>
      </c>
      <c r="I1481">
        <v>1379.1119385</v>
      </c>
      <c r="J1481">
        <v>1362.9625243999999</v>
      </c>
      <c r="K1481">
        <v>0</v>
      </c>
      <c r="L1481">
        <v>1650</v>
      </c>
      <c r="M1481">
        <v>1650</v>
      </c>
      <c r="N1481">
        <v>0</v>
      </c>
    </row>
    <row r="1482" spans="1:14" x14ac:dyDescent="0.25">
      <c r="A1482">
        <v>1291.7529440000001</v>
      </c>
      <c r="B1482" s="1">
        <f>DATE(2013,11,12) + TIME(18,4,14)</f>
        <v>41590.752939814818</v>
      </c>
      <c r="C1482">
        <v>80</v>
      </c>
      <c r="D1482">
        <v>78.630615234000004</v>
      </c>
      <c r="E1482">
        <v>40</v>
      </c>
      <c r="F1482">
        <v>39.975025176999999</v>
      </c>
      <c r="G1482">
        <v>1313.0045166</v>
      </c>
      <c r="H1482">
        <v>1304.6651611</v>
      </c>
      <c r="I1482">
        <v>1379.1024170000001</v>
      </c>
      <c r="J1482">
        <v>1362.9603271000001</v>
      </c>
      <c r="K1482">
        <v>0</v>
      </c>
      <c r="L1482">
        <v>1650</v>
      </c>
      <c r="M1482">
        <v>1650</v>
      </c>
      <c r="N1482">
        <v>0</v>
      </c>
    </row>
    <row r="1483" spans="1:14" x14ac:dyDescent="0.25">
      <c r="A1483">
        <v>1292.5649470000001</v>
      </c>
      <c r="B1483" s="1">
        <f>DATE(2013,11,13) + TIME(13,33,31)</f>
        <v>41591.564942129633</v>
      </c>
      <c r="C1483">
        <v>80</v>
      </c>
      <c r="D1483">
        <v>78.553482056000007</v>
      </c>
      <c r="E1483">
        <v>40</v>
      </c>
      <c r="F1483">
        <v>39.974761962999999</v>
      </c>
      <c r="G1483">
        <v>1312.9777832</v>
      </c>
      <c r="H1483">
        <v>1304.6345214999999</v>
      </c>
      <c r="I1483">
        <v>1379.0935059000001</v>
      </c>
      <c r="J1483">
        <v>1362.9584961</v>
      </c>
      <c r="K1483">
        <v>0</v>
      </c>
      <c r="L1483">
        <v>1650</v>
      </c>
      <c r="M1483">
        <v>1650</v>
      </c>
      <c r="N1483">
        <v>0</v>
      </c>
    </row>
    <row r="1484" spans="1:14" x14ac:dyDescent="0.25">
      <c r="A1484">
        <v>1293.411807</v>
      </c>
      <c r="B1484" s="1">
        <f>DATE(2013,11,14) + TIME(9,53,0)</f>
        <v>41592.411805555559</v>
      </c>
      <c r="C1484">
        <v>80</v>
      </c>
      <c r="D1484">
        <v>78.474372864000003</v>
      </c>
      <c r="E1484">
        <v>40</v>
      </c>
      <c r="F1484">
        <v>39.974609375</v>
      </c>
      <c r="G1484">
        <v>1312.9500731999999</v>
      </c>
      <c r="H1484">
        <v>1304.6026611</v>
      </c>
      <c r="I1484">
        <v>1379.0852050999999</v>
      </c>
      <c r="J1484">
        <v>1362.9569091999999</v>
      </c>
      <c r="K1484">
        <v>0</v>
      </c>
      <c r="L1484">
        <v>1650</v>
      </c>
      <c r="M1484">
        <v>1650</v>
      </c>
      <c r="N1484">
        <v>0</v>
      </c>
    </row>
    <row r="1485" spans="1:14" x14ac:dyDescent="0.25">
      <c r="A1485">
        <v>1294.301557</v>
      </c>
      <c r="B1485" s="1">
        <f>DATE(2013,11,15) + TIME(7,14,14)</f>
        <v>41593.301550925928</v>
      </c>
      <c r="C1485">
        <v>80</v>
      </c>
      <c r="D1485">
        <v>78.392791747999993</v>
      </c>
      <c r="E1485">
        <v>40</v>
      </c>
      <c r="F1485">
        <v>39.974521637000002</v>
      </c>
      <c r="G1485">
        <v>1312.9208983999999</v>
      </c>
      <c r="H1485">
        <v>1304.5689697</v>
      </c>
      <c r="I1485">
        <v>1379.0771483999999</v>
      </c>
      <c r="J1485">
        <v>1362.9554443</v>
      </c>
      <c r="K1485">
        <v>0</v>
      </c>
      <c r="L1485">
        <v>1650</v>
      </c>
      <c r="M1485">
        <v>1650</v>
      </c>
      <c r="N1485">
        <v>0</v>
      </c>
    </row>
    <row r="1486" spans="1:14" x14ac:dyDescent="0.25">
      <c r="A1486">
        <v>1295.243606</v>
      </c>
      <c r="B1486" s="1">
        <f>DATE(2013,11,16) + TIME(5,50,47)</f>
        <v>41594.24359953704</v>
      </c>
      <c r="C1486">
        <v>80</v>
      </c>
      <c r="D1486">
        <v>78.308128357000001</v>
      </c>
      <c r="E1486">
        <v>40</v>
      </c>
      <c r="F1486">
        <v>39.974479674999998</v>
      </c>
      <c r="G1486">
        <v>1312.8901367000001</v>
      </c>
      <c r="H1486">
        <v>1304.5333252</v>
      </c>
      <c r="I1486">
        <v>1379.0694579999999</v>
      </c>
      <c r="J1486">
        <v>1362.9542236</v>
      </c>
      <c r="K1486">
        <v>0</v>
      </c>
      <c r="L1486">
        <v>1650</v>
      </c>
      <c r="M1486">
        <v>1650</v>
      </c>
      <c r="N1486">
        <v>0</v>
      </c>
    </row>
    <row r="1487" spans="1:14" x14ac:dyDescent="0.25">
      <c r="A1487">
        <v>1296.249026</v>
      </c>
      <c r="B1487" s="1">
        <f>DATE(2013,11,17) + TIME(5,58,35)</f>
        <v>41595.249016203707</v>
      </c>
      <c r="C1487">
        <v>80</v>
      </c>
      <c r="D1487">
        <v>78.219673157000003</v>
      </c>
      <c r="E1487">
        <v>40</v>
      </c>
      <c r="F1487">
        <v>39.974464417</v>
      </c>
      <c r="G1487">
        <v>1312.8572998</v>
      </c>
      <c r="H1487">
        <v>1304.4951172000001</v>
      </c>
      <c r="I1487">
        <v>1379.0620117000001</v>
      </c>
      <c r="J1487">
        <v>1362.953125</v>
      </c>
      <c r="K1487">
        <v>0</v>
      </c>
      <c r="L1487">
        <v>1650</v>
      </c>
      <c r="M1487">
        <v>1650</v>
      </c>
      <c r="N1487">
        <v>0</v>
      </c>
    </row>
    <row r="1488" spans="1:14" x14ac:dyDescent="0.25">
      <c r="A1488">
        <v>1297.272344</v>
      </c>
      <c r="B1488" s="1">
        <f>DATE(2013,11,18) + TIME(6,32,10)</f>
        <v>41596.272337962961</v>
      </c>
      <c r="C1488">
        <v>80</v>
      </c>
      <c r="D1488">
        <v>78.129356384000005</v>
      </c>
      <c r="E1488">
        <v>40</v>
      </c>
      <c r="F1488">
        <v>39.974464417</v>
      </c>
      <c r="G1488">
        <v>1312.8218993999999</v>
      </c>
      <c r="H1488">
        <v>1304.4541016000001</v>
      </c>
      <c r="I1488">
        <v>1379.0546875</v>
      </c>
      <c r="J1488">
        <v>1362.9520264</v>
      </c>
      <c r="K1488">
        <v>0</v>
      </c>
      <c r="L1488">
        <v>1650</v>
      </c>
      <c r="M1488">
        <v>1650</v>
      </c>
      <c r="N1488">
        <v>0</v>
      </c>
    </row>
    <row r="1489" spans="1:14" x14ac:dyDescent="0.25">
      <c r="A1489">
        <v>1298.311099</v>
      </c>
      <c r="B1489" s="1">
        <f>DATE(2013,11,19) + TIME(7,27,58)</f>
        <v>41597.31108796296</v>
      </c>
      <c r="C1489">
        <v>80</v>
      </c>
      <c r="D1489">
        <v>78.037994385000005</v>
      </c>
      <c r="E1489">
        <v>40</v>
      </c>
      <c r="F1489">
        <v>39.974472046000002</v>
      </c>
      <c r="G1489">
        <v>1312.7855225000001</v>
      </c>
      <c r="H1489">
        <v>1304.4116211</v>
      </c>
      <c r="I1489">
        <v>1379.0479736</v>
      </c>
      <c r="J1489">
        <v>1362.9511719</v>
      </c>
      <c r="K1489">
        <v>0</v>
      </c>
      <c r="L1489">
        <v>1650</v>
      </c>
      <c r="M1489">
        <v>1650</v>
      </c>
      <c r="N1489">
        <v>0</v>
      </c>
    </row>
    <row r="1490" spans="1:14" x14ac:dyDescent="0.25">
      <c r="A1490">
        <v>1299.3727280000001</v>
      </c>
      <c r="B1490" s="1">
        <f>DATE(2013,11,20) + TIME(8,56,43)</f>
        <v>41598.372719907406</v>
      </c>
      <c r="C1490">
        <v>80</v>
      </c>
      <c r="D1490">
        <v>77.945655822999996</v>
      </c>
      <c r="E1490">
        <v>40</v>
      </c>
      <c r="F1490">
        <v>39.974483489999997</v>
      </c>
      <c r="G1490">
        <v>1312.7482910000001</v>
      </c>
      <c r="H1490">
        <v>1304.3677978999999</v>
      </c>
      <c r="I1490">
        <v>1379.041626</v>
      </c>
      <c r="J1490">
        <v>1362.9505615</v>
      </c>
      <c r="K1490">
        <v>0</v>
      </c>
      <c r="L1490">
        <v>1650</v>
      </c>
      <c r="M1490">
        <v>1650</v>
      </c>
      <c r="N1490">
        <v>0</v>
      </c>
    </row>
    <row r="1491" spans="1:14" x14ac:dyDescent="0.25">
      <c r="A1491">
        <v>1300.4647460000001</v>
      </c>
      <c r="B1491" s="1">
        <f>DATE(2013,11,21) + TIME(11,9,14)</f>
        <v>41599.464745370373</v>
      </c>
      <c r="C1491">
        <v>80</v>
      </c>
      <c r="D1491">
        <v>77.852119446000003</v>
      </c>
      <c r="E1491">
        <v>40</v>
      </c>
      <c r="F1491">
        <v>39.974498748999999</v>
      </c>
      <c r="G1491">
        <v>1312.7097168</v>
      </c>
      <c r="H1491">
        <v>1304.3222656</v>
      </c>
      <c r="I1491">
        <v>1379.0356445</v>
      </c>
      <c r="J1491">
        <v>1362.9499512</v>
      </c>
      <c r="K1491">
        <v>0</v>
      </c>
      <c r="L1491">
        <v>1650</v>
      </c>
      <c r="M1491">
        <v>1650</v>
      </c>
      <c r="N1491">
        <v>0</v>
      </c>
    </row>
    <row r="1492" spans="1:14" x14ac:dyDescent="0.25">
      <c r="A1492">
        <v>1301.5951689999999</v>
      </c>
      <c r="B1492" s="1">
        <f>DATE(2013,11,22) + TIME(14,17,2)</f>
        <v>41600.59516203704</v>
      </c>
      <c r="C1492">
        <v>80</v>
      </c>
      <c r="D1492">
        <v>77.756996154999996</v>
      </c>
      <c r="E1492">
        <v>40</v>
      </c>
      <c r="F1492">
        <v>39.974514008</v>
      </c>
      <c r="G1492">
        <v>1312.6696777</v>
      </c>
      <c r="H1492">
        <v>1304.2747803</v>
      </c>
      <c r="I1492">
        <v>1379.0300293</v>
      </c>
      <c r="J1492">
        <v>1362.9495850000001</v>
      </c>
      <c r="K1492">
        <v>0</v>
      </c>
      <c r="L1492">
        <v>1650</v>
      </c>
      <c r="M1492">
        <v>1650</v>
      </c>
      <c r="N1492">
        <v>0</v>
      </c>
    </row>
    <row r="1493" spans="1:14" x14ac:dyDescent="0.25">
      <c r="A1493">
        <v>1302.772571</v>
      </c>
      <c r="B1493" s="1">
        <f>DATE(2013,11,23) + TIME(18,32,30)</f>
        <v>41601.772569444445</v>
      </c>
      <c r="C1493">
        <v>80</v>
      </c>
      <c r="D1493">
        <v>77.659774780000006</v>
      </c>
      <c r="E1493">
        <v>40</v>
      </c>
      <c r="F1493">
        <v>39.974529265999998</v>
      </c>
      <c r="G1493">
        <v>1312.6276855000001</v>
      </c>
      <c r="H1493">
        <v>1304.2247314000001</v>
      </c>
      <c r="I1493">
        <v>1379.0246582</v>
      </c>
      <c r="J1493">
        <v>1362.9492187999999</v>
      </c>
      <c r="K1493">
        <v>0</v>
      </c>
      <c r="L1493">
        <v>1650</v>
      </c>
      <c r="M1493">
        <v>1650</v>
      </c>
      <c r="N1493">
        <v>0</v>
      </c>
    </row>
    <row r="1494" spans="1:14" x14ac:dyDescent="0.25">
      <c r="A1494">
        <v>1304.007194</v>
      </c>
      <c r="B1494" s="1">
        <f>DATE(2013,11,25) + TIME(0,10,21)</f>
        <v>41603.007187499999</v>
      </c>
      <c r="C1494">
        <v>80</v>
      </c>
      <c r="D1494">
        <v>77.559867858999993</v>
      </c>
      <c r="E1494">
        <v>40</v>
      </c>
      <c r="F1494">
        <v>39.974544524999999</v>
      </c>
      <c r="G1494">
        <v>1312.583374</v>
      </c>
      <c r="H1494">
        <v>1304.171875</v>
      </c>
      <c r="I1494">
        <v>1379.0195312000001</v>
      </c>
      <c r="J1494">
        <v>1362.9490966999999</v>
      </c>
      <c r="K1494">
        <v>0</v>
      </c>
      <c r="L1494">
        <v>1650</v>
      </c>
      <c r="M1494">
        <v>1650</v>
      </c>
      <c r="N1494">
        <v>0</v>
      </c>
    </row>
    <row r="1495" spans="1:14" x14ac:dyDescent="0.25">
      <c r="A1495">
        <v>1305.31113</v>
      </c>
      <c r="B1495" s="1">
        <f>DATE(2013,11,26) + TIME(7,28,1)</f>
        <v>41604.311122685183</v>
      </c>
      <c r="C1495">
        <v>80</v>
      </c>
      <c r="D1495">
        <v>77.456565857000001</v>
      </c>
      <c r="E1495">
        <v>40</v>
      </c>
      <c r="F1495">
        <v>39.974563599</v>
      </c>
      <c r="G1495">
        <v>1312.5363769999999</v>
      </c>
      <c r="H1495">
        <v>1304.1153564000001</v>
      </c>
      <c r="I1495">
        <v>1379.0145264</v>
      </c>
      <c r="J1495">
        <v>1362.9489745999999</v>
      </c>
      <c r="K1495">
        <v>0</v>
      </c>
      <c r="L1495">
        <v>1650</v>
      </c>
      <c r="M1495">
        <v>1650</v>
      </c>
      <c r="N1495">
        <v>0</v>
      </c>
    </row>
    <row r="1496" spans="1:14" x14ac:dyDescent="0.25">
      <c r="A1496">
        <v>1306.628884</v>
      </c>
      <c r="B1496" s="1">
        <f>DATE(2013,11,27) + TIME(15,5,35)</f>
        <v>41605.628877314812</v>
      </c>
      <c r="C1496">
        <v>80</v>
      </c>
      <c r="D1496">
        <v>77.351684570000003</v>
      </c>
      <c r="E1496">
        <v>40</v>
      </c>
      <c r="F1496">
        <v>39.974578856999997</v>
      </c>
      <c r="G1496">
        <v>1312.4859618999999</v>
      </c>
      <c r="H1496">
        <v>1304.0546875</v>
      </c>
      <c r="I1496">
        <v>1379.0097656</v>
      </c>
      <c r="J1496">
        <v>1362.9490966999999</v>
      </c>
      <c r="K1496">
        <v>0</v>
      </c>
      <c r="L1496">
        <v>1650</v>
      </c>
      <c r="M1496">
        <v>1650</v>
      </c>
      <c r="N1496">
        <v>0</v>
      </c>
    </row>
    <row r="1497" spans="1:14" x14ac:dyDescent="0.25">
      <c r="A1497">
        <v>1307.9659730000001</v>
      </c>
      <c r="B1497" s="1">
        <f>DATE(2013,11,28) + TIME(23,11,0)</f>
        <v>41606.96597222222</v>
      </c>
      <c r="C1497">
        <v>80</v>
      </c>
      <c r="D1497">
        <v>77.246032714999998</v>
      </c>
      <c r="E1497">
        <v>40</v>
      </c>
      <c r="F1497">
        <v>39.974594115999999</v>
      </c>
      <c r="G1497">
        <v>1312.434082</v>
      </c>
      <c r="H1497">
        <v>1303.9920654</v>
      </c>
      <c r="I1497">
        <v>1379.005249</v>
      </c>
      <c r="J1497">
        <v>1362.9492187999999</v>
      </c>
      <c r="K1497">
        <v>0</v>
      </c>
      <c r="L1497">
        <v>1650</v>
      </c>
      <c r="M1497">
        <v>1650</v>
      </c>
      <c r="N1497">
        <v>0</v>
      </c>
    </row>
    <row r="1498" spans="1:14" x14ac:dyDescent="0.25">
      <c r="A1498">
        <v>1309.3307709999999</v>
      </c>
      <c r="B1498" s="1">
        <f>DATE(2013,11,30) + TIME(7,56,18)</f>
        <v>41608.330763888887</v>
      </c>
      <c r="C1498">
        <v>80</v>
      </c>
      <c r="D1498">
        <v>77.139678954999994</v>
      </c>
      <c r="E1498">
        <v>40</v>
      </c>
      <c r="F1498">
        <v>39.974609375</v>
      </c>
      <c r="G1498">
        <v>1312.3807373</v>
      </c>
      <c r="H1498">
        <v>1303.927124</v>
      </c>
      <c r="I1498">
        <v>1379.0010986</v>
      </c>
      <c r="J1498">
        <v>1362.9494629000001</v>
      </c>
      <c r="K1498">
        <v>0</v>
      </c>
      <c r="L1498">
        <v>1650</v>
      </c>
      <c r="M1498">
        <v>1650</v>
      </c>
      <c r="N1498">
        <v>0</v>
      </c>
    </row>
    <row r="1499" spans="1:14" x14ac:dyDescent="0.25">
      <c r="A1499">
        <v>1310</v>
      </c>
      <c r="B1499" s="1">
        <f>DATE(2013,12,1) + TIME(0,0,0)</f>
        <v>41609</v>
      </c>
      <c r="C1499">
        <v>80</v>
      </c>
      <c r="D1499">
        <v>77.068977356000005</v>
      </c>
      <c r="E1499">
        <v>40</v>
      </c>
      <c r="F1499">
        <v>39.974617004000002</v>
      </c>
      <c r="G1499">
        <v>1312.3255615</v>
      </c>
      <c r="H1499">
        <v>1303.8629149999999</v>
      </c>
      <c r="I1499">
        <v>1378.9967041</v>
      </c>
      <c r="J1499">
        <v>1362.9493408000001</v>
      </c>
      <c r="K1499">
        <v>0</v>
      </c>
      <c r="L1499">
        <v>1650</v>
      </c>
      <c r="M1499">
        <v>1650</v>
      </c>
      <c r="N1499">
        <v>0</v>
      </c>
    </row>
    <row r="1500" spans="1:14" x14ac:dyDescent="0.25">
      <c r="A1500">
        <v>1311.4011</v>
      </c>
      <c r="B1500" s="1">
        <f>DATE(2013,12,2) + TIME(9,37,35)</f>
        <v>41610.401099537034</v>
      </c>
      <c r="C1500">
        <v>80</v>
      </c>
      <c r="D1500">
        <v>76.971916199000006</v>
      </c>
      <c r="E1500">
        <v>40</v>
      </c>
      <c r="F1500">
        <v>39.974632262999997</v>
      </c>
      <c r="G1500">
        <v>1312.2969971</v>
      </c>
      <c r="H1500">
        <v>1303.8234863</v>
      </c>
      <c r="I1500">
        <v>1378.9953613</v>
      </c>
      <c r="J1500">
        <v>1362.9499512</v>
      </c>
      <c r="K1500">
        <v>0</v>
      </c>
      <c r="L1500">
        <v>1650</v>
      </c>
      <c r="M1500">
        <v>1650</v>
      </c>
      <c r="N1500">
        <v>0</v>
      </c>
    </row>
    <row r="1501" spans="1:14" x14ac:dyDescent="0.25">
      <c r="A1501">
        <v>1312.873855</v>
      </c>
      <c r="B1501" s="1">
        <f>DATE(2013,12,3) + TIME(20,58,21)</f>
        <v>41611.873854166668</v>
      </c>
      <c r="C1501">
        <v>80</v>
      </c>
      <c r="D1501">
        <v>76.867576599000003</v>
      </c>
      <c r="E1501">
        <v>40</v>
      </c>
      <c r="F1501">
        <v>39.974651336999997</v>
      </c>
      <c r="G1501">
        <v>1312.2393798999999</v>
      </c>
      <c r="H1501">
        <v>1303.7529297000001</v>
      </c>
      <c r="I1501">
        <v>1378.9918213000001</v>
      </c>
      <c r="J1501">
        <v>1362.9503173999999</v>
      </c>
      <c r="K1501">
        <v>0</v>
      </c>
      <c r="L1501">
        <v>1650</v>
      </c>
      <c r="M1501">
        <v>1650</v>
      </c>
      <c r="N1501">
        <v>0</v>
      </c>
    </row>
    <row r="1502" spans="1:14" x14ac:dyDescent="0.25">
      <c r="A1502">
        <v>1314.4064000000001</v>
      </c>
      <c r="B1502" s="1">
        <f>DATE(2013,12,5) + TIME(9,45,12)</f>
        <v>41613.406388888892</v>
      </c>
      <c r="C1502">
        <v>80</v>
      </c>
      <c r="D1502">
        <v>76.758102417000003</v>
      </c>
      <c r="E1502">
        <v>40</v>
      </c>
      <c r="F1502">
        <v>39.974670410000002</v>
      </c>
      <c r="G1502">
        <v>1312.1773682</v>
      </c>
      <c r="H1502">
        <v>1303.6767577999999</v>
      </c>
      <c r="I1502">
        <v>1378.9884033000001</v>
      </c>
      <c r="J1502">
        <v>1362.9509277</v>
      </c>
      <c r="K1502">
        <v>0</v>
      </c>
      <c r="L1502">
        <v>1650</v>
      </c>
      <c r="M1502">
        <v>1650</v>
      </c>
      <c r="N1502">
        <v>0</v>
      </c>
    </row>
    <row r="1503" spans="1:14" x14ac:dyDescent="0.25">
      <c r="A1503">
        <v>1316.010757</v>
      </c>
      <c r="B1503" s="1">
        <f>DATE(2013,12,7) + TIME(0,15,29)</f>
        <v>41615.010752314818</v>
      </c>
      <c r="C1503">
        <v>80</v>
      </c>
      <c r="D1503">
        <v>76.644363403</v>
      </c>
      <c r="E1503">
        <v>40</v>
      </c>
      <c r="F1503">
        <v>39.974685669000003</v>
      </c>
      <c r="G1503">
        <v>1312.1118164</v>
      </c>
      <c r="H1503">
        <v>1303.5953368999999</v>
      </c>
      <c r="I1503">
        <v>1378.9849853999999</v>
      </c>
      <c r="J1503">
        <v>1362.9515381000001</v>
      </c>
      <c r="K1503">
        <v>0</v>
      </c>
      <c r="L1503">
        <v>1650</v>
      </c>
      <c r="M1503">
        <v>1650</v>
      </c>
      <c r="N1503">
        <v>0</v>
      </c>
    </row>
    <row r="1504" spans="1:14" x14ac:dyDescent="0.25">
      <c r="A1504">
        <v>1317.6285190000001</v>
      </c>
      <c r="B1504" s="1">
        <f>DATE(2013,12,8) + TIME(15,5,4)</f>
        <v>41616.628518518519</v>
      </c>
      <c r="C1504">
        <v>80</v>
      </c>
      <c r="D1504">
        <v>76.528533936000002</v>
      </c>
      <c r="E1504">
        <v>40</v>
      </c>
      <c r="F1504">
        <v>39.974704742</v>
      </c>
      <c r="G1504">
        <v>1312.0418701000001</v>
      </c>
      <c r="H1504">
        <v>1303.5084228999999</v>
      </c>
      <c r="I1504">
        <v>1378.9818115</v>
      </c>
      <c r="J1504">
        <v>1362.9522704999999</v>
      </c>
      <c r="K1504">
        <v>0</v>
      </c>
      <c r="L1504">
        <v>1650</v>
      </c>
      <c r="M1504">
        <v>1650</v>
      </c>
      <c r="N1504">
        <v>0</v>
      </c>
    </row>
    <row r="1505" spans="1:14" x14ac:dyDescent="0.25">
      <c r="A1505">
        <v>1319.2689620000001</v>
      </c>
      <c r="B1505" s="1">
        <f>DATE(2013,12,10) + TIME(6,27,18)</f>
        <v>41618.268958333334</v>
      </c>
      <c r="C1505">
        <v>80</v>
      </c>
      <c r="D1505">
        <v>76.411888122999997</v>
      </c>
      <c r="E1505">
        <v>40</v>
      </c>
      <c r="F1505">
        <v>39.974723816000001</v>
      </c>
      <c r="G1505">
        <v>1311.9698486</v>
      </c>
      <c r="H1505">
        <v>1303.4182129000001</v>
      </c>
      <c r="I1505">
        <v>1378.9788818</v>
      </c>
      <c r="J1505">
        <v>1362.9530029</v>
      </c>
      <c r="K1505">
        <v>0</v>
      </c>
      <c r="L1505">
        <v>1650</v>
      </c>
      <c r="M1505">
        <v>1650</v>
      </c>
      <c r="N1505">
        <v>0</v>
      </c>
    </row>
    <row r="1506" spans="1:14" x14ac:dyDescent="0.25">
      <c r="A1506">
        <v>1320.941372</v>
      </c>
      <c r="B1506" s="1">
        <f>DATE(2013,12,11) + TIME(22,35,34)</f>
        <v>41619.941365740742</v>
      </c>
      <c r="C1506">
        <v>80</v>
      </c>
      <c r="D1506">
        <v>76.294586182000003</v>
      </c>
      <c r="E1506">
        <v>40</v>
      </c>
      <c r="F1506">
        <v>39.974746703999998</v>
      </c>
      <c r="G1506">
        <v>1311.8955077999999</v>
      </c>
      <c r="H1506">
        <v>1303.324707</v>
      </c>
      <c r="I1506">
        <v>1378.9761963000001</v>
      </c>
      <c r="J1506">
        <v>1362.9538574000001</v>
      </c>
      <c r="K1506">
        <v>0</v>
      </c>
      <c r="L1506">
        <v>1650</v>
      </c>
      <c r="M1506">
        <v>1650</v>
      </c>
      <c r="N1506">
        <v>0</v>
      </c>
    </row>
    <row r="1507" spans="1:14" x14ac:dyDescent="0.25">
      <c r="A1507">
        <v>1322.6554140000001</v>
      </c>
      <c r="B1507" s="1">
        <f>DATE(2013,12,13) + TIME(15,43,47)</f>
        <v>41621.655405092592</v>
      </c>
      <c r="C1507">
        <v>80</v>
      </c>
      <c r="D1507">
        <v>76.176353454999997</v>
      </c>
      <c r="E1507">
        <v>40</v>
      </c>
      <c r="F1507">
        <v>39.974765777999998</v>
      </c>
      <c r="G1507">
        <v>1311.8182373</v>
      </c>
      <c r="H1507">
        <v>1303.2270507999999</v>
      </c>
      <c r="I1507">
        <v>1378.9736327999999</v>
      </c>
      <c r="J1507">
        <v>1362.9547118999999</v>
      </c>
      <c r="K1507">
        <v>0</v>
      </c>
      <c r="L1507">
        <v>1650</v>
      </c>
      <c r="M1507">
        <v>1650</v>
      </c>
      <c r="N1507">
        <v>0</v>
      </c>
    </row>
    <row r="1508" spans="1:14" x14ac:dyDescent="0.25">
      <c r="A1508">
        <v>1324.4214360000001</v>
      </c>
      <c r="B1508" s="1">
        <f>DATE(2013,12,15) + TIME(10,6,52)</f>
        <v>41623.421435185184</v>
      </c>
      <c r="C1508">
        <v>80</v>
      </c>
      <c r="D1508">
        <v>76.056686400999993</v>
      </c>
      <c r="E1508">
        <v>40</v>
      </c>
      <c r="F1508">
        <v>39.974788666000002</v>
      </c>
      <c r="G1508">
        <v>1311.737793</v>
      </c>
      <c r="H1508">
        <v>1303.1248779</v>
      </c>
      <c r="I1508">
        <v>1378.9711914</v>
      </c>
      <c r="J1508">
        <v>1362.9556885</v>
      </c>
      <c r="K1508">
        <v>0</v>
      </c>
      <c r="L1508">
        <v>1650</v>
      </c>
      <c r="M1508">
        <v>1650</v>
      </c>
      <c r="N1508">
        <v>0</v>
      </c>
    </row>
    <row r="1509" spans="1:14" x14ac:dyDescent="0.25">
      <c r="A1509">
        <v>1326.2507519999999</v>
      </c>
      <c r="B1509" s="1">
        <f>DATE(2013,12,17) + TIME(6,1,5)</f>
        <v>41625.250752314816</v>
      </c>
      <c r="C1509">
        <v>80</v>
      </c>
      <c r="D1509">
        <v>75.934967040999993</v>
      </c>
      <c r="E1509">
        <v>40</v>
      </c>
      <c r="F1509">
        <v>39.974807738999999</v>
      </c>
      <c r="G1509">
        <v>1311.6531981999999</v>
      </c>
      <c r="H1509">
        <v>1303.0170897999999</v>
      </c>
      <c r="I1509">
        <v>1378.9689940999999</v>
      </c>
      <c r="J1509">
        <v>1362.9566649999999</v>
      </c>
      <c r="K1509">
        <v>0</v>
      </c>
      <c r="L1509">
        <v>1650</v>
      </c>
      <c r="M1509">
        <v>1650</v>
      </c>
      <c r="N1509">
        <v>0</v>
      </c>
    </row>
    <row r="1510" spans="1:14" x14ac:dyDescent="0.25">
      <c r="A1510">
        <v>1328.150347</v>
      </c>
      <c r="B1510" s="1">
        <f>DATE(2013,12,19) + TIME(3,36,30)</f>
        <v>41627.150347222225</v>
      </c>
      <c r="C1510">
        <v>80</v>
      </c>
      <c r="D1510">
        <v>75.810653686999999</v>
      </c>
      <c r="E1510">
        <v>40</v>
      </c>
      <c r="F1510">
        <v>39.974830627000003</v>
      </c>
      <c r="G1510">
        <v>1311.5640868999999</v>
      </c>
      <c r="H1510">
        <v>1302.9030762</v>
      </c>
      <c r="I1510">
        <v>1378.9667969</v>
      </c>
      <c r="J1510">
        <v>1362.9577637</v>
      </c>
      <c r="K1510">
        <v>0</v>
      </c>
      <c r="L1510">
        <v>1650</v>
      </c>
      <c r="M1510">
        <v>1650</v>
      </c>
      <c r="N1510">
        <v>0</v>
      </c>
    </row>
    <row r="1511" spans="1:14" x14ac:dyDescent="0.25">
      <c r="A1511">
        <v>1330.0652729999999</v>
      </c>
      <c r="B1511" s="1">
        <f>DATE(2013,12,21) + TIME(1,33,59)</f>
        <v>41629.065266203703</v>
      </c>
      <c r="C1511">
        <v>80</v>
      </c>
      <c r="D1511">
        <v>75.684875488000003</v>
      </c>
      <c r="E1511">
        <v>40</v>
      </c>
      <c r="F1511">
        <v>39.974857329999999</v>
      </c>
      <c r="G1511">
        <v>1311.4699707</v>
      </c>
      <c r="H1511">
        <v>1302.7823486</v>
      </c>
      <c r="I1511">
        <v>1378.9647216999999</v>
      </c>
      <c r="J1511">
        <v>1362.9589844</v>
      </c>
      <c r="K1511">
        <v>0</v>
      </c>
      <c r="L1511">
        <v>1650</v>
      </c>
      <c r="M1511">
        <v>1650</v>
      </c>
      <c r="N1511">
        <v>0</v>
      </c>
    </row>
    <row r="1512" spans="1:14" x14ac:dyDescent="0.25">
      <c r="A1512">
        <v>1332.0059160000001</v>
      </c>
      <c r="B1512" s="1">
        <f>DATE(2013,12,23) + TIME(0,8,31)</f>
        <v>41631.005914351852</v>
      </c>
      <c r="C1512">
        <v>80</v>
      </c>
      <c r="D1512">
        <v>75.558532714999998</v>
      </c>
      <c r="E1512">
        <v>40</v>
      </c>
      <c r="F1512">
        <v>39.974880218999999</v>
      </c>
      <c r="G1512">
        <v>1311.3730469</v>
      </c>
      <c r="H1512">
        <v>1302.6573486</v>
      </c>
      <c r="I1512">
        <v>1378.9628906</v>
      </c>
      <c r="J1512">
        <v>1362.9600829999999</v>
      </c>
      <c r="K1512">
        <v>0</v>
      </c>
      <c r="L1512">
        <v>1650</v>
      </c>
      <c r="M1512">
        <v>1650</v>
      </c>
      <c r="N1512">
        <v>0</v>
      </c>
    </row>
    <row r="1513" spans="1:14" x14ac:dyDescent="0.25">
      <c r="A1513">
        <v>1333.9823730000001</v>
      </c>
      <c r="B1513" s="1">
        <f>DATE(2013,12,24) + TIME(23,34,37)</f>
        <v>41632.982372685183</v>
      </c>
      <c r="C1513">
        <v>80</v>
      </c>
      <c r="D1513">
        <v>75.431564331000004</v>
      </c>
      <c r="E1513">
        <v>40</v>
      </c>
      <c r="F1513">
        <v>39.974903107000003</v>
      </c>
      <c r="G1513">
        <v>1311.2729492000001</v>
      </c>
      <c r="H1513">
        <v>1302.5277100000001</v>
      </c>
      <c r="I1513">
        <v>1378.9610596</v>
      </c>
      <c r="J1513">
        <v>1362.9613036999999</v>
      </c>
      <c r="K1513">
        <v>0</v>
      </c>
      <c r="L1513">
        <v>1650</v>
      </c>
      <c r="M1513">
        <v>1650</v>
      </c>
      <c r="N1513">
        <v>0</v>
      </c>
    </row>
    <row r="1514" spans="1:14" x14ac:dyDescent="0.25">
      <c r="A1514">
        <v>1336.005298</v>
      </c>
      <c r="B1514" s="1">
        <f>DATE(2013,12,27) + TIME(0,7,37)</f>
        <v>41635.005289351851</v>
      </c>
      <c r="C1514">
        <v>80</v>
      </c>
      <c r="D1514">
        <v>75.303520203000005</v>
      </c>
      <c r="E1514">
        <v>40</v>
      </c>
      <c r="F1514">
        <v>39.974929809999999</v>
      </c>
      <c r="G1514">
        <v>1311.1690673999999</v>
      </c>
      <c r="H1514">
        <v>1302.3927002</v>
      </c>
      <c r="I1514">
        <v>1378.9594727000001</v>
      </c>
      <c r="J1514">
        <v>1362.9626464999999</v>
      </c>
      <c r="K1514">
        <v>0</v>
      </c>
      <c r="L1514">
        <v>1650</v>
      </c>
      <c r="M1514">
        <v>1650</v>
      </c>
      <c r="N1514">
        <v>0</v>
      </c>
    </row>
    <row r="1515" spans="1:14" x14ac:dyDescent="0.25">
      <c r="A1515">
        <v>1338.086147</v>
      </c>
      <c r="B1515" s="1">
        <f>DATE(2013,12,29) + TIME(2,4,3)</f>
        <v>41637.086145833331</v>
      </c>
      <c r="C1515">
        <v>80</v>
      </c>
      <c r="D1515">
        <v>75.173767089999998</v>
      </c>
      <c r="E1515">
        <v>40</v>
      </c>
      <c r="F1515">
        <v>39.974952698000003</v>
      </c>
      <c r="G1515">
        <v>1311.0607910000001</v>
      </c>
      <c r="H1515">
        <v>1302.2514647999999</v>
      </c>
      <c r="I1515">
        <v>1378.9580077999999</v>
      </c>
      <c r="J1515">
        <v>1362.9638672000001</v>
      </c>
      <c r="K1515">
        <v>0</v>
      </c>
      <c r="L1515">
        <v>1650</v>
      </c>
      <c r="M1515">
        <v>1650</v>
      </c>
      <c r="N1515">
        <v>0</v>
      </c>
    </row>
    <row r="1516" spans="1:14" x14ac:dyDescent="0.25">
      <c r="A1516">
        <v>1340.2320279999999</v>
      </c>
      <c r="B1516" s="1">
        <f>DATE(2013,12,31) + TIME(5,34,7)</f>
        <v>41639.232025462959</v>
      </c>
      <c r="C1516">
        <v>80</v>
      </c>
      <c r="D1516">
        <v>75.041755675999994</v>
      </c>
      <c r="E1516">
        <v>40</v>
      </c>
      <c r="F1516">
        <v>39.974979400999999</v>
      </c>
      <c r="G1516">
        <v>1310.9475098</v>
      </c>
      <c r="H1516">
        <v>1302.1031493999999</v>
      </c>
      <c r="I1516">
        <v>1378.956543</v>
      </c>
      <c r="J1516">
        <v>1362.9652100000001</v>
      </c>
      <c r="K1516">
        <v>0</v>
      </c>
      <c r="L1516">
        <v>1650</v>
      </c>
      <c r="M1516">
        <v>1650</v>
      </c>
      <c r="N1516">
        <v>0</v>
      </c>
    </row>
    <row r="1517" spans="1:14" x14ac:dyDescent="0.25">
      <c r="A1517">
        <v>1341</v>
      </c>
      <c r="B1517" s="1">
        <f>DATE(2014,1,1) + TIME(0,0,0)</f>
        <v>41640</v>
      </c>
      <c r="C1517">
        <v>80</v>
      </c>
      <c r="D1517">
        <v>74.961311339999995</v>
      </c>
      <c r="E1517">
        <v>40</v>
      </c>
      <c r="F1517">
        <v>39.974990845000001</v>
      </c>
      <c r="G1517">
        <v>1310.8334961</v>
      </c>
      <c r="H1517">
        <v>1301.9606934000001</v>
      </c>
      <c r="I1517">
        <v>1378.9543457</v>
      </c>
      <c r="J1517">
        <v>1362.9658202999999</v>
      </c>
      <c r="K1517">
        <v>0</v>
      </c>
      <c r="L1517">
        <v>1650</v>
      </c>
      <c r="M1517">
        <v>1650</v>
      </c>
      <c r="N1517">
        <v>0</v>
      </c>
    </row>
    <row r="1518" spans="1:14" x14ac:dyDescent="0.25">
      <c r="A1518">
        <v>1343.1780209999999</v>
      </c>
      <c r="B1518" s="1">
        <f>DATE(2014,1,3) + TIME(4,16,21)</f>
        <v>41642.178020833337</v>
      </c>
      <c r="C1518">
        <v>80</v>
      </c>
      <c r="D1518">
        <v>74.848083496000001</v>
      </c>
      <c r="E1518">
        <v>40</v>
      </c>
      <c r="F1518">
        <v>39.975017547999997</v>
      </c>
      <c r="G1518">
        <v>1310.7805175999999</v>
      </c>
      <c r="H1518">
        <v>1301.8812256000001</v>
      </c>
      <c r="I1518">
        <v>1378.9548339999999</v>
      </c>
      <c r="J1518">
        <v>1362.9671631000001</v>
      </c>
      <c r="K1518">
        <v>0</v>
      </c>
      <c r="L1518">
        <v>1650</v>
      </c>
      <c r="M1518">
        <v>1650</v>
      </c>
      <c r="N1518">
        <v>0</v>
      </c>
    </row>
    <row r="1519" spans="1:14" x14ac:dyDescent="0.25">
      <c r="A1519">
        <v>1345.4045940000001</v>
      </c>
      <c r="B1519" s="1">
        <f>DATE(2014,1,5) + TIME(9,42,36)</f>
        <v>41644.404583333337</v>
      </c>
      <c r="C1519">
        <v>80</v>
      </c>
      <c r="D1519">
        <v>74.720069885000001</v>
      </c>
      <c r="E1519">
        <v>40</v>
      </c>
      <c r="F1519">
        <v>39.975044250000003</v>
      </c>
      <c r="G1519">
        <v>1310.659668</v>
      </c>
      <c r="H1519">
        <v>1301.7235106999999</v>
      </c>
      <c r="I1519">
        <v>1378.9536132999999</v>
      </c>
      <c r="J1519">
        <v>1362.9685059000001</v>
      </c>
      <c r="K1519">
        <v>0</v>
      </c>
      <c r="L1519">
        <v>1650</v>
      </c>
      <c r="M1519">
        <v>1650</v>
      </c>
      <c r="N1519">
        <v>0</v>
      </c>
    </row>
    <row r="1520" spans="1:14" x14ac:dyDescent="0.25">
      <c r="A1520">
        <v>1347.667635</v>
      </c>
      <c r="B1520" s="1">
        <f>DATE(2014,1,7) + TIME(16,1,23)</f>
        <v>41646.667627314811</v>
      </c>
      <c r="C1520">
        <v>80</v>
      </c>
      <c r="D1520">
        <v>74.585510253999999</v>
      </c>
      <c r="E1520">
        <v>40</v>
      </c>
      <c r="F1520">
        <v>39.975074767999999</v>
      </c>
      <c r="G1520">
        <v>1310.5319824000001</v>
      </c>
      <c r="H1520">
        <v>1301.5550536999999</v>
      </c>
      <c r="I1520">
        <v>1378.9523925999999</v>
      </c>
      <c r="J1520">
        <v>1362.9698486</v>
      </c>
      <c r="K1520">
        <v>0</v>
      </c>
      <c r="L1520">
        <v>1650</v>
      </c>
      <c r="M1520">
        <v>1650</v>
      </c>
      <c r="N1520">
        <v>0</v>
      </c>
    </row>
    <row r="1521" spans="1:14" x14ac:dyDescent="0.25">
      <c r="A1521">
        <v>1349.9786590000001</v>
      </c>
      <c r="B1521" s="1">
        <f>DATE(2014,1,9) + TIME(23,29,16)</f>
        <v>41648.97865740741</v>
      </c>
      <c r="C1521">
        <v>80</v>
      </c>
      <c r="D1521">
        <v>74.447326660000002</v>
      </c>
      <c r="E1521">
        <v>40</v>
      </c>
      <c r="F1521">
        <v>39.975101471000002</v>
      </c>
      <c r="G1521">
        <v>1310.3990478999999</v>
      </c>
      <c r="H1521">
        <v>1301.3786620999999</v>
      </c>
      <c r="I1521">
        <v>1378.9512939000001</v>
      </c>
      <c r="J1521">
        <v>1362.9713135</v>
      </c>
      <c r="K1521">
        <v>0</v>
      </c>
      <c r="L1521">
        <v>1650</v>
      </c>
      <c r="M1521">
        <v>1650</v>
      </c>
      <c r="N1521">
        <v>0</v>
      </c>
    </row>
    <row r="1522" spans="1:14" x14ac:dyDescent="0.25">
      <c r="A1522">
        <v>1352.3499099999999</v>
      </c>
      <c r="B1522" s="1">
        <f>DATE(2014,1,12) + TIME(8,23,52)</f>
        <v>41651.349907407406</v>
      </c>
      <c r="C1522">
        <v>80</v>
      </c>
      <c r="D1522">
        <v>74.306022643999995</v>
      </c>
      <c r="E1522">
        <v>40</v>
      </c>
      <c r="F1522">
        <v>39.975131988999998</v>
      </c>
      <c r="G1522">
        <v>1310.2607422000001</v>
      </c>
      <c r="H1522">
        <v>1301.1944579999999</v>
      </c>
      <c r="I1522">
        <v>1378.9503173999999</v>
      </c>
      <c r="J1522">
        <v>1362.9727783000001</v>
      </c>
      <c r="K1522">
        <v>0</v>
      </c>
      <c r="L1522">
        <v>1650</v>
      </c>
      <c r="M1522">
        <v>1650</v>
      </c>
      <c r="N1522">
        <v>0</v>
      </c>
    </row>
    <row r="1523" spans="1:14" x14ac:dyDescent="0.25">
      <c r="A1523">
        <v>1354.7576309999999</v>
      </c>
      <c r="B1523" s="1">
        <f>DATE(2014,1,14) + TIME(18,10,59)</f>
        <v>41653.757627314815</v>
      </c>
      <c r="C1523">
        <v>80</v>
      </c>
      <c r="D1523">
        <v>74.161911011000001</v>
      </c>
      <c r="E1523">
        <v>40</v>
      </c>
      <c r="F1523">
        <v>39.975162505999997</v>
      </c>
      <c r="G1523">
        <v>1310.1164550999999</v>
      </c>
      <c r="H1523">
        <v>1301.0017089999999</v>
      </c>
      <c r="I1523">
        <v>1378.9493408000001</v>
      </c>
      <c r="J1523">
        <v>1362.9741211</v>
      </c>
      <c r="K1523">
        <v>0</v>
      </c>
      <c r="L1523">
        <v>1650</v>
      </c>
      <c r="M1523">
        <v>1650</v>
      </c>
      <c r="N1523">
        <v>0</v>
      </c>
    </row>
    <row r="1524" spans="1:14" x14ac:dyDescent="0.25">
      <c r="A1524">
        <v>1357.2028519999999</v>
      </c>
      <c r="B1524" s="1">
        <f>DATE(2014,1,17) + TIME(4,52,6)</f>
        <v>41656.202847222223</v>
      </c>
      <c r="C1524">
        <v>80</v>
      </c>
      <c r="D1524">
        <v>74.015388489000003</v>
      </c>
      <c r="E1524">
        <v>40</v>
      </c>
      <c r="F1524">
        <v>39.975193023999999</v>
      </c>
      <c r="G1524">
        <v>1309.9674072</v>
      </c>
      <c r="H1524">
        <v>1300.8018798999999</v>
      </c>
      <c r="I1524">
        <v>1378.9483643000001</v>
      </c>
      <c r="J1524">
        <v>1362.9755858999999</v>
      </c>
      <c r="K1524">
        <v>0</v>
      </c>
      <c r="L1524">
        <v>1650</v>
      </c>
      <c r="M1524">
        <v>1650</v>
      </c>
      <c r="N1524">
        <v>0</v>
      </c>
    </row>
    <row r="1525" spans="1:14" x14ac:dyDescent="0.25">
      <c r="A1525">
        <v>1359.690748</v>
      </c>
      <c r="B1525" s="1">
        <f>DATE(2014,1,19) + TIME(16,34,40)</f>
        <v>41658.690740740742</v>
      </c>
      <c r="C1525">
        <v>80</v>
      </c>
      <c r="D1525">
        <v>73.866325377999999</v>
      </c>
      <c r="E1525">
        <v>40</v>
      </c>
      <c r="F1525">
        <v>39.975223540999998</v>
      </c>
      <c r="G1525">
        <v>1309.8134766000001</v>
      </c>
      <c r="H1525">
        <v>1300.5948486</v>
      </c>
      <c r="I1525">
        <v>1378.9475098</v>
      </c>
      <c r="J1525">
        <v>1362.9770507999999</v>
      </c>
      <c r="K1525">
        <v>0</v>
      </c>
      <c r="L1525">
        <v>1650</v>
      </c>
      <c r="M1525">
        <v>1650</v>
      </c>
      <c r="N1525">
        <v>0</v>
      </c>
    </row>
    <row r="1526" spans="1:14" x14ac:dyDescent="0.25">
      <c r="A1526">
        <v>1362.2264230000001</v>
      </c>
      <c r="B1526" s="1">
        <f>DATE(2014,1,22) + TIME(5,26,2)</f>
        <v>41661.226412037038</v>
      </c>
      <c r="C1526">
        <v>80</v>
      </c>
      <c r="D1526">
        <v>73.714294433999996</v>
      </c>
      <c r="E1526">
        <v>40</v>
      </c>
      <c r="F1526">
        <v>39.975254059000001</v>
      </c>
      <c r="G1526">
        <v>1309.6544189000001</v>
      </c>
      <c r="H1526">
        <v>1300.380249</v>
      </c>
      <c r="I1526">
        <v>1378.9465332</v>
      </c>
      <c r="J1526">
        <v>1362.9783935999999</v>
      </c>
      <c r="K1526">
        <v>0</v>
      </c>
      <c r="L1526">
        <v>1650</v>
      </c>
      <c r="M1526">
        <v>1650</v>
      </c>
      <c r="N1526">
        <v>0</v>
      </c>
    </row>
    <row r="1527" spans="1:14" x14ac:dyDescent="0.25">
      <c r="A1527">
        <v>1364.8116070000001</v>
      </c>
      <c r="B1527" s="1">
        <f>DATE(2014,1,24) + TIME(19,28,42)</f>
        <v>41663.811597222222</v>
      </c>
      <c r="C1527">
        <v>80</v>
      </c>
      <c r="D1527">
        <v>73.558807372999993</v>
      </c>
      <c r="E1527">
        <v>40</v>
      </c>
      <c r="F1527">
        <v>39.975288390999999</v>
      </c>
      <c r="G1527">
        <v>1309.4897461</v>
      </c>
      <c r="H1527">
        <v>1300.1575928</v>
      </c>
      <c r="I1527">
        <v>1378.9456786999999</v>
      </c>
      <c r="J1527">
        <v>1362.9797363</v>
      </c>
      <c r="K1527">
        <v>0</v>
      </c>
      <c r="L1527">
        <v>1650</v>
      </c>
      <c r="M1527">
        <v>1650</v>
      </c>
      <c r="N1527">
        <v>0</v>
      </c>
    </row>
    <row r="1528" spans="1:14" x14ac:dyDescent="0.25">
      <c r="A1528">
        <v>1367.453739</v>
      </c>
      <c r="B1528" s="1">
        <f>DATE(2014,1,27) + TIME(10,53,23)</f>
        <v>41666.453738425924</v>
      </c>
      <c r="C1528">
        <v>80</v>
      </c>
      <c r="D1528">
        <v>73.399307250999996</v>
      </c>
      <c r="E1528">
        <v>40</v>
      </c>
      <c r="F1528">
        <v>39.975322722999998</v>
      </c>
      <c r="G1528">
        <v>1309.3194579999999</v>
      </c>
      <c r="H1528">
        <v>1299.9265137</v>
      </c>
      <c r="I1528">
        <v>1378.9448242000001</v>
      </c>
      <c r="J1528">
        <v>1362.9810791</v>
      </c>
      <c r="K1528">
        <v>0</v>
      </c>
      <c r="L1528">
        <v>1650</v>
      </c>
      <c r="M1528">
        <v>1650</v>
      </c>
      <c r="N1528">
        <v>0</v>
      </c>
    </row>
    <row r="1529" spans="1:14" x14ac:dyDescent="0.25">
      <c r="A1529">
        <v>1370.1457129999999</v>
      </c>
      <c r="B1529" s="1">
        <f>DATE(2014,1,30) + TIME(3,29,49)</f>
        <v>41669.14570601852</v>
      </c>
      <c r="C1529">
        <v>80</v>
      </c>
      <c r="D1529">
        <v>73.235321045000006</v>
      </c>
      <c r="E1529">
        <v>40</v>
      </c>
      <c r="F1529">
        <v>39.975353241000001</v>
      </c>
      <c r="G1529">
        <v>1309.1428223</v>
      </c>
      <c r="H1529">
        <v>1299.6864014</v>
      </c>
      <c r="I1529">
        <v>1378.9438477000001</v>
      </c>
      <c r="J1529">
        <v>1362.9824219</v>
      </c>
      <c r="K1529">
        <v>0</v>
      </c>
      <c r="L1529">
        <v>1650</v>
      </c>
      <c r="M1529">
        <v>1650</v>
      </c>
      <c r="N1529">
        <v>0</v>
      </c>
    </row>
    <row r="1530" spans="1:14" x14ac:dyDescent="0.25">
      <c r="A1530">
        <v>1372</v>
      </c>
      <c r="B1530" s="1">
        <f>DATE(2014,2,1) + TIME(0,0,0)</f>
        <v>41671</v>
      </c>
      <c r="C1530">
        <v>80</v>
      </c>
      <c r="D1530">
        <v>73.087936400999993</v>
      </c>
      <c r="E1530">
        <v>40</v>
      </c>
      <c r="F1530">
        <v>39.975376128999997</v>
      </c>
      <c r="G1530">
        <v>1308.9636230000001</v>
      </c>
      <c r="H1530">
        <v>1299.4454346</v>
      </c>
      <c r="I1530">
        <v>1378.9425048999999</v>
      </c>
      <c r="J1530">
        <v>1362.9832764</v>
      </c>
      <c r="K1530">
        <v>0</v>
      </c>
      <c r="L1530">
        <v>1650</v>
      </c>
      <c r="M1530">
        <v>1650</v>
      </c>
      <c r="N1530">
        <v>0</v>
      </c>
    </row>
    <row r="1531" spans="1:14" x14ac:dyDescent="0.25">
      <c r="A1531">
        <v>1374.736654</v>
      </c>
      <c r="B1531" s="1">
        <f>DATE(2014,2,3) + TIME(17,40,46)</f>
        <v>41673.736643518518</v>
      </c>
      <c r="C1531">
        <v>80</v>
      </c>
      <c r="D1531">
        <v>72.939552307</v>
      </c>
      <c r="E1531">
        <v>40</v>
      </c>
      <c r="F1531">
        <v>39.975410461000003</v>
      </c>
      <c r="G1531">
        <v>1308.8264160000001</v>
      </c>
      <c r="H1531">
        <v>1299.2513428</v>
      </c>
      <c r="I1531">
        <v>1378.9423827999999</v>
      </c>
      <c r="J1531">
        <v>1362.9844971</v>
      </c>
      <c r="K1531">
        <v>0</v>
      </c>
      <c r="L1531">
        <v>1650</v>
      </c>
      <c r="M1531">
        <v>1650</v>
      </c>
      <c r="N1531">
        <v>0</v>
      </c>
    </row>
    <row r="1532" spans="1:14" x14ac:dyDescent="0.25">
      <c r="A1532">
        <v>1377.5319</v>
      </c>
      <c r="B1532" s="1">
        <f>DATE(2014,2,6) + TIME(12,45,56)</f>
        <v>41676.531898148147</v>
      </c>
      <c r="C1532">
        <v>80</v>
      </c>
      <c r="D1532">
        <v>72.770706176999994</v>
      </c>
      <c r="E1532">
        <v>40</v>
      </c>
      <c r="F1532">
        <v>39.975444793999998</v>
      </c>
      <c r="G1532">
        <v>1308.6411132999999</v>
      </c>
      <c r="H1532">
        <v>1298.9991454999999</v>
      </c>
      <c r="I1532">
        <v>1378.9412841999999</v>
      </c>
      <c r="J1532">
        <v>1362.9855957</v>
      </c>
      <c r="K1532">
        <v>0</v>
      </c>
      <c r="L1532">
        <v>1650</v>
      </c>
      <c r="M1532">
        <v>1650</v>
      </c>
      <c r="N1532">
        <v>0</v>
      </c>
    </row>
    <row r="1533" spans="1:14" x14ac:dyDescent="0.25">
      <c r="A1533">
        <v>1380.378314</v>
      </c>
      <c r="B1533" s="1">
        <f>DATE(2014,2,9) + TIME(9,4,46)</f>
        <v>41679.378310185188</v>
      </c>
      <c r="C1533">
        <v>80</v>
      </c>
      <c r="D1533">
        <v>72.591148376000007</v>
      </c>
      <c r="E1533">
        <v>40</v>
      </c>
      <c r="F1533">
        <v>39.975479126000003</v>
      </c>
      <c r="G1533">
        <v>1308.4461670000001</v>
      </c>
      <c r="H1533">
        <v>1298.7320557</v>
      </c>
      <c r="I1533">
        <v>1378.9400635</v>
      </c>
      <c r="J1533">
        <v>1362.9865723</v>
      </c>
      <c r="K1533">
        <v>0</v>
      </c>
      <c r="L1533">
        <v>1650</v>
      </c>
      <c r="M1533">
        <v>1650</v>
      </c>
      <c r="N1533">
        <v>0</v>
      </c>
    </row>
    <row r="1534" spans="1:14" x14ac:dyDescent="0.25">
      <c r="A1534">
        <v>1383.2864119999999</v>
      </c>
      <c r="B1534" s="1">
        <f>DATE(2014,2,12) + TIME(6,52,25)</f>
        <v>41682.286400462966</v>
      </c>
      <c r="C1534">
        <v>80</v>
      </c>
      <c r="D1534">
        <v>72.403495789000004</v>
      </c>
      <c r="E1534">
        <v>40</v>
      </c>
      <c r="F1534">
        <v>39.975513458000002</v>
      </c>
      <c r="G1534">
        <v>1308.2443848</v>
      </c>
      <c r="H1534">
        <v>1298.4541016000001</v>
      </c>
      <c r="I1534">
        <v>1378.9389647999999</v>
      </c>
      <c r="J1534">
        <v>1362.9875488</v>
      </c>
      <c r="K1534">
        <v>0</v>
      </c>
      <c r="L1534">
        <v>1650</v>
      </c>
      <c r="M1534">
        <v>1650</v>
      </c>
      <c r="N1534">
        <v>0</v>
      </c>
    </row>
    <row r="1535" spans="1:14" x14ac:dyDescent="0.25">
      <c r="A1535">
        <v>1386.2415699999999</v>
      </c>
      <c r="B1535" s="1">
        <f>DATE(2014,2,15) + TIME(5,47,51)</f>
        <v>41685.241562499999</v>
      </c>
      <c r="C1535">
        <v>80</v>
      </c>
      <c r="D1535">
        <v>72.208099364999995</v>
      </c>
      <c r="E1535">
        <v>40</v>
      </c>
      <c r="F1535">
        <v>39.975551605</v>
      </c>
      <c r="G1535">
        <v>1308.0356445</v>
      </c>
      <c r="H1535">
        <v>1298.1656493999999</v>
      </c>
      <c r="I1535">
        <v>1378.9376221</v>
      </c>
      <c r="J1535">
        <v>1362.9884033000001</v>
      </c>
      <c r="K1535">
        <v>0</v>
      </c>
      <c r="L1535">
        <v>1650</v>
      </c>
      <c r="M1535">
        <v>1650</v>
      </c>
      <c r="N1535">
        <v>0</v>
      </c>
    </row>
    <row r="1536" spans="1:14" x14ac:dyDescent="0.25">
      <c r="A1536">
        <v>1389.22639</v>
      </c>
      <c r="B1536" s="1">
        <f>DATE(2014,2,18) + TIME(5,26,0)</f>
        <v>41688.226388888892</v>
      </c>
      <c r="C1536">
        <v>80</v>
      </c>
      <c r="D1536">
        <v>72.005401610999996</v>
      </c>
      <c r="E1536">
        <v>40</v>
      </c>
      <c r="F1536">
        <v>39.975585938000002</v>
      </c>
      <c r="G1536">
        <v>1307.8209228999999</v>
      </c>
      <c r="H1536">
        <v>1297.8684082</v>
      </c>
      <c r="I1536">
        <v>1378.9361572</v>
      </c>
      <c r="J1536">
        <v>1362.9891356999999</v>
      </c>
      <c r="K1536">
        <v>0</v>
      </c>
      <c r="L1536">
        <v>1650</v>
      </c>
      <c r="M1536">
        <v>1650</v>
      </c>
      <c r="N1536">
        <v>0</v>
      </c>
    </row>
    <row r="1537" spans="1:14" x14ac:dyDescent="0.25">
      <c r="A1537">
        <v>1392.2472399999999</v>
      </c>
      <c r="B1537" s="1">
        <f>DATE(2014,2,21) + TIME(5,56,1)</f>
        <v>41691.247233796297</v>
      </c>
      <c r="C1537">
        <v>80</v>
      </c>
      <c r="D1537">
        <v>71.795509338000002</v>
      </c>
      <c r="E1537">
        <v>40</v>
      </c>
      <c r="F1537">
        <v>39.975624084000003</v>
      </c>
      <c r="G1537">
        <v>1307.6016846</v>
      </c>
      <c r="H1537">
        <v>1297.5637207</v>
      </c>
      <c r="I1537">
        <v>1378.9346923999999</v>
      </c>
      <c r="J1537">
        <v>1362.9897461</v>
      </c>
      <c r="K1537">
        <v>0</v>
      </c>
      <c r="L1537">
        <v>1650</v>
      </c>
      <c r="M1537">
        <v>1650</v>
      </c>
      <c r="N1537">
        <v>0</v>
      </c>
    </row>
    <row r="1538" spans="1:14" x14ac:dyDescent="0.25">
      <c r="A1538">
        <v>1395.3175289999999</v>
      </c>
      <c r="B1538" s="1">
        <f>DATE(2014,2,24) + TIME(7,37,14)</f>
        <v>41694.317523148151</v>
      </c>
      <c r="C1538">
        <v>80</v>
      </c>
      <c r="D1538">
        <v>71.577598571999999</v>
      </c>
      <c r="E1538">
        <v>40</v>
      </c>
      <c r="F1538">
        <v>39.975658416999998</v>
      </c>
      <c r="G1538">
        <v>1307.3775635</v>
      </c>
      <c r="H1538">
        <v>1297.2514647999999</v>
      </c>
      <c r="I1538">
        <v>1378.9329834</v>
      </c>
      <c r="J1538">
        <v>1362.9902344</v>
      </c>
      <c r="K1538">
        <v>0</v>
      </c>
      <c r="L1538">
        <v>1650</v>
      </c>
      <c r="M1538">
        <v>1650</v>
      </c>
      <c r="N1538">
        <v>0</v>
      </c>
    </row>
    <row r="1539" spans="1:14" x14ac:dyDescent="0.25">
      <c r="A1539">
        <v>1398.4513710000001</v>
      </c>
      <c r="B1539" s="1">
        <f>DATE(2014,2,27) + TIME(10,49,58)</f>
        <v>41697.451365740744</v>
      </c>
      <c r="C1539">
        <v>80</v>
      </c>
      <c r="D1539">
        <v>71.350273131999998</v>
      </c>
      <c r="E1539">
        <v>40</v>
      </c>
      <c r="F1539">
        <v>39.975696564000003</v>
      </c>
      <c r="G1539">
        <v>1307.1478271000001</v>
      </c>
      <c r="H1539">
        <v>1296.9304199000001</v>
      </c>
      <c r="I1539">
        <v>1378.9311522999999</v>
      </c>
      <c r="J1539">
        <v>1362.9904785000001</v>
      </c>
      <c r="K1539">
        <v>0</v>
      </c>
      <c r="L1539">
        <v>1650</v>
      </c>
      <c r="M1539">
        <v>1650</v>
      </c>
      <c r="N1539">
        <v>0</v>
      </c>
    </row>
    <row r="1540" spans="1:14" x14ac:dyDescent="0.25">
      <c r="A1540">
        <v>1400</v>
      </c>
      <c r="B1540" s="1">
        <f>DATE(2014,3,1) + TIME(0,0,0)</f>
        <v>41699</v>
      </c>
      <c r="C1540">
        <v>80</v>
      </c>
      <c r="D1540">
        <v>71.163856506000002</v>
      </c>
      <c r="E1540">
        <v>40</v>
      </c>
      <c r="F1540">
        <v>39.975715637</v>
      </c>
      <c r="G1540">
        <v>1306.9195557</v>
      </c>
      <c r="H1540">
        <v>1296.6202393000001</v>
      </c>
      <c r="I1540">
        <v>1378.9283447</v>
      </c>
      <c r="J1540">
        <v>1362.9899902</v>
      </c>
      <c r="K1540">
        <v>0</v>
      </c>
      <c r="L1540">
        <v>1650</v>
      </c>
      <c r="M1540">
        <v>1650</v>
      </c>
      <c r="N1540">
        <v>0</v>
      </c>
    </row>
    <row r="1541" spans="1:14" x14ac:dyDescent="0.25">
      <c r="A1541">
        <v>1403.181656</v>
      </c>
      <c r="B1541" s="1">
        <f>DATE(2014,3,4) + TIME(4,21,35)</f>
        <v>41702.181655092594</v>
      </c>
      <c r="C1541">
        <v>80</v>
      </c>
      <c r="D1541">
        <v>70.973289489999999</v>
      </c>
      <c r="E1541">
        <v>40</v>
      </c>
      <c r="F1541">
        <v>39.975753783999998</v>
      </c>
      <c r="G1541">
        <v>1306.7810059000001</v>
      </c>
      <c r="H1541">
        <v>1296.4102783000001</v>
      </c>
      <c r="I1541">
        <v>1378.9281006000001</v>
      </c>
      <c r="J1541">
        <v>1362.9906006000001</v>
      </c>
      <c r="K1541">
        <v>0</v>
      </c>
      <c r="L1541">
        <v>1650</v>
      </c>
      <c r="M1541">
        <v>1650</v>
      </c>
      <c r="N1541">
        <v>0</v>
      </c>
    </row>
    <row r="1542" spans="1:14" x14ac:dyDescent="0.25">
      <c r="A1542">
        <v>1406.405499</v>
      </c>
      <c r="B1542" s="1">
        <f>DATE(2014,3,7) + TIME(9,43,55)</f>
        <v>41705.405497685184</v>
      </c>
      <c r="C1542">
        <v>80</v>
      </c>
      <c r="D1542">
        <v>70.734397888000004</v>
      </c>
      <c r="E1542">
        <v>40</v>
      </c>
      <c r="F1542">
        <v>39.975791931000003</v>
      </c>
      <c r="G1542">
        <v>1306.5479736</v>
      </c>
      <c r="H1542">
        <v>1296.0869141000001</v>
      </c>
      <c r="I1542">
        <v>1378.9255370999999</v>
      </c>
      <c r="J1542">
        <v>1362.9903564000001</v>
      </c>
      <c r="K1542">
        <v>0</v>
      </c>
      <c r="L1542">
        <v>1650</v>
      </c>
      <c r="M1542">
        <v>1650</v>
      </c>
      <c r="N1542">
        <v>0</v>
      </c>
    </row>
    <row r="1543" spans="1:14" x14ac:dyDescent="0.25">
      <c r="A1543">
        <v>1409.6752690000001</v>
      </c>
      <c r="B1543" s="1">
        <f>DATE(2014,3,10) + TIME(16,12,23)</f>
        <v>41708.675266203703</v>
      </c>
      <c r="C1543">
        <v>80</v>
      </c>
      <c r="D1543">
        <v>70.474403381000002</v>
      </c>
      <c r="E1543">
        <v>40</v>
      </c>
      <c r="F1543">
        <v>39.975830078000001</v>
      </c>
      <c r="G1543">
        <v>1306.3032227000001</v>
      </c>
      <c r="H1543">
        <v>1295.7426757999999</v>
      </c>
      <c r="I1543">
        <v>1378.9229736</v>
      </c>
      <c r="J1543">
        <v>1362.9899902</v>
      </c>
      <c r="K1543">
        <v>0</v>
      </c>
      <c r="L1543">
        <v>1650</v>
      </c>
      <c r="M1543">
        <v>1650</v>
      </c>
      <c r="N1543">
        <v>0</v>
      </c>
    </row>
    <row r="1544" spans="1:14" x14ac:dyDescent="0.25">
      <c r="A1544">
        <v>1413.0052559999999</v>
      </c>
      <c r="B1544" s="1">
        <f>DATE(2014,3,14) + TIME(0,7,34)</f>
        <v>41712.005254629628</v>
      </c>
      <c r="C1544">
        <v>80</v>
      </c>
      <c r="D1544">
        <v>70.199737549000005</v>
      </c>
      <c r="E1544">
        <v>40</v>
      </c>
      <c r="F1544">
        <v>39.975868224999999</v>
      </c>
      <c r="G1544">
        <v>1306.0516356999999</v>
      </c>
      <c r="H1544">
        <v>1295.3869629000001</v>
      </c>
      <c r="I1544">
        <v>1378.9200439000001</v>
      </c>
      <c r="J1544">
        <v>1362.9892577999999</v>
      </c>
      <c r="K1544">
        <v>0</v>
      </c>
      <c r="L1544">
        <v>1650</v>
      </c>
      <c r="M1544">
        <v>1650</v>
      </c>
      <c r="N1544">
        <v>0</v>
      </c>
    </row>
    <row r="1545" spans="1:14" x14ac:dyDescent="0.25">
      <c r="A1545">
        <v>1416.3858070000001</v>
      </c>
      <c r="B1545" s="1">
        <f>DATE(2014,3,17) + TIME(9,15,33)</f>
        <v>41715.385798611111</v>
      </c>
      <c r="C1545">
        <v>80</v>
      </c>
      <c r="D1545">
        <v>69.910873413000004</v>
      </c>
      <c r="E1545">
        <v>40</v>
      </c>
      <c r="F1545">
        <v>39.975906371999997</v>
      </c>
      <c r="G1545">
        <v>1305.7938231999999</v>
      </c>
      <c r="H1545">
        <v>1295.0214844</v>
      </c>
      <c r="I1545">
        <v>1378.9168701000001</v>
      </c>
      <c r="J1545">
        <v>1362.9884033000001</v>
      </c>
      <c r="K1545">
        <v>0</v>
      </c>
      <c r="L1545">
        <v>1650</v>
      </c>
      <c r="M1545">
        <v>1650</v>
      </c>
      <c r="N1545">
        <v>0</v>
      </c>
    </row>
    <row r="1546" spans="1:14" x14ac:dyDescent="0.25">
      <c r="A1546">
        <v>1419.7911200000001</v>
      </c>
      <c r="B1546" s="1">
        <f>DATE(2014,3,20) + TIME(18,59,12)</f>
        <v>41718.79111111111</v>
      </c>
      <c r="C1546">
        <v>80</v>
      </c>
      <c r="D1546">
        <v>69.608184813999998</v>
      </c>
      <c r="E1546">
        <v>40</v>
      </c>
      <c r="F1546">
        <v>39.975944519000002</v>
      </c>
      <c r="G1546">
        <v>1305.5310059000001</v>
      </c>
      <c r="H1546">
        <v>1294.6475829999999</v>
      </c>
      <c r="I1546">
        <v>1378.9134521000001</v>
      </c>
      <c r="J1546">
        <v>1362.9871826000001</v>
      </c>
      <c r="K1546">
        <v>0</v>
      </c>
      <c r="L1546">
        <v>1650</v>
      </c>
      <c r="M1546">
        <v>1650</v>
      </c>
      <c r="N1546">
        <v>0</v>
      </c>
    </row>
    <row r="1547" spans="1:14" x14ac:dyDescent="0.25">
      <c r="A1547">
        <v>1423.2369530000001</v>
      </c>
      <c r="B1547" s="1">
        <f>DATE(2014,3,24) + TIME(5,41,12)</f>
        <v>41722.236944444441</v>
      </c>
      <c r="C1547">
        <v>80</v>
      </c>
      <c r="D1547">
        <v>69.292541503999999</v>
      </c>
      <c r="E1547">
        <v>40</v>
      </c>
      <c r="F1547">
        <v>39.975982666</v>
      </c>
      <c r="G1547">
        <v>1305.2650146000001</v>
      </c>
      <c r="H1547">
        <v>1294.2678223</v>
      </c>
      <c r="I1547">
        <v>1378.909668</v>
      </c>
      <c r="J1547">
        <v>1362.9857178</v>
      </c>
      <c r="K1547">
        <v>0</v>
      </c>
      <c r="L1547">
        <v>1650</v>
      </c>
      <c r="M1547">
        <v>1650</v>
      </c>
      <c r="N1547">
        <v>0</v>
      </c>
    </row>
    <row r="1548" spans="1:14" x14ac:dyDescent="0.25">
      <c r="A1548">
        <v>1426.738042</v>
      </c>
      <c r="B1548" s="1">
        <f>DATE(2014,3,27) + TIME(17,42,46)</f>
        <v>41725.738032407404</v>
      </c>
      <c r="C1548">
        <v>80</v>
      </c>
      <c r="D1548">
        <v>68.962814331000004</v>
      </c>
      <c r="E1548">
        <v>40</v>
      </c>
      <c r="F1548">
        <v>39.976024627999998</v>
      </c>
      <c r="G1548">
        <v>1304.9952393000001</v>
      </c>
      <c r="H1548">
        <v>1293.8817139</v>
      </c>
      <c r="I1548">
        <v>1378.9056396000001</v>
      </c>
      <c r="J1548">
        <v>1362.9840088000001</v>
      </c>
      <c r="K1548">
        <v>0</v>
      </c>
      <c r="L1548">
        <v>1650</v>
      </c>
      <c r="M1548">
        <v>1650</v>
      </c>
      <c r="N1548">
        <v>0</v>
      </c>
    </row>
    <row r="1549" spans="1:14" x14ac:dyDescent="0.25">
      <c r="A1549">
        <v>1430.2964030000001</v>
      </c>
      <c r="B1549" s="1">
        <f>DATE(2014,3,31) + TIME(7,6,49)</f>
        <v>41729.296400462961</v>
      </c>
      <c r="C1549">
        <v>80</v>
      </c>
      <c r="D1549">
        <v>68.617401122999993</v>
      </c>
      <c r="E1549">
        <v>40</v>
      </c>
      <c r="F1549">
        <v>39.976062775000003</v>
      </c>
      <c r="G1549">
        <v>1304.7210693</v>
      </c>
      <c r="H1549">
        <v>1293.4879149999999</v>
      </c>
      <c r="I1549">
        <v>1378.9012451000001</v>
      </c>
      <c r="J1549">
        <v>1362.9818115</v>
      </c>
      <c r="K1549">
        <v>0</v>
      </c>
      <c r="L1549">
        <v>1650</v>
      </c>
      <c r="M1549">
        <v>1650</v>
      </c>
      <c r="N1549">
        <v>0</v>
      </c>
    </row>
    <row r="1550" spans="1:14" x14ac:dyDescent="0.25">
      <c r="A1550">
        <v>1431</v>
      </c>
      <c r="B1550" s="1">
        <f>DATE(2014,4,1) + TIME(0,0,0)</f>
        <v>41730</v>
      </c>
      <c r="C1550">
        <v>80</v>
      </c>
      <c r="D1550">
        <v>68.430931091000005</v>
      </c>
      <c r="E1550">
        <v>40</v>
      </c>
      <c r="F1550">
        <v>39.976070403999998</v>
      </c>
      <c r="G1550">
        <v>1304.4611815999999</v>
      </c>
      <c r="H1550">
        <v>1293.1467285000001</v>
      </c>
      <c r="I1550">
        <v>1378.8951416</v>
      </c>
      <c r="J1550">
        <v>1362.9782714999999</v>
      </c>
      <c r="K1550">
        <v>0</v>
      </c>
      <c r="L1550">
        <v>1650</v>
      </c>
      <c r="M1550">
        <v>1650</v>
      </c>
      <c r="N1550">
        <v>0</v>
      </c>
    </row>
    <row r="1551" spans="1:14" x14ac:dyDescent="0.25">
      <c r="A1551">
        <v>1434.5833299999999</v>
      </c>
      <c r="B1551" s="1">
        <f>DATE(2014,4,4) + TIME(13,59,59)</f>
        <v>41733.583321759259</v>
      </c>
      <c r="C1551">
        <v>80</v>
      </c>
      <c r="D1551">
        <v>68.156112671000002</v>
      </c>
      <c r="E1551">
        <v>40</v>
      </c>
      <c r="F1551">
        <v>39.976112366000002</v>
      </c>
      <c r="G1551">
        <v>1304.3719481999999</v>
      </c>
      <c r="H1551">
        <v>1292.9768065999999</v>
      </c>
      <c r="I1551">
        <v>1378.8955077999999</v>
      </c>
      <c r="J1551">
        <v>1362.9788818</v>
      </c>
      <c r="K1551">
        <v>0</v>
      </c>
      <c r="L1551">
        <v>1650</v>
      </c>
      <c r="M1551">
        <v>1650</v>
      </c>
      <c r="N1551">
        <v>0</v>
      </c>
    </row>
    <row r="1552" spans="1:14" x14ac:dyDescent="0.25">
      <c r="A1552">
        <v>1438.2183010000001</v>
      </c>
      <c r="B1552" s="1">
        <f>DATE(2014,4,8) + TIME(5,14,21)</f>
        <v>41737.218298611115</v>
      </c>
      <c r="C1552">
        <v>80</v>
      </c>
      <c r="D1552">
        <v>67.798187256000006</v>
      </c>
      <c r="E1552">
        <v>40</v>
      </c>
      <c r="F1552">
        <v>39.976150513</v>
      </c>
      <c r="G1552">
        <v>1304.1029053</v>
      </c>
      <c r="H1552">
        <v>1292.5938721</v>
      </c>
      <c r="I1552">
        <v>1378.8901367000001</v>
      </c>
      <c r="J1552">
        <v>1362.9759521000001</v>
      </c>
      <c r="K1552">
        <v>0</v>
      </c>
      <c r="L1552">
        <v>1650</v>
      </c>
      <c r="M1552">
        <v>1650</v>
      </c>
      <c r="N1552">
        <v>0</v>
      </c>
    </row>
    <row r="1553" spans="1:14" x14ac:dyDescent="0.25">
      <c r="A1553">
        <v>1441.913699</v>
      </c>
      <c r="B1553" s="1">
        <f>DATE(2014,4,11) + TIME(21,55,43)</f>
        <v>41740.91369212963</v>
      </c>
      <c r="C1553">
        <v>80</v>
      </c>
      <c r="D1553">
        <v>67.408103943</v>
      </c>
      <c r="E1553">
        <v>40</v>
      </c>
      <c r="F1553">
        <v>39.976192474000001</v>
      </c>
      <c r="G1553">
        <v>1303.8216553</v>
      </c>
      <c r="H1553">
        <v>1292.1873779</v>
      </c>
      <c r="I1553">
        <v>1378.8843993999999</v>
      </c>
      <c r="J1553">
        <v>1362.9726562000001</v>
      </c>
      <c r="K1553">
        <v>0</v>
      </c>
      <c r="L1553">
        <v>1650</v>
      </c>
      <c r="M1553">
        <v>1650</v>
      </c>
      <c r="N1553">
        <v>0</v>
      </c>
    </row>
    <row r="1554" spans="1:14" x14ac:dyDescent="0.25">
      <c r="A1554">
        <v>1445.6496380000001</v>
      </c>
      <c r="B1554" s="1">
        <f>DATE(2014,4,15) + TIME(15,35,28)</f>
        <v>41744.649629629632</v>
      </c>
      <c r="C1554">
        <v>80</v>
      </c>
      <c r="D1554">
        <v>66.997459411999998</v>
      </c>
      <c r="E1554">
        <v>40</v>
      </c>
      <c r="F1554">
        <v>39.976234435999999</v>
      </c>
      <c r="G1554">
        <v>1303.534668</v>
      </c>
      <c r="H1554">
        <v>1291.7700195</v>
      </c>
      <c r="I1554">
        <v>1378.8781738</v>
      </c>
      <c r="J1554">
        <v>1362.9688721</v>
      </c>
      <c r="K1554">
        <v>0</v>
      </c>
      <c r="L1554">
        <v>1650</v>
      </c>
      <c r="M1554">
        <v>1650</v>
      </c>
      <c r="N1554">
        <v>0</v>
      </c>
    </row>
    <row r="1555" spans="1:14" x14ac:dyDescent="0.25">
      <c r="A1555">
        <v>1449.421936</v>
      </c>
      <c r="B1555" s="1">
        <f>DATE(2014,4,19) + TIME(10,7,35)</f>
        <v>41748.421932870369</v>
      </c>
      <c r="C1555">
        <v>80</v>
      </c>
      <c r="D1555">
        <v>66.570228576999995</v>
      </c>
      <c r="E1555">
        <v>40</v>
      </c>
      <c r="F1555">
        <v>39.976272582999997</v>
      </c>
      <c r="G1555">
        <v>1303.244751</v>
      </c>
      <c r="H1555">
        <v>1291.3470459</v>
      </c>
      <c r="I1555">
        <v>1378.871582</v>
      </c>
      <c r="J1555">
        <v>1362.9647216999999</v>
      </c>
      <c r="K1555">
        <v>0</v>
      </c>
      <c r="L1555">
        <v>1650</v>
      </c>
      <c r="M1555">
        <v>1650</v>
      </c>
      <c r="N1555">
        <v>0</v>
      </c>
    </row>
    <row r="1556" spans="1:14" x14ac:dyDescent="0.25">
      <c r="A1556">
        <v>1453.246875</v>
      </c>
      <c r="B1556" s="1">
        <f>DATE(2014,4,23) + TIME(5,55,30)</f>
        <v>41752.246874999997</v>
      </c>
      <c r="C1556">
        <v>80</v>
      </c>
      <c r="D1556">
        <v>66.127243042000003</v>
      </c>
      <c r="E1556">
        <v>40</v>
      </c>
      <c r="F1556">
        <v>39.976314545000001</v>
      </c>
      <c r="G1556">
        <v>1302.9533690999999</v>
      </c>
      <c r="H1556">
        <v>1290.9200439000001</v>
      </c>
      <c r="I1556">
        <v>1378.8645019999999</v>
      </c>
      <c r="J1556">
        <v>1362.9600829999999</v>
      </c>
      <c r="K1556">
        <v>0</v>
      </c>
      <c r="L1556">
        <v>1650</v>
      </c>
      <c r="M1556">
        <v>1650</v>
      </c>
      <c r="N1556">
        <v>0</v>
      </c>
    </row>
    <row r="1557" spans="1:14" x14ac:dyDescent="0.25">
      <c r="A1557">
        <v>1457.1315070000001</v>
      </c>
      <c r="B1557" s="1">
        <f>DATE(2014,4,27) + TIME(3,9,22)</f>
        <v>41756.131504629629</v>
      </c>
      <c r="C1557">
        <v>80</v>
      </c>
      <c r="D1557">
        <v>65.667678832999997</v>
      </c>
      <c r="E1557">
        <v>40</v>
      </c>
      <c r="F1557">
        <v>39.976356506000002</v>
      </c>
      <c r="G1557">
        <v>1302.6597899999999</v>
      </c>
      <c r="H1557">
        <v>1290.4884033000001</v>
      </c>
      <c r="I1557">
        <v>1378.8569336</v>
      </c>
      <c r="J1557">
        <v>1362.9549560999999</v>
      </c>
      <c r="K1557">
        <v>0</v>
      </c>
      <c r="L1557">
        <v>1650</v>
      </c>
      <c r="M1557">
        <v>1650</v>
      </c>
      <c r="N1557">
        <v>0</v>
      </c>
    </row>
    <row r="1558" spans="1:14" x14ac:dyDescent="0.25">
      <c r="A1558">
        <v>1461</v>
      </c>
      <c r="B1558" s="1">
        <f>DATE(2014,5,1) + TIME(0,0,0)</f>
        <v>41760</v>
      </c>
      <c r="C1558">
        <v>80</v>
      </c>
      <c r="D1558">
        <v>65.193046570000007</v>
      </c>
      <c r="E1558">
        <v>40</v>
      </c>
      <c r="F1558">
        <v>39.976398467999999</v>
      </c>
      <c r="G1558">
        <v>1302.3638916</v>
      </c>
      <c r="H1558">
        <v>1290.0526123</v>
      </c>
      <c r="I1558">
        <v>1378.8487548999999</v>
      </c>
      <c r="J1558">
        <v>1362.9493408000001</v>
      </c>
      <c r="K1558">
        <v>0</v>
      </c>
      <c r="L1558">
        <v>1650</v>
      </c>
      <c r="M1558">
        <v>1650</v>
      </c>
      <c r="N1558">
        <v>0</v>
      </c>
    </row>
    <row r="1559" spans="1:14" x14ac:dyDescent="0.25">
      <c r="A1559">
        <v>1461.0000010000001</v>
      </c>
      <c r="B1559" s="1">
        <f>DATE(2014,5,1) + TIME(0,0,0)</f>
        <v>41760</v>
      </c>
      <c r="C1559">
        <v>80</v>
      </c>
      <c r="D1559">
        <v>65.193161011000001</v>
      </c>
      <c r="E1559">
        <v>40</v>
      </c>
      <c r="F1559">
        <v>39.976325989000003</v>
      </c>
      <c r="G1559">
        <v>1316.0698242000001</v>
      </c>
      <c r="H1559">
        <v>1303.0863036999999</v>
      </c>
      <c r="I1559">
        <v>1362.3479004000001</v>
      </c>
      <c r="J1559">
        <v>1346.9276123</v>
      </c>
      <c r="K1559">
        <v>1650</v>
      </c>
      <c r="L1559">
        <v>0</v>
      </c>
      <c r="M1559">
        <v>0</v>
      </c>
      <c r="N1559">
        <v>1650</v>
      </c>
    </row>
    <row r="1560" spans="1:14" x14ac:dyDescent="0.25">
      <c r="A1560">
        <v>1461.000004</v>
      </c>
      <c r="B1560" s="1">
        <f>DATE(2014,5,1) + TIME(0,0,0)</f>
        <v>41760</v>
      </c>
      <c r="C1560">
        <v>80</v>
      </c>
      <c r="D1560">
        <v>65.193450928000004</v>
      </c>
      <c r="E1560">
        <v>40</v>
      </c>
      <c r="F1560">
        <v>39.976127624999997</v>
      </c>
      <c r="G1560">
        <v>1317.7080077999999</v>
      </c>
      <c r="H1560">
        <v>1304.9461670000001</v>
      </c>
      <c r="I1560">
        <v>1360.7150879000001</v>
      </c>
      <c r="J1560">
        <v>1345.2943115</v>
      </c>
      <c r="K1560">
        <v>1650</v>
      </c>
      <c r="L1560">
        <v>0</v>
      </c>
      <c r="M1560">
        <v>0</v>
      </c>
      <c r="N1560">
        <v>1650</v>
      </c>
    </row>
    <row r="1561" spans="1:14" x14ac:dyDescent="0.25">
      <c r="A1561">
        <v>1461.0000130000001</v>
      </c>
      <c r="B1561" s="1">
        <f>DATE(2014,5,1) + TIME(0,0,1)</f>
        <v>41760.000011574077</v>
      </c>
      <c r="C1561">
        <v>80</v>
      </c>
      <c r="D1561">
        <v>65.194107056000007</v>
      </c>
      <c r="E1561">
        <v>40</v>
      </c>
      <c r="F1561">
        <v>39.975673676</v>
      </c>
      <c r="G1561">
        <v>1321.3150635</v>
      </c>
      <c r="H1561">
        <v>1308.8493652</v>
      </c>
      <c r="I1561">
        <v>1356.9136963000001</v>
      </c>
      <c r="J1561">
        <v>1341.4920654</v>
      </c>
      <c r="K1561">
        <v>1650</v>
      </c>
      <c r="L1561">
        <v>0</v>
      </c>
      <c r="M1561">
        <v>0</v>
      </c>
      <c r="N1561">
        <v>1650</v>
      </c>
    </row>
    <row r="1562" spans="1:14" x14ac:dyDescent="0.25">
      <c r="A1562">
        <v>1461.0000399999999</v>
      </c>
      <c r="B1562" s="1">
        <f>DATE(2014,5,1) + TIME(0,0,3)</f>
        <v>41760.000034722223</v>
      </c>
      <c r="C1562">
        <v>80</v>
      </c>
      <c r="D1562">
        <v>65.1953125</v>
      </c>
      <c r="E1562">
        <v>40</v>
      </c>
      <c r="F1562">
        <v>39.974868774000001</v>
      </c>
      <c r="G1562">
        <v>1327.2233887</v>
      </c>
      <c r="H1562">
        <v>1314.8785399999999</v>
      </c>
      <c r="I1562">
        <v>1350.206543</v>
      </c>
      <c r="J1562">
        <v>1334.7850341999999</v>
      </c>
      <c r="K1562">
        <v>1650</v>
      </c>
      <c r="L1562">
        <v>0</v>
      </c>
      <c r="M1562">
        <v>0</v>
      </c>
      <c r="N1562">
        <v>1650</v>
      </c>
    </row>
    <row r="1563" spans="1:14" x14ac:dyDescent="0.25">
      <c r="A1563">
        <v>1461.000121</v>
      </c>
      <c r="B1563" s="1">
        <f>DATE(2014,5,1) + TIME(0,0,10)</f>
        <v>41760.000115740739</v>
      </c>
      <c r="C1563">
        <v>80</v>
      </c>
      <c r="D1563">
        <v>65.197448730000005</v>
      </c>
      <c r="E1563">
        <v>40</v>
      </c>
      <c r="F1563">
        <v>39.973834990999997</v>
      </c>
      <c r="G1563">
        <v>1334.3909911999999</v>
      </c>
      <c r="H1563">
        <v>1321.9454346</v>
      </c>
      <c r="I1563">
        <v>1341.6376952999999</v>
      </c>
      <c r="J1563">
        <v>1326.2198486</v>
      </c>
      <c r="K1563">
        <v>1650</v>
      </c>
      <c r="L1563">
        <v>0</v>
      </c>
      <c r="M1563">
        <v>0</v>
      </c>
      <c r="N1563">
        <v>1650</v>
      </c>
    </row>
    <row r="1564" spans="1:14" x14ac:dyDescent="0.25">
      <c r="A1564">
        <v>1461.000364</v>
      </c>
      <c r="B1564" s="1">
        <f>DATE(2014,5,1) + TIME(0,0,31)</f>
        <v>41760.000358796293</v>
      </c>
      <c r="C1564">
        <v>80</v>
      </c>
      <c r="D1564">
        <v>65.202033997000001</v>
      </c>
      <c r="E1564">
        <v>40</v>
      </c>
      <c r="F1564">
        <v>39.972743987999998</v>
      </c>
      <c r="G1564">
        <v>1341.8666992000001</v>
      </c>
      <c r="H1564">
        <v>1329.2757568</v>
      </c>
      <c r="I1564">
        <v>1332.6708983999999</v>
      </c>
      <c r="J1564">
        <v>1317.2601318</v>
      </c>
      <c r="K1564">
        <v>1650</v>
      </c>
      <c r="L1564">
        <v>0</v>
      </c>
      <c r="M1564">
        <v>0</v>
      </c>
      <c r="N1564">
        <v>1650</v>
      </c>
    </row>
    <row r="1565" spans="1:14" x14ac:dyDescent="0.25">
      <c r="A1565">
        <v>1461.0010930000001</v>
      </c>
      <c r="B1565" s="1">
        <f>DATE(2014,5,1) + TIME(0,1,34)</f>
        <v>41760.001087962963</v>
      </c>
      <c r="C1565">
        <v>80</v>
      </c>
      <c r="D1565">
        <v>65.213981627999999</v>
      </c>
      <c r="E1565">
        <v>40</v>
      </c>
      <c r="F1565">
        <v>39.971618651999997</v>
      </c>
      <c r="G1565">
        <v>1349.5913086</v>
      </c>
      <c r="H1565">
        <v>1336.8416748</v>
      </c>
      <c r="I1565">
        <v>1323.7039795000001</v>
      </c>
      <c r="J1565">
        <v>1308.2993164</v>
      </c>
      <c r="K1565">
        <v>1650</v>
      </c>
      <c r="L1565">
        <v>0</v>
      </c>
      <c r="M1565">
        <v>0</v>
      </c>
      <c r="N1565">
        <v>1650</v>
      </c>
    </row>
    <row r="1566" spans="1:14" x14ac:dyDescent="0.25">
      <c r="A1566">
        <v>1461.0032799999999</v>
      </c>
      <c r="B1566" s="1">
        <f>DATE(2014,5,1) + TIME(0,4,43)</f>
        <v>41760.003275462965</v>
      </c>
      <c r="C1566">
        <v>80</v>
      </c>
      <c r="D1566">
        <v>65.248222350999995</v>
      </c>
      <c r="E1566">
        <v>40</v>
      </c>
      <c r="F1566">
        <v>39.97039032</v>
      </c>
      <c r="G1566">
        <v>1357.6628418</v>
      </c>
      <c r="H1566">
        <v>1344.7379149999999</v>
      </c>
      <c r="I1566">
        <v>1314.8103027</v>
      </c>
      <c r="J1566">
        <v>1299.3792725000001</v>
      </c>
      <c r="K1566">
        <v>1650</v>
      </c>
      <c r="L1566">
        <v>0</v>
      </c>
      <c r="M1566">
        <v>0</v>
      </c>
      <c r="N1566">
        <v>1650</v>
      </c>
    </row>
    <row r="1567" spans="1:14" x14ac:dyDescent="0.25">
      <c r="A1567">
        <v>1461.0098410000001</v>
      </c>
      <c r="B1567" s="1">
        <f>DATE(2014,5,1) + TIME(0,14,10)</f>
        <v>41760.009837962964</v>
      </c>
      <c r="C1567">
        <v>80</v>
      </c>
      <c r="D1567">
        <v>65.349258422999995</v>
      </c>
      <c r="E1567">
        <v>40</v>
      </c>
      <c r="F1567">
        <v>39.968940734999997</v>
      </c>
      <c r="G1567">
        <v>1365.2733154</v>
      </c>
      <c r="H1567">
        <v>1352.2132568</v>
      </c>
      <c r="I1567">
        <v>1306.7075195</v>
      </c>
      <c r="J1567">
        <v>1291.2032471</v>
      </c>
      <c r="K1567">
        <v>1650</v>
      </c>
      <c r="L1567">
        <v>0</v>
      </c>
      <c r="M1567">
        <v>0</v>
      </c>
      <c r="N1567">
        <v>1650</v>
      </c>
    </row>
    <row r="1568" spans="1:14" x14ac:dyDescent="0.25">
      <c r="A1568">
        <v>1461.029524</v>
      </c>
      <c r="B1568" s="1">
        <f>DATE(2014,5,1) + TIME(0,42,30)</f>
        <v>41760.029513888891</v>
      </c>
      <c r="C1568">
        <v>80</v>
      </c>
      <c r="D1568">
        <v>65.645645142000006</v>
      </c>
      <c r="E1568">
        <v>40</v>
      </c>
      <c r="F1568">
        <v>39.966819762999997</v>
      </c>
      <c r="G1568">
        <v>1370.796875</v>
      </c>
      <c r="H1568">
        <v>1357.7185059000001</v>
      </c>
      <c r="I1568">
        <v>1300.9685059000001</v>
      </c>
      <c r="J1568">
        <v>1285.4011230000001</v>
      </c>
      <c r="K1568">
        <v>1650</v>
      </c>
      <c r="L1568">
        <v>0</v>
      </c>
      <c r="M1568">
        <v>0</v>
      </c>
      <c r="N1568">
        <v>1650</v>
      </c>
    </row>
    <row r="1569" spans="1:14" x14ac:dyDescent="0.25">
      <c r="A1569">
        <v>1461.068403</v>
      </c>
      <c r="B1569" s="1">
        <f>DATE(2014,5,1) + TIME(1,38,30)</f>
        <v>41760.068402777775</v>
      </c>
      <c r="C1569">
        <v>80</v>
      </c>
      <c r="D1569">
        <v>66.207565308</v>
      </c>
      <c r="E1569">
        <v>40</v>
      </c>
      <c r="F1569">
        <v>39.963768004999999</v>
      </c>
      <c r="G1569">
        <v>1373.1337891000001</v>
      </c>
      <c r="H1569">
        <v>1360.1463623</v>
      </c>
      <c r="I1569">
        <v>1298.7537841999999</v>
      </c>
      <c r="J1569">
        <v>1283.1633300999999</v>
      </c>
      <c r="K1569">
        <v>1650</v>
      </c>
      <c r="L1569">
        <v>0</v>
      </c>
      <c r="M1569">
        <v>0</v>
      </c>
      <c r="N1569">
        <v>1650</v>
      </c>
    </row>
    <row r="1570" spans="1:14" x14ac:dyDescent="0.25">
      <c r="A1570">
        <v>1461.1081369999999</v>
      </c>
      <c r="B1570" s="1">
        <f>DATE(2014,5,1) + TIME(2,35,43)</f>
        <v>41760.108136574076</v>
      </c>
      <c r="C1570">
        <v>80</v>
      </c>
      <c r="D1570">
        <v>66.759010314999998</v>
      </c>
      <c r="E1570">
        <v>40</v>
      </c>
      <c r="F1570">
        <v>39.960887909</v>
      </c>
      <c r="G1570">
        <v>1373.7426757999999</v>
      </c>
      <c r="H1570">
        <v>1360.8468018000001</v>
      </c>
      <c r="I1570">
        <v>1298.2860106999999</v>
      </c>
      <c r="J1570">
        <v>1282.6899414</v>
      </c>
      <c r="K1570">
        <v>1650</v>
      </c>
      <c r="L1570">
        <v>0</v>
      </c>
      <c r="M1570">
        <v>0</v>
      </c>
      <c r="N1570">
        <v>1650</v>
      </c>
    </row>
    <row r="1571" spans="1:14" x14ac:dyDescent="0.25">
      <c r="A1571">
        <v>1461.1486749999999</v>
      </c>
      <c r="B1571" s="1">
        <f>DATE(2014,5,1) + TIME(3,34,5)</f>
        <v>41760.148668981485</v>
      </c>
      <c r="C1571">
        <v>80</v>
      </c>
      <c r="D1571">
        <v>67.298851013000004</v>
      </c>
      <c r="E1571">
        <v>40</v>
      </c>
      <c r="F1571">
        <v>39.958023071</v>
      </c>
      <c r="G1571">
        <v>1373.8614502</v>
      </c>
      <c r="H1571">
        <v>1361.0567627</v>
      </c>
      <c r="I1571">
        <v>1298.2113036999999</v>
      </c>
      <c r="J1571">
        <v>1282.6137695</v>
      </c>
      <c r="K1571">
        <v>1650</v>
      </c>
      <c r="L1571">
        <v>0</v>
      </c>
      <c r="M1571">
        <v>0</v>
      </c>
      <c r="N1571">
        <v>1650</v>
      </c>
    </row>
    <row r="1572" spans="1:14" x14ac:dyDescent="0.25">
      <c r="A1572">
        <v>1461.1900330000001</v>
      </c>
      <c r="B1572" s="1">
        <f>DATE(2014,5,1) + TIME(4,33,38)</f>
        <v>41760.190023148149</v>
      </c>
      <c r="C1572">
        <v>80</v>
      </c>
      <c r="D1572">
        <v>67.826889038000004</v>
      </c>
      <c r="E1572">
        <v>40</v>
      </c>
      <c r="F1572">
        <v>39.955142975000001</v>
      </c>
      <c r="G1572">
        <v>1373.8211670000001</v>
      </c>
      <c r="H1572">
        <v>1361.1048584</v>
      </c>
      <c r="I1572">
        <v>1298.2177733999999</v>
      </c>
      <c r="J1572">
        <v>1282.6196289</v>
      </c>
      <c r="K1572">
        <v>1650</v>
      </c>
      <c r="L1572">
        <v>0</v>
      </c>
      <c r="M1572">
        <v>0</v>
      </c>
      <c r="N1572">
        <v>1650</v>
      </c>
    </row>
    <row r="1573" spans="1:14" x14ac:dyDescent="0.25">
      <c r="A1573">
        <v>1461.232248</v>
      </c>
      <c r="B1573" s="1">
        <f>DATE(2014,5,1) + TIME(5,34,26)</f>
        <v>41760.232245370367</v>
      </c>
      <c r="C1573">
        <v>80</v>
      </c>
      <c r="D1573">
        <v>68.343193053999997</v>
      </c>
      <c r="E1573">
        <v>40</v>
      </c>
      <c r="F1573">
        <v>39.952228546000001</v>
      </c>
      <c r="G1573">
        <v>1373.7250977000001</v>
      </c>
      <c r="H1573">
        <v>1361.0939940999999</v>
      </c>
      <c r="I1573">
        <v>1298.2331543</v>
      </c>
      <c r="J1573">
        <v>1282.6347656</v>
      </c>
      <c r="K1573">
        <v>1650</v>
      </c>
      <c r="L1573">
        <v>0</v>
      </c>
      <c r="M1573">
        <v>0</v>
      </c>
      <c r="N1573">
        <v>1650</v>
      </c>
    </row>
    <row r="1574" spans="1:14" x14ac:dyDescent="0.25">
      <c r="A1574">
        <v>1461.275363</v>
      </c>
      <c r="B1574" s="1">
        <f>DATE(2014,5,1) + TIME(6,36,31)</f>
        <v>41760.275358796294</v>
      </c>
      <c r="C1574">
        <v>80</v>
      </c>
      <c r="D1574">
        <v>68.847862243999998</v>
      </c>
      <c r="E1574">
        <v>40</v>
      </c>
      <c r="F1574">
        <v>39.949283600000001</v>
      </c>
      <c r="G1574">
        <v>1373.6097411999999</v>
      </c>
      <c r="H1574">
        <v>1361.0605469</v>
      </c>
      <c r="I1574">
        <v>1298.2441406</v>
      </c>
      <c r="J1574">
        <v>1282.6455077999999</v>
      </c>
      <c r="K1574">
        <v>1650</v>
      </c>
      <c r="L1574">
        <v>0</v>
      </c>
      <c r="M1574">
        <v>0</v>
      </c>
      <c r="N1574">
        <v>1650</v>
      </c>
    </row>
    <row r="1575" spans="1:14" x14ac:dyDescent="0.25">
      <c r="A1575">
        <v>1461.319428</v>
      </c>
      <c r="B1575" s="1">
        <f>DATE(2014,5,1) + TIME(7,39,58)</f>
        <v>41760.319421296299</v>
      </c>
      <c r="C1575">
        <v>80</v>
      </c>
      <c r="D1575">
        <v>69.341003418</v>
      </c>
      <c r="E1575">
        <v>40</v>
      </c>
      <c r="F1575">
        <v>39.946304321</v>
      </c>
      <c r="G1575">
        <v>1373.4888916</v>
      </c>
      <c r="H1575">
        <v>1361.0185547000001</v>
      </c>
      <c r="I1575">
        <v>1298.2506103999999</v>
      </c>
      <c r="J1575">
        <v>1282.6516113</v>
      </c>
      <c r="K1575">
        <v>1650</v>
      </c>
      <c r="L1575">
        <v>0</v>
      </c>
      <c r="M1575">
        <v>0</v>
      </c>
      <c r="N1575">
        <v>1650</v>
      </c>
    </row>
    <row r="1576" spans="1:14" x14ac:dyDescent="0.25">
      <c r="A1576">
        <v>1461.3644899999999</v>
      </c>
      <c r="B1576" s="1">
        <f>DATE(2014,5,1) + TIME(8,44,51)</f>
        <v>41760.364479166667</v>
      </c>
      <c r="C1576">
        <v>80</v>
      </c>
      <c r="D1576">
        <v>69.822692871000001</v>
      </c>
      <c r="E1576">
        <v>40</v>
      </c>
      <c r="F1576">
        <v>39.943286895999996</v>
      </c>
      <c r="G1576">
        <v>1373.3680420000001</v>
      </c>
      <c r="H1576">
        <v>1360.9735106999999</v>
      </c>
      <c r="I1576">
        <v>1298.2540283000001</v>
      </c>
      <c r="J1576">
        <v>1282.6549072</v>
      </c>
      <c r="K1576">
        <v>1650</v>
      </c>
      <c r="L1576">
        <v>0</v>
      </c>
      <c r="M1576">
        <v>0</v>
      </c>
      <c r="N1576">
        <v>1650</v>
      </c>
    </row>
    <row r="1577" spans="1:14" x14ac:dyDescent="0.25">
      <c r="A1577">
        <v>1461.4106019999999</v>
      </c>
      <c r="B1577" s="1">
        <f>DATE(2014,5,1) + TIME(9,51,15)</f>
        <v>41760.410590277781</v>
      </c>
      <c r="C1577">
        <v>80</v>
      </c>
      <c r="D1577">
        <v>70.292755127000007</v>
      </c>
      <c r="E1577">
        <v>40</v>
      </c>
      <c r="F1577">
        <v>39.940231322999999</v>
      </c>
      <c r="G1577">
        <v>1373.2497559000001</v>
      </c>
      <c r="H1577">
        <v>1360.9281006000001</v>
      </c>
      <c r="I1577">
        <v>1298.2558594</v>
      </c>
      <c r="J1577">
        <v>1282.6564940999999</v>
      </c>
      <c r="K1577">
        <v>1650</v>
      </c>
      <c r="L1577">
        <v>0</v>
      </c>
      <c r="M1577">
        <v>0</v>
      </c>
      <c r="N1577">
        <v>1650</v>
      </c>
    </row>
    <row r="1578" spans="1:14" x14ac:dyDescent="0.25">
      <c r="A1578">
        <v>1461.4578289999999</v>
      </c>
      <c r="B1578" s="1">
        <f>DATE(2014,5,1) + TIME(10,59,16)</f>
        <v>41760.457824074074</v>
      </c>
      <c r="C1578">
        <v>80</v>
      </c>
      <c r="D1578">
        <v>70.751449585000003</v>
      </c>
      <c r="E1578">
        <v>40</v>
      </c>
      <c r="F1578">
        <v>39.937133789000001</v>
      </c>
      <c r="G1578">
        <v>1373.1347656</v>
      </c>
      <c r="H1578">
        <v>1360.8833007999999</v>
      </c>
      <c r="I1578">
        <v>1298.2568358999999</v>
      </c>
      <c r="J1578">
        <v>1282.6572266000001</v>
      </c>
      <c r="K1578">
        <v>1650</v>
      </c>
      <c r="L1578">
        <v>0</v>
      </c>
      <c r="M1578">
        <v>0</v>
      </c>
      <c r="N1578">
        <v>1650</v>
      </c>
    </row>
    <row r="1579" spans="1:14" x14ac:dyDescent="0.25">
      <c r="A1579">
        <v>1461.5062379999999</v>
      </c>
      <c r="B1579" s="1">
        <f>DATE(2014,5,1) + TIME(12,8,58)</f>
        <v>41760.506226851852</v>
      </c>
      <c r="C1579">
        <v>80</v>
      </c>
      <c r="D1579">
        <v>71.198959350999999</v>
      </c>
      <c r="E1579">
        <v>40</v>
      </c>
      <c r="F1579">
        <v>39.933990479000002</v>
      </c>
      <c r="G1579">
        <v>1373.0234375</v>
      </c>
      <c r="H1579">
        <v>1360.8393555</v>
      </c>
      <c r="I1579">
        <v>1298.2574463000001</v>
      </c>
      <c r="J1579">
        <v>1282.6574707</v>
      </c>
      <c r="K1579">
        <v>1650</v>
      </c>
      <c r="L1579">
        <v>0</v>
      </c>
      <c r="M1579">
        <v>0</v>
      </c>
      <c r="N1579">
        <v>1650</v>
      </c>
    </row>
    <row r="1580" spans="1:14" x14ac:dyDescent="0.25">
      <c r="A1580">
        <v>1461.555897</v>
      </c>
      <c r="B1580" s="1">
        <f>DATE(2014,5,1) + TIME(13,20,29)</f>
        <v>41760.555891203701</v>
      </c>
      <c r="C1580">
        <v>80</v>
      </c>
      <c r="D1580">
        <v>71.635353088000002</v>
      </c>
      <c r="E1580">
        <v>40</v>
      </c>
      <c r="F1580">
        <v>39.930797577</v>
      </c>
      <c r="G1580">
        <v>1372.9157714999999</v>
      </c>
      <c r="H1580">
        <v>1360.7966309000001</v>
      </c>
      <c r="I1580">
        <v>1298.2578125</v>
      </c>
      <c r="J1580">
        <v>1282.6575928</v>
      </c>
      <c r="K1580">
        <v>1650</v>
      </c>
      <c r="L1580">
        <v>0</v>
      </c>
      <c r="M1580">
        <v>0</v>
      </c>
      <c r="N1580">
        <v>1650</v>
      </c>
    </row>
    <row r="1581" spans="1:14" x14ac:dyDescent="0.25">
      <c r="A1581">
        <v>1461.6068809999999</v>
      </c>
      <c r="B1581" s="1">
        <f>DATE(2014,5,1) + TIME(14,33,54)</f>
        <v>41760.606874999998</v>
      </c>
      <c r="C1581">
        <v>80</v>
      </c>
      <c r="D1581">
        <v>72.060684203999998</v>
      </c>
      <c r="E1581">
        <v>40</v>
      </c>
      <c r="F1581">
        <v>39.927551270000002</v>
      </c>
      <c r="G1581">
        <v>1372.8117675999999</v>
      </c>
      <c r="H1581">
        <v>1360.7550048999999</v>
      </c>
      <c r="I1581">
        <v>1298.2580565999999</v>
      </c>
      <c r="J1581">
        <v>1282.6574707</v>
      </c>
      <c r="K1581">
        <v>1650</v>
      </c>
      <c r="L1581">
        <v>0</v>
      </c>
      <c r="M1581">
        <v>0</v>
      </c>
      <c r="N1581">
        <v>1650</v>
      </c>
    </row>
    <row r="1582" spans="1:14" x14ac:dyDescent="0.25">
      <c r="A1582">
        <v>1461.659273</v>
      </c>
      <c r="B1582" s="1">
        <f>DATE(2014,5,1) + TIME(15,49,21)</f>
        <v>41760.659270833334</v>
      </c>
      <c r="C1582">
        <v>80</v>
      </c>
      <c r="D1582">
        <v>72.474990844999994</v>
      </c>
      <c r="E1582">
        <v>40</v>
      </c>
      <c r="F1582">
        <v>39.924251556000002</v>
      </c>
      <c r="G1582">
        <v>1372.7111815999999</v>
      </c>
      <c r="H1582">
        <v>1360.7145995999999</v>
      </c>
      <c r="I1582">
        <v>1298.2583007999999</v>
      </c>
      <c r="J1582">
        <v>1282.6573486</v>
      </c>
      <c r="K1582">
        <v>1650</v>
      </c>
      <c r="L1582">
        <v>0</v>
      </c>
      <c r="M1582">
        <v>0</v>
      </c>
      <c r="N1582">
        <v>1650</v>
      </c>
    </row>
    <row r="1583" spans="1:14" x14ac:dyDescent="0.25">
      <c r="A1583">
        <v>1461.7131589999999</v>
      </c>
      <c r="B1583" s="1">
        <f>DATE(2014,5,1) + TIME(17,6,56)</f>
        <v>41760.713148148148</v>
      </c>
      <c r="C1583">
        <v>80</v>
      </c>
      <c r="D1583">
        <v>72.878318786999998</v>
      </c>
      <c r="E1583">
        <v>40</v>
      </c>
      <c r="F1583">
        <v>39.920894623000002</v>
      </c>
      <c r="G1583">
        <v>1372.6138916</v>
      </c>
      <c r="H1583">
        <v>1360.6751709</v>
      </c>
      <c r="I1583">
        <v>1298.2584228999999</v>
      </c>
      <c r="J1583">
        <v>1282.6572266000001</v>
      </c>
      <c r="K1583">
        <v>1650</v>
      </c>
      <c r="L1583">
        <v>0</v>
      </c>
      <c r="M1583">
        <v>0</v>
      </c>
      <c r="N1583">
        <v>1650</v>
      </c>
    </row>
    <row r="1584" spans="1:14" x14ac:dyDescent="0.25">
      <c r="A1584">
        <v>1461.768636</v>
      </c>
      <c r="B1584" s="1">
        <f>DATE(2014,5,1) + TIME(18,26,50)</f>
        <v>41760.768634259257</v>
      </c>
      <c r="C1584">
        <v>80</v>
      </c>
      <c r="D1584">
        <v>73.270683289000004</v>
      </c>
      <c r="E1584">
        <v>40</v>
      </c>
      <c r="F1584">
        <v>39.917469025000003</v>
      </c>
      <c r="G1584">
        <v>1372.5197754000001</v>
      </c>
      <c r="H1584">
        <v>1360.6367187999999</v>
      </c>
      <c r="I1584">
        <v>1298.2585449000001</v>
      </c>
      <c r="J1584">
        <v>1282.6569824000001</v>
      </c>
      <c r="K1584">
        <v>1650</v>
      </c>
      <c r="L1584">
        <v>0</v>
      </c>
      <c r="M1584">
        <v>0</v>
      </c>
      <c r="N1584">
        <v>1650</v>
      </c>
    </row>
    <row r="1585" spans="1:14" x14ac:dyDescent="0.25">
      <c r="A1585">
        <v>1461.8258089999999</v>
      </c>
      <c r="B1585" s="1">
        <f>DATE(2014,5,1) + TIME(19,49,9)</f>
        <v>41760.825798611113</v>
      </c>
      <c r="C1585">
        <v>80</v>
      </c>
      <c r="D1585">
        <v>73.652107239000003</v>
      </c>
      <c r="E1585">
        <v>40</v>
      </c>
      <c r="F1585">
        <v>39.913978577000002</v>
      </c>
      <c r="G1585">
        <v>1372.4287108999999</v>
      </c>
      <c r="H1585">
        <v>1360.5991211</v>
      </c>
      <c r="I1585">
        <v>1298.2585449000001</v>
      </c>
      <c r="J1585">
        <v>1282.6566161999999</v>
      </c>
      <c r="K1585">
        <v>1650</v>
      </c>
      <c r="L1585">
        <v>0</v>
      </c>
      <c r="M1585">
        <v>0</v>
      </c>
      <c r="N1585">
        <v>1650</v>
      </c>
    </row>
    <row r="1586" spans="1:14" x14ac:dyDescent="0.25">
      <c r="A1586">
        <v>1461.884791</v>
      </c>
      <c r="B1586" s="1">
        <f>DATE(2014,5,1) + TIME(21,14,5)</f>
        <v>41760.884780092594</v>
      </c>
      <c r="C1586">
        <v>80</v>
      </c>
      <c r="D1586">
        <v>74.022598267000006</v>
      </c>
      <c r="E1586">
        <v>40</v>
      </c>
      <c r="F1586">
        <v>39.910415649000001</v>
      </c>
      <c r="G1586">
        <v>1372.340332</v>
      </c>
      <c r="H1586">
        <v>1360.5623779</v>
      </c>
      <c r="I1586">
        <v>1298.2585449000001</v>
      </c>
      <c r="J1586">
        <v>1282.6563721</v>
      </c>
      <c r="K1586">
        <v>1650</v>
      </c>
      <c r="L1586">
        <v>0</v>
      </c>
      <c r="M1586">
        <v>0</v>
      </c>
      <c r="N1586">
        <v>1650</v>
      </c>
    </row>
    <row r="1587" spans="1:14" x14ac:dyDescent="0.25">
      <c r="A1587">
        <v>1461.945735</v>
      </c>
      <c r="B1587" s="1">
        <f>DATE(2014,5,1) + TIME(22,41,51)</f>
        <v>41760.945729166669</v>
      </c>
      <c r="C1587">
        <v>80</v>
      </c>
      <c r="D1587">
        <v>74.382308960000003</v>
      </c>
      <c r="E1587">
        <v>40</v>
      </c>
      <c r="F1587">
        <v>39.906772613999998</v>
      </c>
      <c r="G1587">
        <v>1372.2546387</v>
      </c>
      <c r="H1587">
        <v>1360.5262451000001</v>
      </c>
      <c r="I1587">
        <v>1298.2585449000001</v>
      </c>
      <c r="J1587">
        <v>1282.6560059000001</v>
      </c>
      <c r="K1587">
        <v>1650</v>
      </c>
      <c r="L1587">
        <v>0</v>
      </c>
      <c r="M1587">
        <v>0</v>
      </c>
      <c r="N1587">
        <v>1650</v>
      </c>
    </row>
    <row r="1588" spans="1:14" x14ac:dyDescent="0.25">
      <c r="A1588">
        <v>1462.008754</v>
      </c>
      <c r="B1588" s="1">
        <f>DATE(2014,5,2) + TIME(0,12,36)</f>
        <v>41761.008750000001</v>
      </c>
      <c r="C1588">
        <v>80</v>
      </c>
      <c r="D1588">
        <v>74.731086731000005</v>
      </c>
      <c r="E1588">
        <v>40</v>
      </c>
      <c r="F1588">
        <v>39.90304184</v>
      </c>
      <c r="G1588">
        <v>1372.1713867000001</v>
      </c>
      <c r="H1588">
        <v>1360.4908447</v>
      </c>
      <c r="I1588">
        <v>1298.2585449000001</v>
      </c>
      <c r="J1588">
        <v>1282.6556396000001</v>
      </c>
      <c r="K1588">
        <v>1650</v>
      </c>
      <c r="L1588">
        <v>0</v>
      </c>
      <c r="M1588">
        <v>0</v>
      </c>
      <c r="N1588">
        <v>1650</v>
      </c>
    </row>
    <row r="1589" spans="1:14" x14ac:dyDescent="0.25">
      <c r="A1589">
        <v>1462.0739980000001</v>
      </c>
      <c r="B1589" s="1">
        <f>DATE(2014,5,2) + TIME(1,46,33)</f>
        <v>41761.073993055557</v>
      </c>
      <c r="C1589">
        <v>80</v>
      </c>
      <c r="D1589">
        <v>75.068847656000003</v>
      </c>
      <c r="E1589">
        <v>40</v>
      </c>
      <c r="F1589">
        <v>39.899223327999998</v>
      </c>
      <c r="G1589">
        <v>1372.0905762</v>
      </c>
      <c r="H1589">
        <v>1360.4559326000001</v>
      </c>
      <c r="I1589">
        <v>1298.2585449000001</v>
      </c>
      <c r="J1589">
        <v>1282.6551514</v>
      </c>
      <c r="K1589">
        <v>1650</v>
      </c>
      <c r="L1589">
        <v>0</v>
      </c>
      <c r="M1589">
        <v>0</v>
      </c>
      <c r="N1589">
        <v>1650</v>
      </c>
    </row>
    <row r="1590" spans="1:14" x14ac:dyDescent="0.25">
      <c r="A1590">
        <v>1462.1416369999999</v>
      </c>
      <c r="B1590" s="1">
        <f>DATE(2014,5,2) + TIME(3,23,57)</f>
        <v>41761.141631944447</v>
      </c>
      <c r="C1590">
        <v>80</v>
      </c>
      <c r="D1590">
        <v>75.395446777000004</v>
      </c>
      <c r="E1590">
        <v>40</v>
      </c>
      <c r="F1590">
        <v>39.895305634000003</v>
      </c>
      <c r="G1590">
        <v>1372.0118408000001</v>
      </c>
      <c r="H1590">
        <v>1360.4215088000001</v>
      </c>
      <c r="I1590">
        <v>1298.2584228999999</v>
      </c>
      <c r="J1590">
        <v>1282.6546631000001</v>
      </c>
      <c r="K1590">
        <v>1650</v>
      </c>
      <c r="L1590">
        <v>0</v>
      </c>
      <c r="M1590">
        <v>0</v>
      </c>
      <c r="N1590">
        <v>1650</v>
      </c>
    </row>
    <row r="1591" spans="1:14" x14ac:dyDescent="0.25">
      <c r="A1591">
        <v>1462.211855</v>
      </c>
      <c r="B1591" s="1">
        <f>DATE(2014,5,2) + TIME(5,5,4)</f>
        <v>41761.211851851855</v>
      </c>
      <c r="C1591">
        <v>80</v>
      </c>
      <c r="D1591">
        <v>75.711029053000004</v>
      </c>
      <c r="E1591">
        <v>40</v>
      </c>
      <c r="F1591">
        <v>39.891281128000003</v>
      </c>
      <c r="G1591">
        <v>1371.9353027</v>
      </c>
      <c r="H1591">
        <v>1360.3874512</v>
      </c>
      <c r="I1591">
        <v>1298.2583007999999</v>
      </c>
      <c r="J1591">
        <v>1282.6541748</v>
      </c>
      <c r="K1591">
        <v>1650</v>
      </c>
      <c r="L1591">
        <v>0</v>
      </c>
      <c r="M1591">
        <v>0</v>
      </c>
      <c r="N1591">
        <v>1650</v>
      </c>
    </row>
    <row r="1592" spans="1:14" x14ac:dyDescent="0.25">
      <c r="A1592">
        <v>1462.28486</v>
      </c>
      <c r="B1592" s="1">
        <f>DATE(2014,5,2) + TIME(6,50,11)</f>
        <v>41761.284849537034</v>
      </c>
      <c r="C1592">
        <v>80</v>
      </c>
      <c r="D1592">
        <v>76.015579224000007</v>
      </c>
      <c r="E1592">
        <v>40</v>
      </c>
      <c r="F1592">
        <v>39.887142181000002</v>
      </c>
      <c r="G1592">
        <v>1371.8605957</v>
      </c>
      <c r="H1592">
        <v>1360.3537598</v>
      </c>
      <c r="I1592">
        <v>1298.2581786999999</v>
      </c>
      <c r="J1592">
        <v>1282.6535644999999</v>
      </c>
      <c r="K1592">
        <v>1650</v>
      </c>
      <c r="L1592">
        <v>0</v>
      </c>
      <c r="M1592">
        <v>0</v>
      </c>
      <c r="N1592">
        <v>1650</v>
      </c>
    </row>
    <row r="1593" spans="1:14" x14ac:dyDescent="0.25">
      <c r="A1593">
        <v>1462.3608850000001</v>
      </c>
      <c r="B1593" s="1">
        <f>DATE(2014,5,2) + TIME(8,39,40)</f>
        <v>41761.360879629632</v>
      </c>
      <c r="C1593">
        <v>80</v>
      </c>
      <c r="D1593">
        <v>76.309051514000004</v>
      </c>
      <c r="E1593">
        <v>40</v>
      </c>
      <c r="F1593">
        <v>39.882881165000001</v>
      </c>
      <c r="G1593">
        <v>1371.7877197</v>
      </c>
      <c r="H1593">
        <v>1360.3201904</v>
      </c>
      <c r="I1593">
        <v>1298.2580565999999</v>
      </c>
      <c r="J1593">
        <v>1282.6530762</v>
      </c>
      <c r="K1593">
        <v>1650</v>
      </c>
      <c r="L1593">
        <v>0</v>
      </c>
      <c r="M1593">
        <v>0</v>
      </c>
      <c r="N1593">
        <v>1650</v>
      </c>
    </row>
    <row r="1594" spans="1:14" x14ac:dyDescent="0.25">
      <c r="A1594">
        <v>1462.4401909999999</v>
      </c>
      <c r="B1594" s="1">
        <f>DATE(2014,5,2) + TIME(10,33,52)</f>
        <v>41761.440185185187</v>
      </c>
      <c r="C1594">
        <v>80</v>
      </c>
      <c r="D1594">
        <v>76.591407775999997</v>
      </c>
      <c r="E1594">
        <v>40</v>
      </c>
      <c r="F1594">
        <v>39.878482818999998</v>
      </c>
      <c r="G1594">
        <v>1371.7164307</v>
      </c>
      <c r="H1594">
        <v>1360.2868652</v>
      </c>
      <c r="I1594">
        <v>1298.2578125</v>
      </c>
      <c r="J1594">
        <v>1282.6524658000001</v>
      </c>
      <c r="K1594">
        <v>1650</v>
      </c>
      <c r="L1594">
        <v>0</v>
      </c>
      <c r="M1594">
        <v>0</v>
      </c>
      <c r="N1594">
        <v>1650</v>
      </c>
    </row>
    <row r="1595" spans="1:14" x14ac:dyDescent="0.25">
      <c r="A1595">
        <v>1462.523072</v>
      </c>
      <c r="B1595" s="1">
        <f>DATE(2014,5,2) + TIME(12,33,13)</f>
        <v>41761.52306712963</v>
      </c>
      <c r="C1595">
        <v>80</v>
      </c>
      <c r="D1595">
        <v>76.862609863000003</v>
      </c>
      <c r="E1595">
        <v>40</v>
      </c>
      <c r="F1595">
        <v>39.873935699</v>
      </c>
      <c r="G1595">
        <v>1371.6466064000001</v>
      </c>
      <c r="H1595">
        <v>1360.2535399999999</v>
      </c>
      <c r="I1595">
        <v>1298.2576904</v>
      </c>
      <c r="J1595">
        <v>1282.6517334</v>
      </c>
      <c r="K1595">
        <v>1650</v>
      </c>
      <c r="L1595">
        <v>0</v>
      </c>
      <c r="M1595">
        <v>0</v>
      </c>
      <c r="N1595">
        <v>1650</v>
      </c>
    </row>
    <row r="1596" spans="1:14" x14ac:dyDescent="0.25">
      <c r="A1596">
        <v>1462.609862</v>
      </c>
      <c r="B1596" s="1">
        <f>DATE(2014,5,2) + TIME(14,38,12)</f>
        <v>41761.609861111108</v>
      </c>
      <c r="C1596">
        <v>80</v>
      </c>
      <c r="D1596">
        <v>77.122604370000005</v>
      </c>
      <c r="E1596">
        <v>40</v>
      </c>
      <c r="F1596">
        <v>39.869228362999998</v>
      </c>
      <c r="G1596">
        <v>1371.578125</v>
      </c>
      <c r="H1596">
        <v>1360.2200928</v>
      </c>
      <c r="I1596">
        <v>1298.2574463000001</v>
      </c>
      <c r="J1596">
        <v>1282.6511230000001</v>
      </c>
      <c r="K1596">
        <v>1650</v>
      </c>
      <c r="L1596">
        <v>0</v>
      </c>
      <c r="M1596">
        <v>0</v>
      </c>
      <c r="N1596">
        <v>1650</v>
      </c>
    </row>
    <row r="1597" spans="1:14" x14ac:dyDescent="0.25">
      <c r="A1597">
        <v>1462.7009860000001</v>
      </c>
      <c r="B1597" s="1">
        <f>DATE(2014,5,2) + TIME(16,49,25)</f>
        <v>41761.700983796298</v>
      </c>
      <c r="C1597">
        <v>80</v>
      </c>
      <c r="D1597">
        <v>77.371444702000005</v>
      </c>
      <c r="E1597">
        <v>40</v>
      </c>
      <c r="F1597">
        <v>39.864341736</v>
      </c>
      <c r="G1597">
        <v>1371.5107422000001</v>
      </c>
      <c r="H1597">
        <v>1360.1866454999999</v>
      </c>
      <c r="I1597">
        <v>1298.2572021000001</v>
      </c>
      <c r="J1597">
        <v>1282.6503906</v>
      </c>
      <c r="K1597">
        <v>1650</v>
      </c>
      <c r="L1597">
        <v>0</v>
      </c>
      <c r="M1597">
        <v>0</v>
      </c>
      <c r="N1597">
        <v>1650</v>
      </c>
    </row>
    <row r="1598" spans="1:14" x14ac:dyDescent="0.25">
      <c r="A1598">
        <v>1462.796873</v>
      </c>
      <c r="B1598" s="1">
        <f>DATE(2014,5,2) + TIME(19,7,29)</f>
        <v>41761.796863425923</v>
      </c>
      <c r="C1598">
        <v>80</v>
      </c>
      <c r="D1598">
        <v>77.609039307000003</v>
      </c>
      <c r="E1598">
        <v>40</v>
      </c>
      <c r="F1598">
        <v>39.859260558999999</v>
      </c>
      <c r="G1598">
        <v>1371.4444579999999</v>
      </c>
      <c r="H1598">
        <v>1360.152832</v>
      </c>
      <c r="I1598">
        <v>1298.2569579999999</v>
      </c>
      <c r="J1598">
        <v>1282.6496582</v>
      </c>
      <c r="K1598">
        <v>1650</v>
      </c>
      <c r="L1598">
        <v>0</v>
      </c>
      <c r="M1598">
        <v>0</v>
      </c>
      <c r="N1598">
        <v>1650</v>
      </c>
    </row>
    <row r="1599" spans="1:14" x14ac:dyDescent="0.25">
      <c r="A1599">
        <v>1462.898009</v>
      </c>
      <c r="B1599" s="1">
        <f>DATE(2014,5,2) + TIME(21,33,7)</f>
        <v>41761.897997685184</v>
      </c>
      <c r="C1599">
        <v>80</v>
      </c>
      <c r="D1599">
        <v>77.835266113000003</v>
      </c>
      <c r="E1599">
        <v>40</v>
      </c>
      <c r="F1599">
        <v>39.853961945000002</v>
      </c>
      <c r="G1599">
        <v>1371.3790283000001</v>
      </c>
      <c r="H1599">
        <v>1360.1186522999999</v>
      </c>
      <c r="I1599">
        <v>1298.2567139</v>
      </c>
      <c r="J1599">
        <v>1282.6488036999999</v>
      </c>
      <c r="K1599">
        <v>1650</v>
      </c>
      <c r="L1599">
        <v>0</v>
      </c>
      <c r="M1599">
        <v>0</v>
      </c>
      <c r="N1599">
        <v>1650</v>
      </c>
    </row>
    <row r="1600" spans="1:14" x14ac:dyDescent="0.25">
      <c r="A1600">
        <v>1463.0049859999999</v>
      </c>
      <c r="B1600" s="1">
        <f>DATE(2014,5,3) + TIME(0,7,10)</f>
        <v>41762.004976851851</v>
      </c>
      <c r="C1600">
        <v>80</v>
      </c>
      <c r="D1600">
        <v>78.050071716000005</v>
      </c>
      <c r="E1600">
        <v>40</v>
      </c>
      <c r="F1600">
        <v>39.848423003999997</v>
      </c>
      <c r="G1600">
        <v>1371.3142089999999</v>
      </c>
      <c r="H1600">
        <v>1360.0841064000001</v>
      </c>
      <c r="I1600">
        <v>1298.2563477000001</v>
      </c>
      <c r="J1600">
        <v>1282.6479492000001</v>
      </c>
      <c r="K1600">
        <v>1650</v>
      </c>
      <c r="L1600">
        <v>0</v>
      </c>
      <c r="M1600">
        <v>0</v>
      </c>
      <c r="N1600">
        <v>1650</v>
      </c>
    </row>
    <row r="1601" spans="1:14" x14ac:dyDescent="0.25">
      <c r="A1601">
        <v>1463.1184989999999</v>
      </c>
      <c r="B1601" s="1">
        <f>DATE(2014,5,3) + TIME(2,50,38)</f>
        <v>41762.118495370371</v>
      </c>
      <c r="C1601">
        <v>80</v>
      </c>
      <c r="D1601">
        <v>78.253395080999994</v>
      </c>
      <c r="E1601">
        <v>40</v>
      </c>
      <c r="F1601">
        <v>39.842617035000004</v>
      </c>
      <c r="G1601">
        <v>1371.25</v>
      </c>
      <c r="H1601">
        <v>1360.0489502</v>
      </c>
      <c r="I1601">
        <v>1298.2561035000001</v>
      </c>
      <c r="J1601">
        <v>1282.6470947</v>
      </c>
      <c r="K1601">
        <v>1650</v>
      </c>
      <c r="L1601">
        <v>0</v>
      </c>
      <c r="M1601">
        <v>0</v>
      </c>
      <c r="N1601">
        <v>1650</v>
      </c>
    </row>
    <row r="1602" spans="1:14" x14ac:dyDescent="0.25">
      <c r="A1602">
        <v>1463.2393609999999</v>
      </c>
      <c r="B1602" s="1">
        <f>DATE(2014,5,3) + TIME(5,44,40)</f>
        <v>41762.239351851851</v>
      </c>
      <c r="C1602">
        <v>80</v>
      </c>
      <c r="D1602">
        <v>78.445167541999993</v>
      </c>
      <c r="E1602">
        <v>40</v>
      </c>
      <c r="F1602">
        <v>39.836513519</v>
      </c>
      <c r="G1602">
        <v>1371.1861572</v>
      </c>
      <c r="H1602">
        <v>1360.0130615</v>
      </c>
      <c r="I1602">
        <v>1298.2557373</v>
      </c>
      <c r="J1602">
        <v>1282.6461182</v>
      </c>
      <c r="K1602">
        <v>1650</v>
      </c>
      <c r="L1602">
        <v>0</v>
      </c>
      <c r="M1602">
        <v>0</v>
      </c>
      <c r="N1602">
        <v>1650</v>
      </c>
    </row>
    <row r="1603" spans="1:14" x14ac:dyDescent="0.25">
      <c r="A1603">
        <v>1463.3685419999999</v>
      </c>
      <c r="B1603" s="1">
        <f>DATE(2014,5,3) + TIME(8,50,42)</f>
        <v>41762.368541666663</v>
      </c>
      <c r="C1603">
        <v>80</v>
      </c>
      <c r="D1603">
        <v>78.625335692999997</v>
      </c>
      <c r="E1603">
        <v>40</v>
      </c>
      <c r="F1603">
        <v>39.830070495999998</v>
      </c>
      <c r="G1603">
        <v>1371.1224365</v>
      </c>
      <c r="H1603">
        <v>1359.9763184000001</v>
      </c>
      <c r="I1603">
        <v>1298.2553711</v>
      </c>
      <c r="J1603">
        <v>1282.6451416</v>
      </c>
      <c r="K1603">
        <v>1650</v>
      </c>
      <c r="L1603">
        <v>0</v>
      </c>
      <c r="M1603">
        <v>0</v>
      </c>
      <c r="N1603">
        <v>1650</v>
      </c>
    </row>
    <row r="1604" spans="1:14" x14ac:dyDescent="0.25">
      <c r="A1604">
        <v>1463.507247</v>
      </c>
      <c r="B1604" s="1">
        <f>DATE(2014,5,3) + TIME(12,10,26)</f>
        <v>41762.507245370369</v>
      </c>
      <c r="C1604">
        <v>80</v>
      </c>
      <c r="D1604">
        <v>78.793869018999999</v>
      </c>
      <c r="E1604">
        <v>40</v>
      </c>
      <c r="F1604">
        <v>39.823242188000002</v>
      </c>
      <c r="G1604">
        <v>1371.0585937999999</v>
      </c>
      <c r="H1604">
        <v>1359.9384766000001</v>
      </c>
      <c r="I1604">
        <v>1298.2548827999999</v>
      </c>
      <c r="J1604">
        <v>1282.644043</v>
      </c>
      <c r="K1604">
        <v>1650</v>
      </c>
      <c r="L1604">
        <v>0</v>
      </c>
      <c r="M1604">
        <v>0</v>
      </c>
      <c r="N1604">
        <v>1650</v>
      </c>
    </row>
    <row r="1605" spans="1:14" x14ac:dyDescent="0.25">
      <c r="A1605">
        <v>1463.656927</v>
      </c>
      <c r="B1605" s="1">
        <f>DATE(2014,5,3) + TIME(15,45,58)</f>
        <v>41762.656921296293</v>
      </c>
      <c r="C1605">
        <v>80</v>
      </c>
      <c r="D1605">
        <v>78.950729370000005</v>
      </c>
      <c r="E1605">
        <v>40</v>
      </c>
      <c r="F1605">
        <v>39.815975189</v>
      </c>
      <c r="G1605">
        <v>1370.9945068</v>
      </c>
      <c r="H1605">
        <v>1359.8995361</v>
      </c>
      <c r="I1605">
        <v>1298.2543945</v>
      </c>
      <c r="J1605">
        <v>1282.6429443</v>
      </c>
      <c r="K1605">
        <v>1650</v>
      </c>
      <c r="L1605">
        <v>0</v>
      </c>
      <c r="M1605">
        <v>0</v>
      </c>
      <c r="N1605">
        <v>1650</v>
      </c>
    </row>
    <row r="1606" spans="1:14" x14ac:dyDescent="0.25">
      <c r="A1606">
        <v>1463.819381</v>
      </c>
      <c r="B1606" s="1">
        <f>DATE(2014,5,3) + TIME(19,39,54)</f>
        <v>41762.819374999999</v>
      </c>
      <c r="C1606">
        <v>80</v>
      </c>
      <c r="D1606">
        <v>79.095870972</v>
      </c>
      <c r="E1606">
        <v>40</v>
      </c>
      <c r="F1606">
        <v>39.808200835999997</v>
      </c>
      <c r="G1606">
        <v>1370.9296875</v>
      </c>
      <c r="H1606">
        <v>1359.8590088000001</v>
      </c>
      <c r="I1606">
        <v>1298.2539062000001</v>
      </c>
      <c r="J1606">
        <v>1282.6416016000001</v>
      </c>
      <c r="K1606">
        <v>1650</v>
      </c>
      <c r="L1606">
        <v>0</v>
      </c>
      <c r="M1606">
        <v>0</v>
      </c>
      <c r="N1606">
        <v>1650</v>
      </c>
    </row>
    <row r="1607" spans="1:14" x14ac:dyDescent="0.25">
      <c r="A1607">
        <v>1463.9888619999999</v>
      </c>
      <c r="B1607" s="1">
        <f>DATE(2014,5,3) + TIME(23,43,57)</f>
        <v>41762.988854166666</v>
      </c>
      <c r="C1607">
        <v>80</v>
      </c>
      <c r="D1607">
        <v>79.224174500000004</v>
      </c>
      <c r="E1607">
        <v>40</v>
      </c>
      <c r="F1607">
        <v>39.800163269000002</v>
      </c>
      <c r="G1607">
        <v>1370.8663329999999</v>
      </c>
      <c r="H1607">
        <v>1359.8182373</v>
      </c>
      <c r="I1607">
        <v>1298.253418</v>
      </c>
      <c r="J1607">
        <v>1282.6403809000001</v>
      </c>
      <c r="K1607">
        <v>1650</v>
      </c>
      <c r="L1607">
        <v>0</v>
      </c>
      <c r="M1607">
        <v>0</v>
      </c>
      <c r="N1607">
        <v>1650</v>
      </c>
    </row>
    <row r="1608" spans="1:14" x14ac:dyDescent="0.25">
      <c r="A1608">
        <v>1464.1592129999999</v>
      </c>
      <c r="B1608" s="1">
        <f>DATE(2014,5,4) + TIME(3,49,16)</f>
        <v>41763.159212962964</v>
      </c>
      <c r="C1608">
        <v>80</v>
      </c>
      <c r="D1608">
        <v>79.333374023000005</v>
      </c>
      <c r="E1608">
        <v>40</v>
      </c>
      <c r="F1608">
        <v>39.792118072999997</v>
      </c>
      <c r="G1608">
        <v>1370.8061522999999</v>
      </c>
      <c r="H1608">
        <v>1359.7783202999999</v>
      </c>
      <c r="I1608">
        <v>1298.2528076000001</v>
      </c>
      <c r="J1608">
        <v>1282.6389160000001</v>
      </c>
      <c r="K1608">
        <v>1650</v>
      </c>
      <c r="L1608">
        <v>0</v>
      </c>
      <c r="M1608">
        <v>0</v>
      </c>
      <c r="N1608">
        <v>1650</v>
      </c>
    </row>
    <row r="1609" spans="1:14" x14ac:dyDescent="0.25">
      <c r="A1609">
        <v>1464.3311719999999</v>
      </c>
      <c r="B1609" s="1">
        <f>DATE(2014,5,4) + TIME(7,56,53)</f>
        <v>41763.33116898148</v>
      </c>
      <c r="C1609">
        <v>80</v>
      </c>
      <c r="D1609">
        <v>79.426589965999995</v>
      </c>
      <c r="E1609">
        <v>40</v>
      </c>
      <c r="F1609">
        <v>39.784042358000001</v>
      </c>
      <c r="G1609">
        <v>1370.7486572</v>
      </c>
      <c r="H1609">
        <v>1359.7393798999999</v>
      </c>
      <c r="I1609">
        <v>1298.2520752</v>
      </c>
      <c r="J1609">
        <v>1282.6375731999999</v>
      </c>
      <c r="K1609">
        <v>1650</v>
      </c>
      <c r="L1609">
        <v>0</v>
      </c>
      <c r="M1609">
        <v>0</v>
      </c>
      <c r="N1609">
        <v>1650</v>
      </c>
    </row>
    <row r="1610" spans="1:14" x14ac:dyDescent="0.25">
      <c r="A1610">
        <v>1464.5051759999999</v>
      </c>
      <c r="B1610" s="1">
        <f>DATE(2014,5,4) + TIME(12,7,27)</f>
        <v>41763.505173611113</v>
      </c>
      <c r="C1610">
        <v>80</v>
      </c>
      <c r="D1610">
        <v>79.506240844999994</v>
      </c>
      <c r="E1610">
        <v>40</v>
      </c>
      <c r="F1610">
        <v>39.775909423999998</v>
      </c>
      <c r="G1610">
        <v>1370.6934814000001</v>
      </c>
      <c r="H1610">
        <v>1359.7012939000001</v>
      </c>
      <c r="I1610">
        <v>1298.2514647999999</v>
      </c>
      <c r="J1610">
        <v>1282.6362305</v>
      </c>
      <c r="K1610">
        <v>1650</v>
      </c>
      <c r="L1610">
        <v>0</v>
      </c>
      <c r="M1610">
        <v>0</v>
      </c>
      <c r="N1610">
        <v>1650</v>
      </c>
    </row>
    <row r="1611" spans="1:14" x14ac:dyDescent="0.25">
      <c r="A1611">
        <v>1464.681697</v>
      </c>
      <c r="B1611" s="1">
        <f>DATE(2014,5,4) + TIME(16,21,38)</f>
        <v>41763.681689814817</v>
      </c>
      <c r="C1611">
        <v>80</v>
      </c>
      <c r="D1611">
        <v>79.574333190999994</v>
      </c>
      <c r="E1611">
        <v>40</v>
      </c>
      <c r="F1611">
        <v>39.767704010000003</v>
      </c>
      <c r="G1611">
        <v>1370.6401367000001</v>
      </c>
      <c r="H1611">
        <v>1359.6640625</v>
      </c>
      <c r="I1611">
        <v>1298.2508545000001</v>
      </c>
      <c r="J1611">
        <v>1282.6347656</v>
      </c>
      <c r="K1611">
        <v>1650</v>
      </c>
      <c r="L1611">
        <v>0</v>
      </c>
      <c r="M1611">
        <v>0</v>
      </c>
      <c r="N1611">
        <v>1650</v>
      </c>
    </row>
    <row r="1612" spans="1:14" x14ac:dyDescent="0.25">
      <c r="A1612">
        <v>1464.8611940000001</v>
      </c>
      <c r="B1612" s="1">
        <f>DATE(2014,5,4) + TIME(20,40,7)</f>
        <v>41763.861192129632</v>
      </c>
      <c r="C1612">
        <v>80</v>
      </c>
      <c r="D1612">
        <v>79.632553100999999</v>
      </c>
      <c r="E1612">
        <v>40</v>
      </c>
      <c r="F1612">
        <v>39.759410858000003</v>
      </c>
      <c r="G1612">
        <v>1370.588501</v>
      </c>
      <c r="H1612">
        <v>1359.6273193</v>
      </c>
      <c r="I1612">
        <v>1298.2501221</v>
      </c>
      <c r="J1612">
        <v>1282.6333007999999</v>
      </c>
      <c r="K1612">
        <v>1650</v>
      </c>
      <c r="L1612">
        <v>0</v>
      </c>
      <c r="M1612">
        <v>0</v>
      </c>
      <c r="N1612">
        <v>1650</v>
      </c>
    </row>
    <row r="1613" spans="1:14" x14ac:dyDescent="0.25">
      <c r="A1613">
        <v>1465.0440679999999</v>
      </c>
      <c r="B1613" s="1">
        <f>DATE(2014,5,5) + TIME(1,3,27)</f>
        <v>41764.044062499997</v>
      </c>
      <c r="C1613">
        <v>80</v>
      </c>
      <c r="D1613">
        <v>79.682281493999994</v>
      </c>
      <c r="E1613">
        <v>40</v>
      </c>
      <c r="F1613">
        <v>39.751007080000001</v>
      </c>
      <c r="G1613">
        <v>1370.5383300999999</v>
      </c>
      <c r="H1613">
        <v>1359.5911865</v>
      </c>
      <c r="I1613">
        <v>1298.2493896000001</v>
      </c>
      <c r="J1613">
        <v>1282.6318358999999</v>
      </c>
      <c r="K1613">
        <v>1650</v>
      </c>
      <c r="L1613">
        <v>0</v>
      </c>
      <c r="M1613">
        <v>0</v>
      </c>
      <c r="N1613">
        <v>1650</v>
      </c>
    </row>
    <row r="1614" spans="1:14" x14ac:dyDescent="0.25">
      <c r="A1614">
        <v>1465.2307860000001</v>
      </c>
      <c r="B1614" s="1">
        <f>DATE(2014,5,5) + TIME(5,32,19)</f>
        <v>41764.230775462966</v>
      </c>
      <c r="C1614">
        <v>80</v>
      </c>
      <c r="D1614">
        <v>79.724731445000003</v>
      </c>
      <c r="E1614">
        <v>40</v>
      </c>
      <c r="F1614">
        <v>39.742481232000003</v>
      </c>
      <c r="G1614">
        <v>1370.4892577999999</v>
      </c>
      <c r="H1614">
        <v>1359.5555420000001</v>
      </c>
      <c r="I1614">
        <v>1298.2487793</v>
      </c>
      <c r="J1614">
        <v>1282.6303711</v>
      </c>
      <c r="K1614">
        <v>1650</v>
      </c>
      <c r="L1614">
        <v>0</v>
      </c>
      <c r="M1614">
        <v>0</v>
      </c>
      <c r="N1614">
        <v>1650</v>
      </c>
    </row>
    <row r="1615" spans="1:14" x14ac:dyDescent="0.25">
      <c r="A1615">
        <v>1465.421398</v>
      </c>
      <c r="B1615" s="1">
        <f>DATE(2014,5,5) + TIME(10,6,48)</f>
        <v>41764.421388888892</v>
      </c>
      <c r="C1615">
        <v>80</v>
      </c>
      <c r="D1615">
        <v>79.760856627999999</v>
      </c>
      <c r="E1615">
        <v>40</v>
      </c>
      <c r="F1615">
        <v>39.733825684000003</v>
      </c>
      <c r="G1615">
        <v>1370.4412841999999</v>
      </c>
      <c r="H1615">
        <v>1359.5202637</v>
      </c>
      <c r="I1615">
        <v>1298.2480469</v>
      </c>
      <c r="J1615">
        <v>1282.6289062000001</v>
      </c>
      <c r="K1615">
        <v>1650</v>
      </c>
      <c r="L1615">
        <v>0</v>
      </c>
      <c r="M1615">
        <v>0</v>
      </c>
      <c r="N1615">
        <v>1650</v>
      </c>
    </row>
    <row r="1616" spans="1:14" x14ac:dyDescent="0.25">
      <c r="A1616">
        <v>1465.6159270000001</v>
      </c>
      <c r="B1616" s="1">
        <f>DATE(2014,5,5) + TIME(14,46,56)</f>
        <v>41764.615925925929</v>
      </c>
      <c r="C1616">
        <v>80</v>
      </c>
      <c r="D1616">
        <v>79.791503906000003</v>
      </c>
      <c r="E1616">
        <v>40</v>
      </c>
      <c r="F1616">
        <v>39.725044250000003</v>
      </c>
      <c r="G1616">
        <v>1370.3941649999999</v>
      </c>
      <c r="H1616">
        <v>1359.4853516000001</v>
      </c>
      <c r="I1616">
        <v>1298.2471923999999</v>
      </c>
      <c r="J1616">
        <v>1282.6273193</v>
      </c>
      <c r="K1616">
        <v>1650</v>
      </c>
      <c r="L1616">
        <v>0</v>
      </c>
      <c r="M1616">
        <v>0</v>
      </c>
      <c r="N1616">
        <v>1650</v>
      </c>
    </row>
    <row r="1617" spans="1:14" x14ac:dyDescent="0.25">
      <c r="A1617">
        <v>1465.814811</v>
      </c>
      <c r="B1617" s="1">
        <f>DATE(2014,5,5) + TIME(19,33,19)</f>
        <v>41764.814803240741</v>
      </c>
      <c r="C1617">
        <v>80</v>
      </c>
      <c r="D1617">
        <v>79.817459106000001</v>
      </c>
      <c r="E1617">
        <v>40</v>
      </c>
      <c r="F1617">
        <v>39.716114044000001</v>
      </c>
      <c r="G1617">
        <v>1370.3480225000001</v>
      </c>
      <c r="H1617">
        <v>1359.4509277</v>
      </c>
      <c r="I1617">
        <v>1298.2464600000001</v>
      </c>
      <c r="J1617">
        <v>1282.6257324000001</v>
      </c>
      <c r="K1617">
        <v>1650</v>
      </c>
      <c r="L1617">
        <v>0</v>
      </c>
      <c r="M1617">
        <v>0</v>
      </c>
      <c r="N1617">
        <v>1650</v>
      </c>
    </row>
    <row r="1618" spans="1:14" x14ac:dyDescent="0.25">
      <c r="A1618">
        <v>1466.0185300000001</v>
      </c>
      <c r="B1618" s="1">
        <f>DATE(2014,5,6) + TIME(0,26,40)</f>
        <v>41765.018518518518</v>
      </c>
      <c r="C1618">
        <v>80</v>
      </c>
      <c r="D1618">
        <v>79.839416503999999</v>
      </c>
      <c r="E1618">
        <v>40</v>
      </c>
      <c r="F1618">
        <v>39.707023620999998</v>
      </c>
      <c r="G1618">
        <v>1370.3024902</v>
      </c>
      <c r="H1618">
        <v>1359.4167480000001</v>
      </c>
      <c r="I1618">
        <v>1298.2457274999999</v>
      </c>
      <c r="J1618">
        <v>1282.6240233999999</v>
      </c>
      <c r="K1618">
        <v>1650</v>
      </c>
      <c r="L1618">
        <v>0</v>
      </c>
      <c r="M1618">
        <v>0</v>
      </c>
      <c r="N1618">
        <v>1650</v>
      </c>
    </row>
    <row r="1619" spans="1:14" x14ac:dyDescent="0.25">
      <c r="A1619">
        <v>1466.2275950000001</v>
      </c>
      <c r="B1619" s="1">
        <f>DATE(2014,5,6) + TIME(5,27,44)</f>
        <v>41765.227592592593</v>
      </c>
      <c r="C1619">
        <v>80</v>
      </c>
      <c r="D1619">
        <v>79.857948303000001</v>
      </c>
      <c r="E1619">
        <v>40</v>
      </c>
      <c r="F1619">
        <v>39.697750092</v>
      </c>
      <c r="G1619">
        <v>1370.2576904</v>
      </c>
      <c r="H1619">
        <v>1359.3828125</v>
      </c>
      <c r="I1619">
        <v>1298.2448730000001</v>
      </c>
      <c r="J1619">
        <v>1282.6223144999999</v>
      </c>
      <c r="K1619">
        <v>1650</v>
      </c>
      <c r="L1619">
        <v>0</v>
      </c>
      <c r="M1619">
        <v>0</v>
      </c>
      <c r="N1619">
        <v>1650</v>
      </c>
    </row>
    <row r="1620" spans="1:14" x14ac:dyDescent="0.25">
      <c r="A1620">
        <v>1466.4425670000001</v>
      </c>
      <c r="B1620" s="1">
        <f>DATE(2014,5,6) + TIME(10,37,17)</f>
        <v>41765.442557870374</v>
      </c>
      <c r="C1620">
        <v>80</v>
      </c>
      <c r="D1620">
        <v>79.873565674000005</v>
      </c>
      <c r="E1620">
        <v>40</v>
      </c>
      <c r="F1620">
        <v>39.688278197999999</v>
      </c>
      <c r="G1620">
        <v>1370.2131348</v>
      </c>
      <c r="H1620">
        <v>1359.348999</v>
      </c>
      <c r="I1620">
        <v>1298.2440185999999</v>
      </c>
      <c r="J1620">
        <v>1282.6206055</v>
      </c>
      <c r="K1620">
        <v>1650</v>
      </c>
      <c r="L1620">
        <v>0</v>
      </c>
      <c r="M1620">
        <v>0</v>
      </c>
      <c r="N1620">
        <v>1650</v>
      </c>
    </row>
    <row r="1621" spans="1:14" x14ac:dyDescent="0.25">
      <c r="A1621">
        <v>1466.664053</v>
      </c>
      <c r="B1621" s="1">
        <f>DATE(2014,5,6) + TIME(15,56,14)</f>
        <v>41765.664050925923</v>
      </c>
      <c r="C1621">
        <v>80</v>
      </c>
      <c r="D1621">
        <v>79.886688231999997</v>
      </c>
      <c r="E1621">
        <v>40</v>
      </c>
      <c r="F1621">
        <v>39.678577423</v>
      </c>
      <c r="G1621">
        <v>1370.1690673999999</v>
      </c>
      <c r="H1621">
        <v>1359.3153076000001</v>
      </c>
      <c r="I1621">
        <v>1298.2431641000001</v>
      </c>
      <c r="J1621">
        <v>1282.6187743999999</v>
      </c>
      <c r="K1621">
        <v>1650</v>
      </c>
      <c r="L1621">
        <v>0</v>
      </c>
      <c r="M1621">
        <v>0</v>
      </c>
      <c r="N1621">
        <v>1650</v>
      </c>
    </row>
    <row r="1622" spans="1:14" x14ac:dyDescent="0.25">
      <c r="A1622">
        <v>1466.8927289999999</v>
      </c>
      <c r="B1622" s="1">
        <f>DATE(2014,5,6) + TIME(21,25,31)</f>
        <v>41765.89271990741</v>
      </c>
      <c r="C1622">
        <v>80</v>
      </c>
      <c r="D1622">
        <v>79.897689818999993</v>
      </c>
      <c r="E1622">
        <v>40</v>
      </c>
      <c r="F1622">
        <v>39.668628693000002</v>
      </c>
      <c r="G1622">
        <v>1370.1251221</v>
      </c>
      <c r="H1622">
        <v>1359.2817382999999</v>
      </c>
      <c r="I1622">
        <v>1298.2421875</v>
      </c>
      <c r="J1622">
        <v>1282.6169434000001</v>
      </c>
      <c r="K1622">
        <v>1650</v>
      </c>
      <c r="L1622">
        <v>0</v>
      </c>
      <c r="M1622">
        <v>0</v>
      </c>
      <c r="N1622">
        <v>1650</v>
      </c>
    </row>
    <row r="1623" spans="1:14" x14ac:dyDescent="0.25">
      <c r="A1623">
        <v>1467.1293410000001</v>
      </c>
      <c r="B1623" s="1">
        <f>DATE(2014,5,7) + TIME(3,6,15)</f>
        <v>41766.129340277781</v>
      </c>
      <c r="C1623">
        <v>80</v>
      </c>
      <c r="D1623">
        <v>79.906883239999999</v>
      </c>
      <c r="E1623">
        <v>40</v>
      </c>
      <c r="F1623">
        <v>39.658401488999999</v>
      </c>
      <c r="G1623">
        <v>1370.0812988</v>
      </c>
      <c r="H1623">
        <v>1359.2481689000001</v>
      </c>
      <c r="I1623">
        <v>1298.2413329999999</v>
      </c>
      <c r="J1623">
        <v>1282.6151123</v>
      </c>
      <c r="K1623">
        <v>1650</v>
      </c>
      <c r="L1623">
        <v>0</v>
      </c>
      <c r="M1623">
        <v>0</v>
      </c>
      <c r="N1623">
        <v>1650</v>
      </c>
    </row>
    <row r="1624" spans="1:14" x14ac:dyDescent="0.25">
      <c r="A1624">
        <v>1467.3747269999999</v>
      </c>
      <c r="B1624" s="1">
        <f>DATE(2014,5,7) + TIME(8,59,36)</f>
        <v>41766.374722222223</v>
      </c>
      <c r="C1624">
        <v>80</v>
      </c>
      <c r="D1624">
        <v>79.914543151999993</v>
      </c>
      <c r="E1624">
        <v>40</v>
      </c>
      <c r="F1624">
        <v>39.647869110000002</v>
      </c>
      <c r="G1624">
        <v>1370.0373535000001</v>
      </c>
      <c r="H1624">
        <v>1359.2143555</v>
      </c>
      <c r="I1624">
        <v>1298.2403564000001</v>
      </c>
      <c r="J1624">
        <v>1282.6130370999999</v>
      </c>
      <c r="K1624">
        <v>1650</v>
      </c>
      <c r="L1624">
        <v>0</v>
      </c>
      <c r="M1624">
        <v>0</v>
      </c>
      <c r="N1624">
        <v>1650</v>
      </c>
    </row>
    <row r="1625" spans="1:14" x14ac:dyDescent="0.25">
      <c r="A1625">
        <v>1467.6298999999999</v>
      </c>
      <c r="B1625" s="1">
        <f>DATE(2014,5,7) + TIME(15,7,3)</f>
        <v>41766.629895833335</v>
      </c>
      <c r="C1625">
        <v>80</v>
      </c>
      <c r="D1625">
        <v>79.920906067000004</v>
      </c>
      <c r="E1625">
        <v>40</v>
      </c>
      <c r="F1625">
        <v>39.636997223000002</v>
      </c>
      <c r="G1625">
        <v>1369.9934082</v>
      </c>
      <c r="H1625">
        <v>1359.1805420000001</v>
      </c>
      <c r="I1625">
        <v>1298.2392577999999</v>
      </c>
      <c r="J1625">
        <v>1282.6109618999999</v>
      </c>
      <c r="K1625">
        <v>1650</v>
      </c>
      <c r="L1625">
        <v>0</v>
      </c>
      <c r="M1625">
        <v>0</v>
      </c>
      <c r="N1625">
        <v>1650</v>
      </c>
    </row>
    <row r="1626" spans="1:14" x14ac:dyDescent="0.25">
      <c r="A1626">
        <v>1467.8959890000001</v>
      </c>
      <c r="B1626" s="1">
        <f>DATE(2014,5,7) + TIME(21,30,13)</f>
        <v>41766.895983796298</v>
      </c>
      <c r="C1626">
        <v>80</v>
      </c>
      <c r="D1626">
        <v>79.926170349000003</v>
      </c>
      <c r="E1626">
        <v>40</v>
      </c>
      <c r="F1626">
        <v>39.625740051000001</v>
      </c>
      <c r="G1626">
        <v>1369.9490966999999</v>
      </c>
      <c r="H1626">
        <v>1359.1463623</v>
      </c>
      <c r="I1626">
        <v>1298.2381591999999</v>
      </c>
      <c r="J1626">
        <v>1282.6088867000001</v>
      </c>
      <c r="K1626">
        <v>1650</v>
      </c>
      <c r="L1626">
        <v>0</v>
      </c>
      <c r="M1626">
        <v>0</v>
      </c>
      <c r="N1626">
        <v>1650</v>
      </c>
    </row>
    <row r="1627" spans="1:14" x14ac:dyDescent="0.25">
      <c r="A1627">
        <v>1468.1741259999999</v>
      </c>
      <c r="B1627" s="1">
        <f>DATE(2014,5,8) + TIME(4,10,44)</f>
        <v>41767.174120370371</v>
      </c>
      <c r="C1627">
        <v>80</v>
      </c>
      <c r="D1627">
        <v>79.930511475000003</v>
      </c>
      <c r="E1627">
        <v>40</v>
      </c>
      <c r="F1627">
        <v>39.614067077999998</v>
      </c>
      <c r="G1627">
        <v>1369.9044189000001</v>
      </c>
      <c r="H1627">
        <v>1359.1119385</v>
      </c>
      <c r="I1627">
        <v>1298.2370605000001</v>
      </c>
      <c r="J1627">
        <v>1282.6065673999999</v>
      </c>
      <c r="K1627">
        <v>1650</v>
      </c>
      <c r="L1627">
        <v>0</v>
      </c>
      <c r="M1627">
        <v>0</v>
      </c>
      <c r="N1627">
        <v>1650</v>
      </c>
    </row>
    <row r="1628" spans="1:14" x14ac:dyDescent="0.25">
      <c r="A1628">
        <v>1468.461448</v>
      </c>
      <c r="B1628" s="1">
        <f>DATE(2014,5,8) + TIME(11,4,29)</f>
        <v>41767.461446759262</v>
      </c>
      <c r="C1628">
        <v>80</v>
      </c>
      <c r="D1628">
        <v>79.934036254999995</v>
      </c>
      <c r="E1628">
        <v>40</v>
      </c>
      <c r="F1628">
        <v>39.602066039999997</v>
      </c>
      <c r="G1628">
        <v>1369.8592529</v>
      </c>
      <c r="H1628">
        <v>1359.0770264</v>
      </c>
      <c r="I1628">
        <v>1298.2359618999999</v>
      </c>
      <c r="J1628">
        <v>1282.6042480000001</v>
      </c>
      <c r="K1628">
        <v>1650</v>
      </c>
      <c r="L1628">
        <v>0</v>
      </c>
      <c r="M1628">
        <v>0</v>
      </c>
      <c r="N1628">
        <v>1650</v>
      </c>
    </row>
    <row r="1629" spans="1:14" x14ac:dyDescent="0.25">
      <c r="A1629">
        <v>1468.758781</v>
      </c>
      <c r="B1629" s="1">
        <f>DATE(2014,5,8) + TIME(18,12,38)</f>
        <v>41767.758773148147</v>
      </c>
      <c r="C1629">
        <v>80</v>
      </c>
      <c r="D1629">
        <v>79.936897278000004</v>
      </c>
      <c r="E1629">
        <v>40</v>
      </c>
      <c r="F1629">
        <v>39.589717864999997</v>
      </c>
      <c r="G1629">
        <v>1369.8140868999999</v>
      </c>
      <c r="H1629">
        <v>1359.0422363</v>
      </c>
      <c r="I1629">
        <v>1298.2346190999999</v>
      </c>
      <c r="J1629">
        <v>1282.6018065999999</v>
      </c>
      <c r="K1629">
        <v>1650</v>
      </c>
      <c r="L1629">
        <v>0</v>
      </c>
      <c r="M1629">
        <v>0</v>
      </c>
      <c r="N1629">
        <v>1650</v>
      </c>
    </row>
    <row r="1630" spans="1:14" x14ac:dyDescent="0.25">
      <c r="A1630">
        <v>1469.0671010000001</v>
      </c>
      <c r="B1630" s="1">
        <f>DATE(2014,5,9) + TIME(1,36,37)</f>
        <v>41768.067094907405</v>
      </c>
      <c r="C1630">
        <v>80</v>
      </c>
      <c r="D1630">
        <v>79.939201354999994</v>
      </c>
      <c r="E1630">
        <v>40</v>
      </c>
      <c r="F1630">
        <v>39.576988219999997</v>
      </c>
      <c r="G1630">
        <v>1369.7687988</v>
      </c>
      <c r="H1630">
        <v>1359.0072021000001</v>
      </c>
      <c r="I1630">
        <v>1298.2333983999999</v>
      </c>
      <c r="J1630">
        <v>1282.5992432</v>
      </c>
      <c r="K1630">
        <v>1650</v>
      </c>
      <c r="L1630">
        <v>0</v>
      </c>
      <c r="M1630">
        <v>0</v>
      </c>
      <c r="N1630">
        <v>1650</v>
      </c>
    </row>
    <row r="1631" spans="1:14" x14ac:dyDescent="0.25">
      <c r="A1631">
        <v>1469.387504</v>
      </c>
      <c r="B1631" s="1">
        <f>DATE(2014,5,9) + TIME(9,18,0)</f>
        <v>41768.387499999997</v>
      </c>
      <c r="C1631">
        <v>80</v>
      </c>
      <c r="D1631">
        <v>79.941070557000003</v>
      </c>
      <c r="E1631">
        <v>40</v>
      </c>
      <c r="F1631">
        <v>39.563842772999998</v>
      </c>
      <c r="G1631">
        <v>1369.7232666</v>
      </c>
      <c r="H1631">
        <v>1358.972168</v>
      </c>
      <c r="I1631">
        <v>1298.2320557</v>
      </c>
      <c r="J1631">
        <v>1282.5966797000001</v>
      </c>
      <c r="K1631">
        <v>1650</v>
      </c>
      <c r="L1631">
        <v>0</v>
      </c>
      <c r="M1631">
        <v>0</v>
      </c>
      <c r="N1631">
        <v>1650</v>
      </c>
    </row>
    <row r="1632" spans="1:14" x14ac:dyDescent="0.25">
      <c r="A1632">
        <v>1469.721364</v>
      </c>
      <c r="B1632" s="1">
        <f>DATE(2014,5,9) + TIME(17,18,45)</f>
        <v>41768.721354166664</v>
      </c>
      <c r="C1632">
        <v>80</v>
      </c>
      <c r="D1632">
        <v>79.942581176999994</v>
      </c>
      <c r="E1632">
        <v>40</v>
      </c>
      <c r="F1632">
        <v>39.550239562999998</v>
      </c>
      <c r="G1632">
        <v>1369.6773682</v>
      </c>
      <c r="H1632">
        <v>1358.9367675999999</v>
      </c>
      <c r="I1632">
        <v>1298.2307129000001</v>
      </c>
      <c r="J1632">
        <v>1282.5938721</v>
      </c>
      <c r="K1632">
        <v>1650</v>
      </c>
      <c r="L1632">
        <v>0</v>
      </c>
      <c r="M1632">
        <v>0</v>
      </c>
      <c r="N1632">
        <v>1650</v>
      </c>
    </row>
    <row r="1633" spans="1:14" x14ac:dyDescent="0.25">
      <c r="A1633">
        <v>1470.067098</v>
      </c>
      <c r="B1633" s="1">
        <f>DATE(2014,5,10) + TIME(1,36,37)</f>
        <v>41769.067094907405</v>
      </c>
      <c r="C1633">
        <v>80</v>
      </c>
      <c r="D1633">
        <v>79.943786621000001</v>
      </c>
      <c r="E1633">
        <v>40</v>
      </c>
      <c r="F1633">
        <v>39.536228180000002</v>
      </c>
      <c r="G1633">
        <v>1369.6311035000001</v>
      </c>
      <c r="H1633">
        <v>1358.9011230000001</v>
      </c>
      <c r="I1633">
        <v>1298.2292480000001</v>
      </c>
      <c r="J1633">
        <v>1282.5910644999999</v>
      </c>
      <c r="K1633">
        <v>1650</v>
      </c>
      <c r="L1633">
        <v>0</v>
      </c>
      <c r="M1633">
        <v>0</v>
      </c>
      <c r="N1633">
        <v>1650</v>
      </c>
    </row>
    <row r="1634" spans="1:14" x14ac:dyDescent="0.25">
      <c r="A1634">
        <v>1470.4162590000001</v>
      </c>
      <c r="B1634" s="1">
        <f>DATE(2014,5,10) + TIME(9,59,24)</f>
        <v>41769.416250000002</v>
      </c>
      <c r="C1634">
        <v>80</v>
      </c>
      <c r="D1634">
        <v>79.944732665999993</v>
      </c>
      <c r="E1634">
        <v>40</v>
      </c>
      <c r="F1634">
        <v>39.522071838000002</v>
      </c>
      <c r="G1634">
        <v>1369.5845947</v>
      </c>
      <c r="H1634">
        <v>1358.8653564000001</v>
      </c>
      <c r="I1634">
        <v>1298.2276611</v>
      </c>
      <c r="J1634">
        <v>1282.5880127</v>
      </c>
      <c r="K1634">
        <v>1650</v>
      </c>
      <c r="L1634">
        <v>0</v>
      </c>
      <c r="M1634">
        <v>0</v>
      </c>
      <c r="N1634">
        <v>1650</v>
      </c>
    </row>
    <row r="1635" spans="1:14" x14ac:dyDescent="0.25">
      <c r="A1635">
        <v>1470.769959</v>
      </c>
      <c r="B1635" s="1">
        <f>DATE(2014,5,10) + TIME(18,28,44)</f>
        <v>41769.769953703704</v>
      </c>
      <c r="C1635">
        <v>80</v>
      </c>
      <c r="D1635">
        <v>79.945480347</v>
      </c>
      <c r="E1635">
        <v>40</v>
      </c>
      <c r="F1635">
        <v>39.507759094000001</v>
      </c>
      <c r="G1635">
        <v>1369.5390625</v>
      </c>
      <c r="H1635">
        <v>1358.8303223</v>
      </c>
      <c r="I1635">
        <v>1298.2260742000001</v>
      </c>
      <c r="J1635">
        <v>1282.5850829999999</v>
      </c>
      <c r="K1635">
        <v>1650</v>
      </c>
      <c r="L1635">
        <v>0</v>
      </c>
      <c r="M1635">
        <v>0</v>
      </c>
      <c r="N1635">
        <v>1650</v>
      </c>
    </row>
    <row r="1636" spans="1:14" x14ac:dyDescent="0.25">
      <c r="A1636">
        <v>1471.1292390000001</v>
      </c>
      <c r="B1636" s="1">
        <f>DATE(2014,5,11) + TIME(3,6,6)</f>
        <v>41770.129236111112</v>
      </c>
      <c r="C1636">
        <v>80</v>
      </c>
      <c r="D1636">
        <v>79.946075438999998</v>
      </c>
      <c r="E1636">
        <v>40</v>
      </c>
      <c r="F1636">
        <v>39.493263245000001</v>
      </c>
      <c r="G1636">
        <v>1369.4942627</v>
      </c>
      <c r="H1636">
        <v>1358.7958983999999</v>
      </c>
      <c r="I1636">
        <v>1298.2244873</v>
      </c>
      <c r="J1636">
        <v>1282.5820312000001</v>
      </c>
      <c r="K1636">
        <v>1650</v>
      </c>
      <c r="L1636">
        <v>0</v>
      </c>
      <c r="M1636">
        <v>0</v>
      </c>
      <c r="N1636">
        <v>1650</v>
      </c>
    </row>
    <row r="1637" spans="1:14" x14ac:dyDescent="0.25">
      <c r="A1637">
        <v>1471.4951639999999</v>
      </c>
      <c r="B1637" s="1">
        <f>DATE(2014,5,11) + TIME(11,53,2)</f>
        <v>41770.495162037034</v>
      </c>
      <c r="C1637">
        <v>80</v>
      </c>
      <c r="D1637">
        <v>79.946548461999996</v>
      </c>
      <c r="E1637">
        <v>40</v>
      </c>
      <c r="F1637">
        <v>39.478561401</v>
      </c>
      <c r="G1637">
        <v>1369.4499512</v>
      </c>
      <c r="H1637">
        <v>1358.7619629000001</v>
      </c>
      <c r="I1637">
        <v>1298.2229004000001</v>
      </c>
      <c r="J1637">
        <v>1282.5788574000001</v>
      </c>
      <c r="K1637">
        <v>1650</v>
      </c>
      <c r="L1637">
        <v>0</v>
      </c>
      <c r="M1637">
        <v>0</v>
      </c>
      <c r="N1637">
        <v>1650</v>
      </c>
    </row>
    <row r="1638" spans="1:14" x14ac:dyDescent="0.25">
      <c r="A1638">
        <v>1471.8663939999999</v>
      </c>
      <c r="B1638" s="1">
        <f>DATE(2014,5,11) + TIME(20,47,36)</f>
        <v>41770.866388888891</v>
      </c>
      <c r="C1638">
        <v>80</v>
      </c>
      <c r="D1638">
        <v>79.946929932000003</v>
      </c>
      <c r="E1638">
        <v>40</v>
      </c>
      <c r="F1638">
        <v>39.463699341000002</v>
      </c>
      <c r="G1638">
        <v>1369.4061279</v>
      </c>
      <c r="H1638">
        <v>1358.7285156</v>
      </c>
      <c r="I1638">
        <v>1298.2211914</v>
      </c>
      <c r="J1638">
        <v>1282.5756836</v>
      </c>
      <c r="K1638">
        <v>1650</v>
      </c>
      <c r="L1638">
        <v>0</v>
      </c>
      <c r="M1638">
        <v>0</v>
      </c>
      <c r="N1638">
        <v>1650</v>
      </c>
    </row>
    <row r="1639" spans="1:14" x14ac:dyDescent="0.25">
      <c r="A1639">
        <v>1472.243561</v>
      </c>
      <c r="B1639" s="1">
        <f>DATE(2014,5,12) + TIME(5,50,43)</f>
        <v>41771.24355324074</v>
      </c>
      <c r="C1639">
        <v>80</v>
      </c>
      <c r="D1639">
        <v>79.947235106999997</v>
      </c>
      <c r="E1639">
        <v>40</v>
      </c>
      <c r="F1639">
        <v>39.448665619000003</v>
      </c>
      <c r="G1639">
        <v>1369.3629149999999</v>
      </c>
      <c r="H1639">
        <v>1358.6953125</v>
      </c>
      <c r="I1639">
        <v>1298.2196045000001</v>
      </c>
      <c r="J1639">
        <v>1282.5723877</v>
      </c>
      <c r="K1639">
        <v>1650</v>
      </c>
      <c r="L1639">
        <v>0</v>
      </c>
      <c r="M1639">
        <v>0</v>
      </c>
      <c r="N1639">
        <v>1650</v>
      </c>
    </row>
    <row r="1640" spans="1:14" x14ac:dyDescent="0.25">
      <c r="A1640">
        <v>1472.6276660000001</v>
      </c>
      <c r="B1640" s="1">
        <f>DATE(2014,5,12) + TIME(15,3,50)</f>
        <v>41771.627662037034</v>
      </c>
      <c r="C1640">
        <v>80</v>
      </c>
      <c r="D1640">
        <v>79.947486877000003</v>
      </c>
      <c r="E1640">
        <v>40</v>
      </c>
      <c r="F1640">
        <v>39.433429717999999</v>
      </c>
      <c r="G1640">
        <v>1369.3200684000001</v>
      </c>
      <c r="H1640">
        <v>1358.6627197</v>
      </c>
      <c r="I1640">
        <v>1298.2178954999999</v>
      </c>
      <c r="J1640">
        <v>1282.5690918</v>
      </c>
      <c r="K1640">
        <v>1650</v>
      </c>
      <c r="L1640">
        <v>0</v>
      </c>
      <c r="M1640">
        <v>0</v>
      </c>
      <c r="N1640">
        <v>1650</v>
      </c>
    </row>
    <row r="1641" spans="1:14" x14ac:dyDescent="0.25">
      <c r="A1641">
        <v>1473.0197579999999</v>
      </c>
      <c r="B1641" s="1">
        <f>DATE(2014,5,13) + TIME(0,28,27)</f>
        <v>41772.019756944443</v>
      </c>
      <c r="C1641">
        <v>80</v>
      </c>
      <c r="D1641">
        <v>79.947685242000006</v>
      </c>
      <c r="E1641">
        <v>40</v>
      </c>
      <c r="F1641">
        <v>39.417961120999998</v>
      </c>
      <c r="G1641">
        <v>1369.2775879000001</v>
      </c>
      <c r="H1641">
        <v>1358.630249</v>
      </c>
      <c r="I1641">
        <v>1298.2160644999999</v>
      </c>
      <c r="J1641">
        <v>1282.5656738</v>
      </c>
      <c r="K1641">
        <v>1650</v>
      </c>
      <c r="L1641">
        <v>0</v>
      </c>
      <c r="M1641">
        <v>0</v>
      </c>
      <c r="N1641">
        <v>1650</v>
      </c>
    </row>
    <row r="1642" spans="1:14" x14ac:dyDescent="0.25">
      <c r="A1642">
        <v>1473.420957</v>
      </c>
      <c r="B1642" s="1">
        <f>DATE(2014,5,13) + TIME(10,6,10)</f>
        <v>41772.420949074076</v>
      </c>
      <c r="C1642">
        <v>80</v>
      </c>
      <c r="D1642">
        <v>79.947853088000002</v>
      </c>
      <c r="E1642">
        <v>40</v>
      </c>
      <c r="F1642">
        <v>39.402236938000001</v>
      </c>
      <c r="G1642">
        <v>1369.2353516000001</v>
      </c>
      <c r="H1642">
        <v>1358.5980225000001</v>
      </c>
      <c r="I1642">
        <v>1298.2143555</v>
      </c>
      <c r="J1642">
        <v>1282.5622559000001</v>
      </c>
      <c r="K1642">
        <v>1650</v>
      </c>
      <c r="L1642">
        <v>0</v>
      </c>
      <c r="M1642">
        <v>0</v>
      </c>
      <c r="N1642">
        <v>1650</v>
      </c>
    </row>
    <row r="1643" spans="1:14" x14ac:dyDescent="0.25">
      <c r="A1643">
        <v>1473.832474</v>
      </c>
      <c r="B1643" s="1">
        <f>DATE(2014,5,13) + TIME(19,58,45)</f>
        <v>41772.832465277781</v>
      </c>
      <c r="C1643">
        <v>80</v>
      </c>
      <c r="D1643">
        <v>79.947982788000004</v>
      </c>
      <c r="E1643">
        <v>40</v>
      </c>
      <c r="F1643">
        <v>39.386207581000001</v>
      </c>
      <c r="G1643">
        <v>1369.1932373</v>
      </c>
      <c r="H1643">
        <v>1358.5660399999999</v>
      </c>
      <c r="I1643">
        <v>1298.2125243999999</v>
      </c>
      <c r="J1643">
        <v>1282.5585937999999</v>
      </c>
      <c r="K1643">
        <v>1650</v>
      </c>
      <c r="L1643">
        <v>0</v>
      </c>
      <c r="M1643">
        <v>0</v>
      </c>
      <c r="N1643">
        <v>1650</v>
      </c>
    </row>
    <row r="1644" spans="1:14" x14ac:dyDescent="0.25">
      <c r="A1644">
        <v>1474.2556360000001</v>
      </c>
      <c r="B1644" s="1">
        <f>DATE(2014,5,14) + TIME(6,8,6)</f>
        <v>41773.255624999998</v>
      </c>
      <c r="C1644">
        <v>80</v>
      </c>
      <c r="D1644">
        <v>79.948089600000003</v>
      </c>
      <c r="E1644">
        <v>40</v>
      </c>
      <c r="F1644">
        <v>39.369842529000003</v>
      </c>
      <c r="G1644">
        <v>1369.151001</v>
      </c>
      <c r="H1644">
        <v>1358.5339355000001</v>
      </c>
      <c r="I1644">
        <v>1298.2106934000001</v>
      </c>
      <c r="J1644">
        <v>1282.5549315999999</v>
      </c>
      <c r="K1644">
        <v>1650</v>
      </c>
      <c r="L1644">
        <v>0</v>
      </c>
      <c r="M1644">
        <v>0</v>
      </c>
      <c r="N1644">
        <v>1650</v>
      </c>
    </row>
    <row r="1645" spans="1:14" x14ac:dyDescent="0.25">
      <c r="A1645">
        <v>1474.691947</v>
      </c>
      <c r="B1645" s="1">
        <f>DATE(2014,5,14) + TIME(16,36,24)</f>
        <v>41773.691944444443</v>
      </c>
      <c r="C1645">
        <v>80</v>
      </c>
      <c r="D1645">
        <v>79.948173522999994</v>
      </c>
      <c r="E1645">
        <v>40</v>
      </c>
      <c r="F1645">
        <v>39.353092193999998</v>
      </c>
      <c r="G1645">
        <v>1369.1087646000001</v>
      </c>
      <c r="H1645">
        <v>1358.5018310999999</v>
      </c>
      <c r="I1645">
        <v>1298.2087402</v>
      </c>
      <c r="J1645">
        <v>1282.5511475000001</v>
      </c>
      <c r="K1645">
        <v>1650</v>
      </c>
      <c r="L1645">
        <v>0</v>
      </c>
      <c r="M1645">
        <v>0</v>
      </c>
      <c r="N1645">
        <v>1650</v>
      </c>
    </row>
    <row r="1646" spans="1:14" x14ac:dyDescent="0.25">
      <c r="A1646">
        <v>1475.1432930000001</v>
      </c>
      <c r="B1646" s="1">
        <f>DATE(2014,5,15) + TIME(3,26,20)</f>
        <v>41774.143287037034</v>
      </c>
      <c r="C1646">
        <v>80</v>
      </c>
      <c r="D1646">
        <v>79.948249817000004</v>
      </c>
      <c r="E1646">
        <v>40</v>
      </c>
      <c r="F1646">
        <v>39.335895538000003</v>
      </c>
      <c r="G1646">
        <v>1369.0661620999999</v>
      </c>
      <c r="H1646">
        <v>1358.4694824000001</v>
      </c>
      <c r="I1646">
        <v>1298.2066649999999</v>
      </c>
      <c r="J1646">
        <v>1282.5472411999999</v>
      </c>
      <c r="K1646">
        <v>1650</v>
      </c>
      <c r="L1646">
        <v>0</v>
      </c>
      <c r="M1646">
        <v>0</v>
      </c>
      <c r="N1646">
        <v>1650</v>
      </c>
    </row>
    <row r="1647" spans="1:14" x14ac:dyDescent="0.25">
      <c r="A1647">
        <v>1475.6108710000001</v>
      </c>
      <c r="B1647" s="1">
        <f>DATE(2014,5,15) + TIME(14,39,39)</f>
        <v>41774.610868055555</v>
      </c>
      <c r="C1647">
        <v>80</v>
      </c>
      <c r="D1647">
        <v>79.948303222999996</v>
      </c>
      <c r="E1647">
        <v>40</v>
      </c>
      <c r="F1647">
        <v>39.318218231000003</v>
      </c>
      <c r="G1647">
        <v>1369.0233154</v>
      </c>
      <c r="H1647">
        <v>1358.4368896000001</v>
      </c>
      <c r="I1647">
        <v>1298.2045897999999</v>
      </c>
      <c r="J1647">
        <v>1282.5430908000001</v>
      </c>
      <c r="K1647">
        <v>1650</v>
      </c>
      <c r="L1647">
        <v>0</v>
      </c>
      <c r="M1647">
        <v>0</v>
      </c>
      <c r="N1647">
        <v>1650</v>
      </c>
    </row>
    <row r="1648" spans="1:14" x14ac:dyDescent="0.25">
      <c r="A1648">
        <v>1476.0911309999999</v>
      </c>
      <c r="B1648" s="1">
        <f>DATE(2014,5,16) + TIME(2,11,13)</f>
        <v>41775.091122685182</v>
      </c>
      <c r="C1648">
        <v>80</v>
      </c>
      <c r="D1648">
        <v>79.948341369999994</v>
      </c>
      <c r="E1648">
        <v>40</v>
      </c>
      <c r="F1648">
        <v>39.300144195999998</v>
      </c>
      <c r="G1648">
        <v>1368.9798584</v>
      </c>
      <c r="H1648">
        <v>1358.4040527</v>
      </c>
      <c r="I1648">
        <v>1298.2023925999999</v>
      </c>
      <c r="J1648">
        <v>1282.5389404</v>
      </c>
      <c r="K1648">
        <v>1650</v>
      </c>
      <c r="L1648">
        <v>0</v>
      </c>
      <c r="M1648">
        <v>0</v>
      </c>
      <c r="N1648">
        <v>1650</v>
      </c>
    </row>
    <row r="1649" spans="1:14" x14ac:dyDescent="0.25">
      <c r="A1649">
        <v>1476.5842600000001</v>
      </c>
      <c r="B1649" s="1">
        <f>DATE(2014,5,16) + TIME(14,1,20)</f>
        <v>41775.58425925926</v>
      </c>
      <c r="C1649">
        <v>80</v>
      </c>
      <c r="D1649">
        <v>79.948371886999993</v>
      </c>
      <c r="E1649">
        <v>40</v>
      </c>
      <c r="F1649">
        <v>39.281681061</v>
      </c>
      <c r="G1649">
        <v>1368.9364014</v>
      </c>
      <c r="H1649">
        <v>1358.3710937999999</v>
      </c>
      <c r="I1649">
        <v>1298.2001952999999</v>
      </c>
      <c r="J1649">
        <v>1282.5345459</v>
      </c>
      <c r="K1649">
        <v>1650</v>
      </c>
      <c r="L1649">
        <v>0</v>
      </c>
      <c r="M1649">
        <v>0</v>
      </c>
      <c r="N1649">
        <v>1650</v>
      </c>
    </row>
    <row r="1650" spans="1:14" x14ac:dyDescent="0.25">
      <c r="A1650">
        <v>1477.0882859999999</v>
      </c>
      <c r="B1650" s="1">
        <f>DATE(2014,5,17) + TIME(2,7,7)</f>
        <v>41776.088275462964</v>
      </c>
      <c r="C1650">
        <v>80</v>
      </c>
      <c r="D1650">
        <v>79.948394774999997</v>
      </c>
      <c r="E1650">
        <v>40</v>
      </c>
      <c r="F1650">
        <v>39.262882232999999</v>
      </c>
      <c r="G1650">
        <v>1368.8927002</v>
      </c>
      <c r="H1650">
        <v>1358.3381348</v>
      </c>
      <c r="I1650">
        <v>1298.1977539</v>
      </c>
      <c r="J1650">
        <v>1282.5299072</v>
      </c>
      <c r="K1650">
        <v>1650</v>
      </c>
      <c r="L1650">
        <v>0</v>
      </c>
      <c r="M1650">
        <v>0</v>
      </c>
      <c r="N1650">
        <v>1650</v>
      </c>
    </row>
    <row r="1651" spans="1:14" x14ac:dyDescent="0.25">
      <c r="A1651">
        <v>1477.6045260000001</v>
      </c>
      <c r="B1651" s="1">
        <f>DATE(2014,5,17) + TIME(14,30,31)</f>
        <v>41776.604525462964</v>
      </c>
      <c r="C1651">
        <v>80</v>
      </c>
      <c r="D1651">
        <v>79.948402404999996</v>
      </c>
      <c r="E1651">
        <v>40</v>
      </c>
      <c r="F1651">
        <v>39.243721008000001</v>
      </c>
      <c r="G1651">
        <v>1368.8492432</v>
      </c>
      <c r="H1651">
        <v>1358.3052978999999</v>
      </c>
      <c r="I1651">
        <v>1298.1954346</v>
      </c>
      <c r="J1651">
        <v>1282.5252685999999</v>
      </c>
      <c r="K1651">
        <v>1650</v>
      </c>
      <c r="L1651">
        <v>0</v>
      </c>
      <c r="M1651">
        <v>0</v>
      </c>
      <c r="N1651">
        <v>1650</v>
      </c>
    </row>
    <row r="1652" spans="1:14" x14ac:dyDescent="0.25">
      <c r="A1652">
        <v>1478.1343509999999</v>
      </c>
      <c r="B1652" s="1">
        <f>DATE(2014,5,18) + TIME(3,13,27)</f>
        <v>41777.134340277778</v>
      </c>
      <c r="C1652">
        <v>80</v>
      </c>
      <c r="D1652">
        <v>79.948410034000005</v>
      </c>
      <c r="E1652">
        <v>40</v>
      </c>
      <c r="F1652">
        <v>39.224166869999998</v>
      </c>
      <c r="G1652">
        <v>1368.8057861</v>
      </c>
      <c r="H1652">
        <v>1358.2724608999999</v>
      </c>
      <c r="I1652">
        <v>1298.1928711</v>
      </c>
      <c r="J1652">
        <v>1282.5205077999999</v>
      </c>
      <c r="K1652">
        <v>1650</v>
      </c>
      <c r="L1652">
        <v>0</v>
      </c>
      <c r="M1652">
        <v>0</v>
      </c>
      <c r="N1652">
        <v>1650</v>
      </c>
    </row>
    <row r="1653" spans="1:14" x14ac:dyDescent="0.25">
      <c r="A1653">
        <v>1478.6763980000001</v>
      </c>
      <c r="B1653" s="1">
        <f>DATE(2014,5,18) + TIME(16,14,0)</f>
        <v>41777.676388888889</v>
      </c>
      <c r="C1653">
        <v>80</v>
      </c>
      <c r="D1653">
        <v>79.948410034000005</v>
      </c>
      <c r="E1653">
        <v>40</v>
      </c>
      <c r="F1653">
        <v>39.204257964999996</v>
      </c>
      <c r="G1653">
        <v>1368.7620850000001</v>
      </c>
      <c r="H1653">
        <v>1358.2395019999999</v>
      </c>
      <c r="I1653">
        <v>1298.1903076000001</v>
      </c>
      <c r="J1653">
        <v>1282.5155029</v>
      </c>
      <c r="K1653">
        <v>1650</v>
      </c>
      <c r="L1653">
        <v>0</v>
      </c>
      <c r="M1653">
        <v>0</v>
      </c>
      <c r="N1653">
        <v>1650</v>
      </c>
    </row>
    <row r="1654" spans="1:14" x14ac:dyDescent="0.25">
      <c r="A1654">
        <v>1479.2241320000001</v>
      </c>
      <c r="B1654" s="1">
        <f>DATE(2014,5,19) + TIME(5,22,44)</f>
        <v>41778.224120370367</v>
      </c>
      <c r="C1654">
        <v>80</v>
      </c>
      <c r="D1654">
        <v>79.948402404999996</v>
      </c>
      <c r="E1654">
        <v>40</v>
      </c>
      <c r="F1654">
        <v>39.184165954999997</v>
      </c>
      <c r="G1654">
        <v>1368.7185059000001</v>
      </c>
      <c r="H1654">
        <v>1358.2066649999999</v>
      </c>
      <c r="I1654">
        <v>1298.1877440999999</v>
      </c>
      <c r="J1654">
        <v>1282.510376</v>
      </c>
      <c r="K1654">
        <v>1650</v>
      </c>
      <c r="L1654">
        <v>0</v>
      </c>
      <c r="M1654">
        <v>0</v>
      </c>
      <c r="N1654">
        <v>1650</v>
      </c>
    </row>
    <row r="1655" spans="1:14" x14ac:dyDescent="0.25">
      <c r="A1655">
        <v>1479.779149</v>
      </c>
      <c r="B1655" s="1">
        <f>DATE(2014,5,19) + TIME(18,41,58)</f>
        <v>41778.779143518521</v>
      </c>
      <c r="C1655">
        <v>80</v>
      </c>
      <c r="D1655">
        <v>79.948394774999997</v>
      </c>
      <c r="E1655">
        <v>40</v>
      </c>
      <c r="F1655">
        <v>39.163879395000002</v>
      </c>
      <c r="G1655">
        <v>1368.6755370999999</v>
      </c>
      <c r="H1655">
        <v>1358.1741943</v>
      </c>
      <c r="I1655">
        <v>1298.1850586</v>
      </c>
      <c r="J1655">
        <v>1282.505249</v>
      </c>
      <c r="K1655">
        <v>1650</v>
      </c>
      <c r="L1655">
        <v>0</v>
      </c>
      <c r="M1655">
        <v>0</v>
      </c>
      <c r="N1655">
        <v>1650</v>
      </c>
    </row>
    <row r="1656" spans="1:14" x14ac:dyDescent="0.25">
      <c r="A1656">
        <v>1480.3430129999999</v>
      </c>
      <c r="B1656" s="1">
        <f>DATE(2014,5,20) + TIME(8,13,56)</f>
        <v>41779.343009259261</v>
      </c>
      <c r="C1656">
        <v>80</v>
      </c>
      <c r="D1656">
        <v>79.948379517000006</v>
      </c>
      <c r="E1656">
        <v>40</v>
      </c>
      <c r="F1656">
        <v>39.143367767000001</v>
      </c>
      <c r="G1656">
        <v>1368.6329346</v>
      </c>
      <c r="H1656">
        <v>1358.1420897999999</v>
      </c>
      <c r="I1656">
        <v>1298.182251</v>
      </c>
      <c r="J1656">
        <v>1282.4998779</v>
      </c>
      <c r="K1656">
        <v>1650</v>
      </c>
      <c r="L1656">
        <v>0</v>
      </c>
      <c r="M1656">
        <v>0</v>
      </c>
      <c r="N1656">
        <v>1650</v>
      </c>
    </row>
    <row r="1657" spans="1:14" x14ac:dyDescent="0.25">
      <c r="A1657">
        <v>1480.9173510000001</v>
      </c>
      <c r="B1657" s="1">
        <f>DATE(2014,5,20) + TIME(22,0,59)</f>
        <v>41779.917349537034</v>
      </c>
      <c r="C1657">
        <v>80</v>
      </c>
      <c r="D1657">
        <v>79.948364257999998</v>
      </c>
      <c r="E1657">
        <v>40</v>
      </c>
      <c r="F1657">
        <v>39.122596741000002</v>
      </c>
      <c r="G1657">
        <v>1368.5905762</v>
      </c>
      <c r="H1657">
        <v>1358.1102295000001</v>
      </c>
      <c r="I1657">
        <v>1298.1794434000001</v>
      </c>
      <c r="J1657">
        <v>1282.4943848</v>
      </c>
      <c r="K1657">
        <v>1650</v>
      </c>
      <c r="L1657">
        <v>0</v>
      </c>
      <c r="M1657">
        <v>0</v>
      </c>
      <c r="N1657">
        <v>1650</v>
      </c>
    </row>
    <row r="1658" spans="1:14" x14ac:dyDescent="0.25">
      <c r="A1658">
        <v>1481.5038730000001</v>
      </c>
      <c r="B1658" s="1">
        <f>DATE(2014,5,21) + TIME(12,5,34)</f>
        <v>41780.503865740742</v>
      </c>
      <c r="C1658">
        <v>80</v>
      </c>
      <c r="D1658">
        <v>79.948348999000004</v>
      </c>
      <c r="E1658">
        <v>40</v>
      </c>
      <c r="F1658">
        <v>39.101528168000002</v>
      </c>
      <c r="G1658">
        <v>1368.5483397999999</v>
      </c>
      <c r="H1658">
        <v>1358.0784911999999</v>
      </c>
      <c r="I1658">
        <v>1298.1766356999999</v>
      </c>
      <c r="J1658">
        <v>1282.4887695</v>
      </c>
      <c r="K1658">
        <v>1650</v>
      </c>
      <c r="L1658">
        <v>0</v>
      </c>
      <c r="M1658">
        <v>0</v>
      </c>
      <c r="N1658">
        <v>1650</v>
      </c>
    </row>
    <row r="1659" spans="1:14" x14ac:dyDescent="0.25">
      <c r="A1659">
        <v>1482.1044159999999</v>
      </c>
      <c r="B1659" s="1">
        <f>DATE(2014,5,22) + TIME(2,30,21)</f>
        <v>41781.104409722226</v>
      </c>
      <c r="C1659">
        <v>80</v>
      </c>
      <c r="D1659">
        <v>79.948326111</v>
      </c>
      <c r="E1659">
        <v>40</v>
      </c>
      <c r="F1659">
        <v>39.080108643000003</v>
      </c>
      <c r="G1659">
        <v>1368.5062256000001</v>
      </c>
      <c r="H1659">
        <v>1358.0467529</v>
      </c>
      <c r="I1659">
        <v>1298.1737060999999</v>
      </c>
      <c r="J1659">
        <v>1282.4830322</v>
      </c>
      <c r="K1659">
        <v>1650</v>
      </c>
      <c r="L1659">
        <v>0</v>
      </c>
      <c r="M1659">
        <v>0</v>
      </c>
      <c r="N1659">
        <v>1650</v>
      </c>
    </row>
    <row r="1660" spans="1:14" x14ac:dyDescent="0.25">
      <c r="A1660">
        <v>1482.7158449999999</v>
      </c>
      <c r="B1660" s="1">
        <f>DATE(2014,5,22) + TIME(17,10,48)</f>
        <v>41781.715833333335</v>
      </c>
      <c r="C1660">
        <v>80</v>
      </c>
      <c r="D1660">
        <v>79.948303222999996</v>
      </c>
      <c r="E1660">
        <v>40</v>
      </c>
      <c r="F1660">
        <v>39.058406830000003</v>
      </c>
      <c r="G1660">
        <v>1368.4638672000001</v>
      </c>
      <c r="H1660">
        <v>1358.0148925999999</v>
      </c>
      <c r="I1660">
        <v>1298.1706543</v>
      </c>
      <c r="J1660">
        <v>1282.4770507999999</v>
      </c>
      <c r="K1660">
        <v>1650</v>
      </c>
      <c r="L1660">
        <v>0</v>
      </c>
      <c r="M1660">
        <v>0</v>
      </c>
      <c r="N1660">
        <v>1650</v>
      </c>
    </row>
    <row r="1661" spans="1:14" x14ac:dyDescent="0.25">
      <c r="A1661">
        <v>1483.3393430000001</v>
      </c>
      <c r="B1661" s="1">
        <f>DATE(2014,5,23) + TIME(8,8,39)</f>
        <v>41782.33934027778</v>
      </c>
      <c r="C1661">
        <v>80</v>
      </c>
      <c r="D1661">
        <v>79.948280334000003</v>
      </c>
      <c r="E1661">
        <v>40</v>
      </c>
      <c r="F1661">
        <v>39.036399840999998</v>
      </c>
      <c r="G1661">
        <v>1368.4217529</v>
      </c>
      <c r="H1661">
        <v>1357.9832764</v>
      </c>
      <c r="I1661">
        <v>1298.1674805</v>
      </c>
      <c r="J1661">
        <v>1282.4709473</v>
      </c>
      <c r="K1661">
        <v>1650</v>
      </c>
      <c r="L1661">
        <v>0</v>
      </c>
      <c r="M1661">
        <v>0</v>
      </c>
      <c r="N1661">
        <v>1650</v>
      </c>
    </row>
    <row r="1662" spans="1:14" x14ac:dyDescent="0.25">
      <c r="A1662">
        <v>1483.9767300000001</v>
      </c>
      <c r="B1662" s="1">
        <f>DATE(2014,5,23) + TIME(23,26,29)</f>
        <v>41782.976724537039</v>
      </c>
      <c r="C1662">
        <v>80</v>
      </c>
      <c r="D1662">
        <v>79.948257446</v>
      </c>
      <c r="E1662">
        <v>40</v>
      </c>
      <c r="F1662">
        <v>39.014049530000001</v>
      </c>
      <c r="G1662">
        <v>1368.3797606999999</v>
      </c>
      <c r="H1662">
        <v>1357.9516602000001</v>
      </c>
      <c r="I1662">
        <v>1298.1643065999999</v>
      </c>
      <c r="J1662">
        <v>1282.4647216999999</v>
      </c>
      <c r="K1662">
        <v>1650</v>
      </c>
      <c r="L1662">
        <v>0</v>
      </c>
      <c r="M1662">
        <v>0</v>
      </c>
      <c r="N1662">
        <v>1650</v>
      </c>
    </row>
    <row r="1663" spans="1:14" x14ac:dyDescent="0.25">
      <c r="A1663">
        <v>1484.629962</v>
      </c>
      <c r="B1663" s="1">
        <f>DATE(2014,5,24) + TIME(15,7,8)</f>
        <v>41783.629953703705</v>
      </c>
      <c r="C1663">
        <v>80</v>
      </c>
      <c r="D1663">
        <v>79.948234557999996</v>
      </c>
      <c r="E1663">
        <v>40</v>
      </c>
      <c r="F1663">
        <v>38.991302490000002</v>
      </c>
      <c r="G1663">
        <v>1368.3376464999999</v>
      </c>
      <c r="H1663">
        <v>1357.9200439000001</v>
      </c>
      <c r="I1663">
        <v>1298.1608887</v>
      </c>
      <c r="J1663">
        <v>1282.4581298999999</v>
      </c>
      <c r="K1663">
        <v>1650</v>
      </c>
      <c r="L1663">
        <v>0</v>
      </c>
      <c r="M1663">
        <v>0</v>
      </c>
      <c r="N1663">
        <v>1650</v>
      </c>
    </row>
    <row r="1664" spans="1:14" x14ac:dyDescent="0.25">
      <c r="A1664">
        <v>1485.3011939999999</v>
      </c>
      <c r="B1664" s="1">
        <f>DATE(2014,5,25) + TIME(7,13,43)</f>
        <v>41784.301192129627</v>
      </c>
      <c r="C1664">
        <v>80</v>
      </c>
      <c r="D1664">
        <v>79.948204040999997</v>
      </c>
      <c r="E1664">
        <v>40</v>
      </c>
      <c r="F1664">
        <v>38.968109130999999</v>
      </c>
      <c r="G1664">
        <v>1368.2954102000001</v>
      </c>
      <c r="H1664">
        <v>1357.8883057</v>
      </c>
      <c r="I1664">
        <v>1298.1574707</v>
      </c>
      <c r="J1664">
        <v>1282.4514160000001</v>
      </c>
      <c r="K1664">
        <v>1650</v>
      </c>
      <c r="L1664">
        <v>0</v>
      </c>
      <c r="M1664">
        <v>0</v>
      </c>
      <c r="N1664">
        <v>1650</v>
      </c>
    </row>
    <row r="1665" spans="1:14" x14ac:dyDescent="0.25">
      <c r="A1665">
        <v>1485.9928110000001</v>
      </c>
      <c r="B1665" s="1">
        <f>DATE(2014,5,25) + TIME(23,49,38)</f>
        <v>41784.992800925924</v>
      </c>
      <c r="C1665">
        <v>80</v>
      </c>
      <c r="D1665">
        <v>79.948181152000004</v>
      </c>
      <c r="E1665">
        <v>40</v>
      </c>
      <c r="F1665">
        <v>38.944396973000003</v>
      </c>
      <c r="G1665">
        <v>1368.2529297000001</v>
      </c>
      <c r="H1665">
        <v>1357.8563231999999</v>
      </c>
      <c r="I1665">
        <v>1298.1539307</v>
      </c>
      <c r="J1665">
        <v>1282.4444579999999</v>
      </c>
      <c r="K1665">
        <v>1650</v>
      </c>
      <c r="L1665">
        <v>0</v>
      </c>
      <c r="M1665">
        <v>0</v>
      </c>
      <c r="N1665">
        <v>1650</v>
      </c>
    </row>
    <row r="1666" spans="1:14" x14ac:dyDescent="0.25">
      <c r="A1666">
        <v>1486.696598</v>
      </c>
      <c r="B1666" s="1">
        <f>DATE(2014,5,26) + TIME(16,43,6)</f>
        <v>41785.696597222224</v>
      </c>
      <c r="C1666">
        <v>80</v>
      </c>
      <c r="D1666">
        <v>79.948150635000005</v>
      </c>
      <c r="E1666">
        <v>40</v>
      </c>
      <c r="F1666">
        <v>38.920337676999999</v>
      </c>
      <c r="G1666">
        <v>1368.2099608999999</v>
      </c>
      <c r="H1666">
        <v>1357.8240966999999</v>
      </c>
      <c r="I1666">
        <v>1298.1502685999999</v>
      </c>
      <c r="J1666">
        <v>1282.4372559000001</v>
      </c>
      <c r="K1666">
        <v>1650</v>
      </c>
      <c r="L1666">
        <v>0</v>
      </c>
      <c r="M1666">
        <v>0</v>
      </c>
      <c r="N1666">
        <v>1650</v>
      </c>
    </row>
    <row r="1667" spans="1:14" x14ac:dyDescent="0.25">
      <c r="A1667">
        <v>1487.4101909999999</v>
      </c>
      <c r="B1667" s="1">
        <f>DATE(2014,5,27) + TIME(9,50,40)</f>
        <v>41786.410185185188</v>
      </c>
      <c r="C1667">
        <v>80</v>
      </c>
      <c r="D1667">
        <v>79.948127747000001</v>
      </c>
      <c r="E1667">
        <v>40</v>
      </c>
      <c r="F1667">
        <v>38.896003723</v>
      </c>
      <c r="G1667">
        <v>1368.1671143000001</v>
      </c>
      <c r="H1667">
        <v>1357.7918701000001</v>
      </c>
      <c r="I1667">
        <v>1298.1464844</v>
      </c>
      <c r="J1667">
        <v>1282.4296875</v>
      </c>
      <c r="K1667">
        <v>1650</v>
      </c>
      <c r="L1667">
        <v>0</v>
      </c>
      <c r="M1667">
        <v>0</v>
      </c>
      <c r="N1667">
        <v>1650</v>
      </c>
    </row>
    <row r="1668" spans="1:14" x14ac:dyDescent="0.25">
      <c r="A1668">
        <v>1488.129396</v>
      </c>
      <c r="B1668" s="1">
        <f>DATE(2014,5,28) + TIME(3,6,19)</f>
        <v>41787.129386574074</v>
      </c>
      <c r="C1668">
        <v>80</v>
      </c>
      <c r="D1668">
        <v>79.948097228999998</v>
      </c>
      <c r="E1668">
        <v>40</v>
      </c>
      <c r="F1668">
        <v>38.871513366999999</v>
      </c>
      <c r="G1668">
        <v>1368.1246338000001</v>
      </c>
      <c r="H1668">
        <v>1357.7598877</v>
      </c>
      <c r="I1668">
        <v>1298.1425781</v>
      </c>
      <c r="J1668">
        <v>1282.4221190999999</v>
      </c>
      <c r="K1668">
        <v>1650</v>
      </c>
      <c r="L1668">
        <v>0</v>
      </c>
      <c r="M1668">
        <v>0</v>
      </c>
      <c r="N1668">
        <v>1650</v>
      </c>
    </row>
    <row r="1669" spans="1:14" x14ac:dyDescent="0.25">
      <c r="A1669">
        <v>1488.8563280000001</v>
      </c>
      <c r="B1669" s="1">
        <f>DATE(2014,5,28) + TIME(20,33,6)</f>
        <v>41787.856319444443</v>
      </c>
      <c r="C1669">
        <v>80</v>
      </c>
      <c r="D1669">
        <v>79.948074340999995</v>
      </c>
      <c r="E1669">
        <v>40</v>
      </c>
      <c r="F1669">
        <v>38.846866607999999</v>
      </c>
      <c r="G1669">
        <v>1368.0826416</v>
      </c>
      <c r="H1669">
        <v>1357.7282714999999</v>
      </c>
      <c r="I1669">
        <v>1298.1385498</v>
      </c>
      <c r="J1669">
        <v>1282.4141846</v>
      </c>
      <c r="K1669">
        <v>1650</v>
      </c>
      <c r="L1669">
        <v>0</v>
      </c>
      <c r="M1669">
        <v>0</v>
      </c>
      <c r="N1669">
        <v>1650</v>
      </c>
    </row>
    <row r="1670" spans="1:14" x14ac:dyDescent="0.25">
      <c r="A1670">
        <v>1489.5930949999999</v>
      </c>
      <c r="B1670" s="1">
        <f>DATE(2014,5,29) + TIME(14,14,3)</f>
        <v>41788.593090277776</v>
      </c>
      <c r="C1670">
        <v>80</v>
      </c>
      <c r="D1670">
        <v>79.948043823000006</v>
      </c>
      <c r="E1670">
        <v>40</v>
      </c>
      <c r="F1670">
        <v>38.822021483999997</v>
      </c>
      <c r="G1670">
        <v>1368.0410156</v>
      </c>
      <c r="H1670">
        <v>1357.6970214999999</v>
      </c>
      <c r="I1670">
        <v>1298.1345214999999</v>
      </c>
      <c r="J1670">
        <v>1282.40625</v>
      </c>
      <c r="K1670">
        <v>1650</v>
      </c>
      <c r="L1670">
        <v>0</v>
      </c>
      <c r="M1670">
        <v>0</v>
      </c>
      <c r="N1670">
        <v>1650</v>
      </c>
    </row>
    <row r="1671" spans="1:14" x14ac:dyDescent="0.25">
      <c r="A1671">
        <v>1490.3418710000001</v>
      </c>
      <c r="B1671" s="1">
        <f>DATE(2014,5,30) + TIME(8,12,17)</f>
        <v>41789.341863425929</v>
      </c>
      <c r="C1671">
        <v>80</v>
      </c>
      <c r="D1671">
        <v>79.948020935000002</v>
      </c>
      <c r="E1671">
        <v>40</v>
      </c>
      <c r="F1671">
        <v>38.796947479000004</v>
      </c>
      <c r="G1671">
        <v>1367.9996338000001</v>
      </c>
      <c r="H1671">
        <v>1357.6658935999999</v>
      </c>
      <c r="I1671">
        <v>1298.1303711</v>
      </c>
      <c r="J1671">
        <v>1282.3979492000001</v>
      </c>
      <c r="K1671">
        <v>1650</v>
      </c>
      <c r="L1671">
        <v>0</v>
      </c>
      <c r="M1671">
        <v>0</v>
      </c>
      <c r="N1671">
        <v>1650</v>
      </c>
    </row>
    <row r="1672" spans="1:14" x14ac:dyDescent="0.25">
      <c r="A1672">
        <v>1491.1049479999999</v>
      </c>
      <c r="B1672" s="1">
        <f>DATE(2014,5,31) + TIME(2,31,7)</f>
        <v>41790.104942129627</v>
      </c>
      <c r="C1672">
        <v>80</v>
      </c>
      <c r="D1672">
        <v>79.947998046999999</v>
      </c>
      <c r="E1672">
        <v>40</v>
      </c>
      <c r="F1672">
        <v>38.771579742</v>
      </c>
      <c r="G1672">
        <v>1367.9582519999999</v>
      </c>
      <c r="H1672">
        <v>1357.6347656</v>
      </c>
      <c r="I1672">
        <v>1298.1260986</v>
      </c>
      <c r="J1672">
        <v>1282.3894043</v>
      </c>
      <c r="K1672">
        <v>1650</v>
      </c>
      <c r="L1672">
        <v>0</v>
      </c>
      <c r="M1672">
        <v>0</v>
      </c>
      <c r="N1672">
        <v>1650</v>
      </c>
    </row>
    <row r="1673" spans="1:14" x14ac:dyDescent="0.25">
      <c r="A1673">
        <v>1491.884773</v>
      </c>
      <c r="B1673" s="1">
        <f>DATE(2014,5,31) + TIME(21,14,4)</f>
        <v>41790.884768518517</v>
      </c>
      <c r="C1673">
        <v>80</v>
      </c>
      <c r="D1673">
        <v>79.947975158999995</v>
      </c>
      <c r="E1673">
        <v>40</v>
      </c>
      <c r="F1673">
        <v>38.745861052999999</v>
      </c>
      <c r="G1673">
        <v>1367.9169922000001</v>
      </c>
      <c r="H1673">
        <v>1357.6037598</v>
      </c>
      <c r="I1673">
        <v>1298.1217041</v>
      </c>
      <c r="J1673">
        <v>1282.3807373</v>
      </c>
      <c r="K1673">
        <v>1650</v>
      </c>
      <c r="L1673">
        <v>0</v>
      </c>
      <c r="M1673">
        <v>0</v>
      </c>
      <c r="N1673">
        <v>1650</v>
      </c>
    </row>
    <row r="1674" spans="1:14" x14ac:dyDescent="0.25">
      <c r="A1674">
        <v>1492</v>
      </c>
      <c r="B1674" s="1">
        <f>DATE(2014,6,1) + TIME(0,0,0)</f>
        <v>41791</v>
      </c>
      <c r="C1674">
        <v>80</v>
      </c>
      <c r="D1674">
        <v>79.947959900000001</v>
      </c>
      <c r="E1674">
        <v>40</v>
      </c>
      <c r="F1674">
        <v>38.740203856999997</v>
      </c>
      <c r="G1674">
        <v>1367.8763428</v>
      </c>
      <c r="H1674">
        <v>1357.5733643000001</v>
      </c>
      <c r="I1674">
        <v>1298.1154785000001</v>
      </c>
      <c r="J1674">
        <v>1282.3739014</v>
      </c>
      <c r="K1674">
        <v>1650</v>
      </c>
      <c r="L1674">
        <v>0</v>
      </c>
      <c r="M1674">
        <v>0</v>
      </c>
      <c r="N1674">
        <v>1650</v>
      </c>
    </row>
    <row r="1675" spans="1:14" x14ac:dyDescent="0.25">
      <c r="A1675">
        <v>1492.799219</v>
      </c>
      <c r="B1675" s="1">
        <f>DATE(2014,6,1) + TIME(19,10,52)</f>
        <v>41791.799212962964</v>
      </c>
      <c r="C1675">
        <v>80</v>
      </c>
      <c r="D1675">
        <v>79.947944641000007</v>
      </c>
      <c r="E1675">
        <v>40</v>
      </c>
      <c r="F1675">
        <v>38.714790344000001</v>
      </c>
      <c r="G1675">
        <v>1367.8693848</v>
      </c>
      <c r="H1675">
        <v>1357.5678711</v>
      </c>
      <c r="I1675">
        <v>1298.1164550999999</v>
      </c>
      <c r="J1675">
        <v>1282.3699951000001</v>
      </c>
      <c r="K1675">
        <v>1650</v>
      </c>
      <c r="L1675">
        <v>0</v>
      </c>
      <c r="M1675">
        <v>0</v>
      </c>
      <c r="N1675">
        <v>1650</v>
      </c>
    </row>
    <row r="1676" spans="1:14" x14ac:dyDescent="0.25">
      <c r="A1676">
        <v>1493.6194390000001</v>
      </c>
      <c r="B1676" s="1">
        <f>DATE(2014,6,2) + TIME(14,51,59)</f>
        <v>41792.619432870371</v>
      </c>
      <c r="C1676">
        <v>80</v>
      </c>
      <c r="D1676">
        <v>79.947921753000003</v>
      </c>
      <c r="E1676">
        <v>40</v>
      </c>
      <c r="F1676">
        <v>38.688636780000003</v>
      </c>
      <c r="G1676">
        <v>1367.8280029</v>
      </c>
      <c r="H1676">
        <v>1357.5367432</v>
      </c>
      <c r="I1676">
        <v>1298.1118164</v>
      </c>
      <c r="J1676">
        <v>1282.3607178</v>
      </c>
      <c r="K1676">
        <v>1650</v>
      </c>
      <c r="L1676">
        <v>0</v>
      </c>
      <c r="M1676">
        <v>0</v>
      </c>
      <c r="N1676">
        <v>1650</v>
      </c>
    </row>
    <row r="1677" spans="1:14" x14ac:dyDescent="0.25">
      <c r="A1677">
        <v>1494.454495</v>
      </c>
      <c r="B1677" s="1">
        <f>DATE(2014,6,3) + TIME(10,54,28)</f>
        <v>41793.45449074074</v>
      </c>
      <c r="C1677">
        <v>80</v>
      </c>
      <c r="D1677">
        <v>79.947891235</v>
      </c>
      <c r="E1677">
        <v>40</v>
      </c>
      <c r="F1677">
        <v>38.661941528</v>
      </c>
      <c r="G1677">
        <v>1367.7861327999999</v>
      </c>
      <c r="H1677">
        <v>1357.5051269999999</v>
      </c>
      <c r="I1677">
        <v>1298.1068115</v>
      </c>
      <c r="J1677">
        <v>1282.3508300999999</v>
      </c>
      <c r="K1677">
        <v>1650</v>
      </c>
      <c r="L1677">
        <v>0</v>
      </c>
      <c r="M1677">
        <v>0</v>
      </c>
      <c r="N1677">
        <v>1650</v>
      </c>
    </row>
    <row r="1678" spans="1:14" x14ac:dyDescent="0.25">
      <c r="A1678">
        <v>1495.3070029999999</v>
      </c>
      <c r="B1678" s="1">
        <f>DATE(2014,6,4) + TIME(7,22,5)</f>
        <v>41794.307002314818</v>
      </c>
      <c r="C1678">
        <v>80</v>
      </c>
      <c r="D1678">
        <v>79.947868346999996</v>
      </c>
      <c r="E1678">
        <v>40</v>
      </c>
      <c r="F1678">
        <v>38.634746552000003</v>
      </c>
      <c r="G1678">
        <v>1367.7441406</v>
      </c>
      <c r="H1678">
        <v>1357.4736327999999</v>
      </c>
      <c r="I1678">
        <v>1298.1018065999999</v>
      </c>
      <c r="J1678">
        <v>1282.3406981999999</v>
      </c>
      <c r="K1678">
        <v>1650</v>
      </c>
      <c r="L1678">
        <v>0</v>
      </c>
      <c r="M1678">
        <v>0</v>
      </c>
      <c r="N1678">
        <v>1650</v>
      </c>
    </row>
    <row r="1679" spans="1:14" x14ac:dyDescent="0.25">
      <c r="A1679">
        <v>1496.1796710000001</v>
      </c>
      <c r="B1679" s="1">
        <f>DATE(2014,6,5) + TIME(4,18,43)</f>
        <v>41795.179664351854</v>
      </c>
      <c r="C1679">
        <v>80</v>
      </c>
      <c r="D1679">
        <v>79.947845459000007</v>
      </c>
      <c r="E1679">
        <v>40</v>
      </c>
      <c r="F1679">
        <v>38.607040404999999</v>
      </c>
      <c r="G1679">
        <v>1367.7022704999999</v>
      </c>
      <c r="H1679">
        <v>1357.4418945</v>
      </c>
      <c r="I1679">
        <v>1298.0965576000001</v>
      </c>
      <c r="J1679">
        <v>1282.3302002</v>
      </c>
      <c r="K1679">
        <v>1650</v>
      </c>
      <c r="L1679">
        <v>0</v>
      </c>
      <c r="M1679">
        <v>0</v>
      </c>
      <c r="N1679">
        <v>1650</v>
      </c>
    </row>
    <row r="1680" spans="1:14" x14ac:dyDescent="0.25">
      <c r="A1680">
        <v>1497.075478</v>
      </c>
      <c r="B1680" s="1">
        <f>DATE(2014,6,6) + TIME(1,48,41)</f>
        <v>41796.075474537036</v>
      </c>
      <c r="C1680">
        <v>80</v>
      </c>
      <c r="D1680">
        <v>79.947830199999999</v>
      </c>
      <c r="E1680">
        <v>40</v>
      </c>
      <c r="F1680">
        <v>38.578796386999997</v>
      </c>
      <c r="G1680">
        <v>1367.6600341999999</v>
      </c>
      <c r="H1680">
        <v>1357.4100341999999</v>
      </c>
      <c r="I1680">
        <v>1298.0910644999999</v>
      </c>
      <c r="J1680">
        <v>1282.3192139</v>
      </c>
      <c r="K1680">
        <v>1650</v>
      </c>
      <c r="L1680">
        <v>0</v>
      </c>
      <c r="M1680">
        <v>0</v>
      </c>
      <c r="N1680">
        <v>1650</v>
      </c>
    </row>
    <row r="1681" spans="1:14" x14ac:dyDescent="0.25">
      <c r="A1681">
        <v>1497.9863069999999</v>
      </c>
      <c r="B1681" s="1">
        <f>DATE(2014,6,6) + TIME(23,40,16)</f>
        <v>41796.986296296294</v>
      </c>
      <c r="C1681">
        <v>80</v>
      </c>
      <c r="D1681">
        <v>79.947807311999995</v>
      </c>
      <c r="E1681">
        <v>40</v>
      </c>
      <c r="F1681">
        <v>38.55015564</v>
      </c>
      <c r="G1681">
        <v>1367.6174315999999</v>
      </c>
      <c r="H1681">
        <v>1357.3779297000001</v>
      </c>
      <c r="I1681">
        <v>1298.0854492000001</v>
      </c>
      <c r="J1681">
        <v>1282.3077393000001</v>
      </c>
      <c r="K1681">
        <v>1650</v>
      </c>
      <c r="L1681">
        <v>0</v>
      </c>
      <c r="M1681">
        <v>0</v>
      </c>
      <c r="N1681">
        <v>1650</v>
      </c>
    </row>
    <row r="1682" spans="1:14" x14ac:dyDescent="0.25">
      <c r="A1682">
        <v>1498.9030210000001</v>
      </c>
      <c r="B1682" s="1">
        <f>DATE(2014,6,7) + TIME(21,40,21)</f>
        <v>41797.903020833335</v>
      </c>
      <c r="C1682">
        <v>80</v>
      </c>
      <c r="D1682">
        <v>79.947784424000005</v>
      </c>
      <c r="E1682">
        <v>40</v>
      </c>
      <c r="F1682">
        <v>38.521331787000001</v>
      </c>
      <c r="G1682">
        <v>1367.5749512</v>
      </c>
      <c r="H1682">
        <v>1357.3458252</v>
      </c>
      <c r="I1682">
        <v>1298.0795897999999</v>
      </c>
      <c r="J1682">
        <v>1282.2960204999999</v>
      </c>
      <c r="K1682">
        <v>1650</v>
      </c>
      <c r="L1682">
        <v>0</v>
      </c>
      <c r="M1682">
        <v>0</v>
      </c>
      <c r="N1682">
        <v>1650</v>
      </c>
    </row>
    <row r="1683" spans="1:14" x14ac:dyDescent="0.25">
      <c r="A1683">
        <v>1499.8284309999999</v>
      </c>
      <c r="B1683" s="1">
        <f>DATE(2014,6,8) + TIME(19,52,56)</f>
        <v>41798.828425925924</v>
      </c>
      <c r="C1683">
        <v>80</v>
      </c>
      <c r="D1683">
        <v>79.947761536000002</v>
      </c>
      <c r="E1683">
        <v>40</v>
      </c>
      <c r="F1683">
        <v>38.492355347</v>
      </c>
      <c r="G1683">
        <v>1367.5329589999999</v>
      </c>
      <c r="H1683">
        <v>1357.3139647999999</v>
      </c>
      <c r="I1683">
        <v>1298.0736084</v>
      </c>
      <c r="J1683">
        <v>1282.2839355000001</v>
      </c>
      <c r="K1683">
        <v>1650</v>
      </c>
      <c r="L1683">
        <v>0</v>
      </c>
      <c r="M1683">
        <v>0</v>
      </c>
      <c r="N1683">
        <v>1650</v>
      </c>
    </row>
    <row r="1684" spans="1:14" x14ac:dyDescent="0.25">
      <c r="A1684">
        <v>1500.7653250000001</v>
      </c>
      <c r="B1684" s="1">
        <f>DATE(2014,6,9) + TIME(18,22,4)</f>
        <v>41799.765324074076</v>
      </c>
      <c r="C1684">
        <v>80</v>
      </c>
      <c r="D1684">
        <v>79.947738646999994</v>
      </c>
      <c r="E1684">
        <v>40</v>
      </c>
      <c r="F1684">
        <v>38.463218689000001</v>
      </c>
      <c r="G1684">
        <v>1367.4912108999999</v>
      </c>
      <c r="H1684">
        <v>1357.2824707</v>
      </c>
      <c r="I1684">
        <v>1298.0675048999999</v>
      </c>
      <c r="J1684">
        <v>1282.2714844</v>
      </c>
      <c r="K1684">
        <v>1650</v>
      </c>
      <c r="L1684">
        <v>0</v>
      </c>
      <c r="M1684">
        <v>0</v>
      </c>
      <c r="N1684">
        <v>1650</v>
      </c>
    </row>
    <row r="1685" spans="1:14" x14ac:dyDescent="0.25">
      <c r="A1685">
        <v>1501.71657</v>
      </c>
      <c r="B1685" s="1">
        <f>DATE(2014,6,10) + TIME(17,11,51)</f>
        <v>41800.716562499998</v>
      </c>
      <c r="C1685">
        <v>80</v>
      </c>
      <c r="D1685">
        <v>79.947723389000004</v>
      </c>
      <c r="E1685">
        <v>40</v>
      </c>
      <c r="F1685">
        <v>38.433868408000002</v>
      </c>
      <c r="G1685">
        <v>1367.449707</v>
      </c>
      <c r="H1685">
        <v>1357.2509766000001</v>
      </c>
      <c r="I1685">
        <v>1298.0612793</v>
      </c>
      <c r="J1685">
        <v>1282.2586670000001</v>
      </c>
      <c r="K1685">
        <v>1650</v>
      </c>
      <c r="L1685">
        <v>0</v>
      </c>
      <c r="M1685">
        <v>0</v>
      </c>
      <c r="N1685">
        <v>1650</v>
      </c>
    </row>
    <row r="1686" spans="1:14" x14ac:dyDescent="0.25">
      <c r="A1686">
        <v>1502.685166</v>
      </c>
      <c r="B1686" s="1">
        <f>DATE(2014,6,11) + TIME(16,26,38)</f>
        <v>41801.685162037036</v>
      </c>
      <c r="C1686">
        <v>80</v>
      </c>
      <c r="D1686">
        <v>79.947700499999996</v>
      </c>
      <c r="E1686">
        <v>40</v>
      </c>
      <c r="F1686">
        <v>38.404258728000002</v>
      </c>
      <c r="G1686">
        <v>1367.4082031</v>
      </c>
      <c r="H1686">
        <v>1357.2196045000001</v>
      </c>
      <c r="I1686">
        <v>1298.0548096</v>
      </c>
      <c r="J1686">
        <v>1282.2454834</v>
      </c>
      <c r="K1686">
        <v>1650</v>
      </c>
      <c r="L1686">
        <v>0</v>
      </c>
      <c r="M1686">
        <v>0</v>
      </c>
      <c r="N1686">
        <v>1650</v>
      </c>
    </row>
    <row r="1687" spans="1:14" x14ac:dyDescent="0.25">
      <c r="A1687">
        <v>1503.674307</v>
      </c>
      <c r="B1687" s="1">
        <f>DATE(2014,6,12) + TIME(16,11,0)</f>
        <v>41802.674305555556</v>
      </c>
      <c r="C1687">
        <v>80</v>
      </c>
      <c r="D1687">
        <v>79.947685242000006</v>
      </c>
      <c r="E1687">
        <v>40</v>
      </c>
      <c r="F1687">
        <v>38.374313354000002</v>
      </c>
      <c r="G1687">
        <v>1367.3666992000001</v>
      </c>
      <c r="H1687">
        <v>1357.1881103999999</v>
      </c>
      <c r="I1687">
        <v>1298.0482178</v>
      </c>
      <c r="J1687">
        <v>1282.2318115</v>
      </c>
      <c r="K1687">
        <v>1650</v>
      </c>
      <c r="L1687">
        <v>0</v>
      </c>
      <c r="M1687">
        <v>0</v>
      </c>
      <c r="N1687">
        <v>1650</v>
      </c>
    </row>
    <row r="1688" spans="1:14" x14ac:dyDescent="0.25">
      <c r="A1688">
        <v>1504.6843160000001</v>
      </c>
      <c r="B1688" s="1">
        <f>DATE(2014,6,13) + TIME(16,25,24)</f>
        <v>41803.684305555558</v>
      </c>
      <c r="C1688">
        <v>80</v>
      </c>
      <c r="D1688">
        <v>79.947669982999997</v>
      </c>
      <c r="E1688">
        <v>40</v>
      </c>
      <c r="F1688">
        <v>38.344013214</v>
      </c>
      <c r="G1688">
        <v>1367.3250731999999</v>
      </c>
      <c r="H1688">
        <v>1357.1564940999999</v>
      </c>
      <c r="I1688">
        <v>1298.0412598</v>
      </c>
      <c r="J1688">
        <v>1282.2175293</v>
      </c>
      <c r="K1688">
        <v>1650</v>
      </c>
      <c r="L1688">
        <v>0</v>
      </c>
      <c r="M1688">
        <v>0</v>
      </c>
      <c r="N1688">
        <v>1650</v>
      </c>
    </row>
    <row r="1689" spans="1:14" x14ac:dyDescent="0.25">
      <c r="A1689">
        <v>1505.713489</v>
      </c>
      <c r="B1689" s="1">
        <f>DATE(2014,6,14) + TIME(17,7,25)</f>
        <v>41804.713483796295</v>
      </c>
      <c r="C1689">
        <v>80</v>
      </c>
      <c r="D1689">
        <v>79.947647094999994</v>
      </c>
      <c r="E1689">
        <v>40</v>
      </c>
      <c r="F1689">
        <v>38.313377379999999</v>
      </c>
      <c r="G1689">
        <v>1367.2832031</v>
      </c>
      <c r="H1689">
        <v>1357.1246338000001</v>
      </c>
      <c r="I1689">
        <v>1298.0341797000001</v>
      </c>
      <c r="J1689">
        <v>1282.2027588000001</v>
      </c>
      <c r="K1689">
        <v>1650</v>
      </c>
      <c r="L1689">
        <v>0</v>
      </c>
      <c r="M1689">
        <v>0</v>
      </c>
      <c r="N1689">
        <v>1650</v>
      </c>
    </row>
    <row r="1690" spans="1:14" x14ac:dyDescent="0.25">
      <c r="A1690">
        <v>1506.7651149999999</v>
      </c>
      <c r="B1690" s="1">
        <f>DATE(2014,6,15) + TIME(18,21,45)</f>
        <v>41805.765104166669</v>
      </c>
      <c r="C1690">
        <v>80</v>
      </c>
      <c r="D1690">
        <v>79.947631835999999</v>
      </c>
      <c r="E1690">
        <v>40</v>
      </c>
      <c r="F1690">
        <v>38.282375336000001</v>
      </c>
      <c r="G1690">
        <v>1367.2412108999999</v>
      </c>
      <c r="H1690">
        <v>1357.0926514</v>
      </c>
      <c r="I1690">
        <v>1298.0267334</v>
      </c>
      <c r="J1690">
        <v>1282.1875</v>
      </c>
      <c r="K1690">
        <v>1650</v>
      </c>
      <c r="L1690">
        <v>0</v>
      </c>
      <c r="M1690">
        <v>0</v>
      </c>
      <c r="N1690">
        <v>1650</v>
      </c>
    </row>
    <row r="1691" spans="1:14" x14ac:dyDescent="0.25">
      <c r="A1691">
        <v>1507.842688</v>
      </c>
      <c r="B1691" s="1">
        <f>DATE(2014,6,16) + TIME(20,13,28)</f>
        <v>41806.842685185184</v>
      </c>
      <c r="C1691">
        <v>80</v>
      </c>
      <c r="D1691">
        <v>79.947616577000005</v>
      </c>
      <c r="E1691">
        <v>40</v>
      </c>
      <c r="F1691">
        <v>38.250946044999999</v>
      </c>
      <c r="G1691">
        <v>1367.1989745999999</v>
      </c>
      <c r="H1691">
        <v>1357.0605469</v>
      </c>
      <c r="I1691">
        <v>1298.0191649999999</v>
      </c>
      <c r="J1691">
        <v>1282.1716309000001</v>
      </c>
      <c r="K1691">
        <v>1650</v>
      </c>
      <c r="L1691">
        <v>0</v>
      </c>
      <c r="M1691">
        <v>0</v>
      </c>
      <c r="N1691">
        <v>1650</v>
      </c>
    </row>
    <row r="1692" spans="1:14" x14ac:dyDescent="0.25">
      <c r="A1692">
        <v>1508.9500479999999</v>
      </c>
      <c r="B1692" s="1">
        <f>DATE(2014,6,17) + TIME(22,48,4)</f>
        <v>41807.950046296297</v>
      </c>
      <c r="C1692">
        <v>80</v>
      </c>
      <c r="D1692">
        <v>79.947601317999997</v>
      </c>
      <c r="E1692">
        <v>40</v>
      </c>
      <c r="F1692">
        <v>38.219024658000002</v>
      </c>
      <c r="G1692">
        <v>1367.1563721</v>
      </c>
      <c r="H1692">
        <v>1357.0280762</v>
      </c>
      <c r="I1692">
        <v>1298.0112305</v>
      </c>
      <c r="J1692">
        <v>1282.1550293</v>
      </c>
      <c r="K1692">
        <v>1650</v>
      </c>
      <c r="L1692">
        <v>0</v>
      </c>
      <c r="M1692">
        <v>0</v>
      </c>
      <c r="N1692">
        <v>1650</v>
      </c>
    </row>
    <row r="1693" spans="1:14" x14ac:dyDescent="0.25">
      <c r="A1693">
        <v>1510.0814720000001</v>
      </c>
      <c r="B1693" s="1">
        <f>DATE(2014,6,19) + TIME(1,57,19)</f>
        <v>41809.081469907411</v>
      </c>
      <c r="C1693">
        <v>80</v>
      </c>
      <c r="D1693">
        <v>79.947586060000006</v>
      </c>
      <c r="E1693">
        <v>40</v>
      </c>
      <c r="F1693">
        <v>38.186687468999999</v>
      </c>
      <c r="G1693">
        <v>1367.1134033000001</v>
      </c>
      <c r="H1693">
        <v>1356.9952393000001</v>
      </c>
      <c r="I1693">
        <v>1298.0029297000001</v>
      </c>
      <c r="J1693">
        <v>1282.1376952999999</v>
      </c>
      <c r="K1693">
        <v>1650</v>
      </c>
      <c r="L1693">
        <v>0</v>
      </c>
      <c r="M1693">
        <v>0</v>
      </c>
      <c r="N1693">
        <v>1650</v>
      </c>
    </row>
    <row r="1694" spans="1:14" x14ac:dyDescent="0.25">
      <c r="A1694">
        <v>1511.2185119999999</v>
      </c>
      <c r="B1694" s="1">
        <f>DATE(2014,6,20) + TIME(5,14,39)</f>
        <v>41810.218506944446</v>
      </c>
      <c r="C1694">
        <v>80</v>
      </c>
      <c r="D1694">
        <v>79.947570800999998</v>
      </c>
      <c r="E1694">
        <v>40</v>
      </c>
      <c r="F1694">
        <v>38.154251099</v>
      </c>
      <c r="G1694">
        <v>1367.0700684000001</v>
      </c>
      <c r="H1694">
        <v>1356.9621582</v>
      </c>
      <c r="I1694">
        <v>1297.9943848</v>
      </c>
      <c r="J1694">
        <v>1282.1198730000001</v>
      </c>
      <c r="K1694">
        <v>1650</v>
      </c>
      <c r="L1694">
        <v>0</v>
      </c>
      <c r="M1694">
        <v>0</v>
      </c>
      <c r="N1694">
        <v>1650</v>
      </c>
    </row>
    <row r="1695" spans="1:14" x14ac:dyDescent="0.25">
      <c r="A1695">
        <v>1512.3633560000001</v>
      </c>
      <c r="B1695" s="1">
        <f>DATE(2014,6,21) + TIME(8,43,13)</f>
        <v>41811.363344907404</v>
      </c>
      <c r="C1695">
        <v>80</v>
      </c>
      <c r="D1695">
        <v>79.947555542000003</v>
      </c>
      <c r="E1695">
        <v>40</v>
      </c>
      <c r="F1695">
        <v>38.121837616000001</v>
      </c>
      <c r="G1695">
        <v>1367.0273437999999</v>
      </c>
      <c r="H1695">
        <v>1356.9294434000001</v>
      </c>
      <c r="I1695">
        <v>1297.9857178</v>
      </c>
      <c r="J1695">
        <v>1282.1014404</v>
      </c>
      <c r="K1695">
        <v>1650</v>
      </c>
      <c r="L1695">
        <v>0</v>
      </c>
      <c r="M1695">
        <v>0</v>
      </c>
      <c r="N1695">
        <v>1650</v>
      </c>
    </row>
    <row r="1696" spans="1:14" x14ac:dyDescent="0.25">
      <c r="A1696">
        <v>1513.5147280000001</v>
      </c>
      <c r="B1696" s="1">
        <f>DATE(2014,6,22) + TIME(12,21,12)</f>
        <v>41812.514722222222</v>
      </c>
      <c r="C1696">
        <v>80</v>
      </c>
      <c r="D1696">
        <v>79.947540282999995</v>
      </c>
      <c r="E1696">
        <v>40</v>
      </c>
      <c r="F1696">
        <v>38.089534759999999</v>
      </c>
      <c r="G1696">
        <v>1366.9848632999999</v>
      </c>
      <c r="H1696">
        <v>1356.8969727000001</v>
      </c>
      <c r="I1696">
        <v>1297.9768065999999</v>
      </c>
      <c r="J1696">
        <v>1282.0826416</v>
      </c>
      <c r="K1696">
        <v>1650</v>
      </c>
      <c r="L1696">
        <v>0</v>
      </c>
      <c r="M1696">
        <v>0</v>
      </c>
      <c r="N1696">
        <v>1650</v>
      </c>
    </row>
    <row r="1697" spans="1:14" x14ac:dyDescent="0.25">
      <c r="A1697">
        <v>1514.6758830000001</v>
      </c>
      <c r="B1697" s="1">
        <f>DATE(2014,6,23) + TIME(16,13,16)</f>
        <v>41813.675879629627</v>
      </c>
      <c r="C1697">
        <v>80</v>
      </c>
      <c r="D1697">
        <v>79.947532654</v>
      </c>
      <c r="E1697">
        <v>40</v>
      </c>
      <c r="F1697">
        <v>38.057357787999997</v>
      </c>
      <c r="G1697">
        <v>1366.9428711</v>
      </c>
      <c r="H1697">
        <v>1356.8647461</v>
      </c>
      <c r="I1697">
        <v>1297.9677733999999</v>
      </c>
      <c r="J1697">
        <v>1282.0633545000001</v>
      </c>
      <c r="K1697">
        <v>1650</v>
      </c>
      <c r="L1697">
        <v>0</v>
      </c>
      <c r="M1697">
        <v>0</v>
      </c>
      <c r="N1697">
        <v>1650</v>
      </c>
    </row>
    <row r="1698" spans="1:14" x14ac:dyDescent="0.25">
      <c r="A1698">
        <v>1515.8500919999999</v>
      </c>
      <c r="B1698" s="1">
        <f>DATE(2014,6,24) + TIME(20,24,7)</f>
        <v>41814.850081018521</v>
      </c>
      <c r="C1698">
        <v>80</v>
      </c>
      <c r="D1698">
        <v>79.947517395000006</v>
      </c>
      <c r="E1698">
        <v>40</v>
      </c>
      <c r="F1698">
        <v>38.025287628000001</v>
      </c>
      <c r="G1698">
        <v>1366.9011230000001</v>
      </c>
      <c r="H1698">
        <v>1356.8326416</v>
      </c>
      <c r="I1698">
        <v>1297.9584961</v>
      </c>
      <c r="J1698">
        <v>1282.0437012</v>
      </c>
      <c r="K1698">
        <v>1650</v>
      </c>
      <c r="L1698">
        <v>0</v>
      </c>
      <c r="M1698">
        <v>0</v>
      </c>
      <c r="N1698">
        <v>1650</v>
      </c>
    </row>
    <row r="1699" spans="1:14" x14ac:dyDescent="0.25">
      <c r="A1699">
        <v>1517.040722</v>
      </c>
      <c r="B1699" s="1">
        <f>DATE(2014,6,26) + TIME(0,58,38)</f>
        <v>41816.040717592594</v>
      </c>
      <c r="C1699">
        <v>80</v>
      </c>
      <c r="D1699">
        <v>79.947509765999996</v>
      </c>
      <c r="E1699">
        <v>40</v>
      </c>
      <c r="F1699">
        <v>37.993278502999999</v>
      </c>
      <c r="G1699">
        <v>1366.8594971</v>
      </c>
      <c r="H1699">
        <v>1356.8006591999999</v>
      </c>
      <c r="I1699">
        <v>1297.9490966999999</v>
      </c>
      <c r="J1699">
        <v>1282.0234375</v>
      </c>
      <c r="K1699">
        <v>1650</v>
      </c>
      <c r="L1699">
        <v>0</v>
      </c>
      <c r="M1699">
        <v>0</v>
      </c>
      <c r="N1699">
        <v>1650</v>
      </c>
    </row>
    <row r="1700" spans="1:14" x14ac:dyDescent="0.25">
      <c r="A1700">
        <v>1518.251295</v>
      </c>
      <c r="B1700" s="1">
        <f>DATE(2014,6,27) + TIME(6,1,51)</f>
        <v>41817.251284722224</v>
      </c>
      <c r="C1700">
        <v>80</v>
      </c>
      <c r="D1700">
        <v>79.947502135999997</v>
      </c>
      <c r="E1700">
        <v>40</v>
      </c>
      <c r="F1700">
        <v>37.961292266999997</v>
      </c>
      <c r="G1700">
        <v>1366.8179932</v>
      </c>
      <c r="H1700">
        <v>1356.7686768000001</v>
      </c>
      <c r="I1700">
        <v>1297.9394531</v>
      </c>
      <c r="J1700">
        <v>1282.0025635</v>
      </c>
      <c r="K1700">
        <v>1650</v>
      </c>
      <c r="L1700">
        <v>0</v>
      </c>
      <c r="M1700">
        <v>0</v>
      </c>
      <c r="N1700">
        <v>1650</v>
      </c>
    </row>
    <row r="1701" spans="1:14" x14ac:dyDescent="0.25">
      <c r="A1701">
        <v>1519.48552</v>
      </c>
      <c r="B1701" s="1">
        <f>DATE(2014,6,28) + TIME(11,39,8)</f>
        <v>41818.485509259262</v>
      </c>
      <c r="C1701">
        <v>80</v>
      </c>
      <c r="D1701">
        <v>79.947486877000003</v>
      </c>
      <c r="E1701">
        <v>40</v>
      </c>
      <c r="F1701">
        <v>37.929279327000003</v>
      </c>
      <c r="G1701">
        <v>1366.7762451000001</v>
      </c>
      <c r="H1701">
        <v>1356.7365723</v>
      </c>
      <c r="I1701">
        <v>1297.9295654</v>
      </c>
      <c r="J1701">
        <v>1281.9810791</v>
      </c>
      <c r="K1701">
        <v>1650</v>
      </c>
      <c r="L1701">
        <v>0</v>
      </c>
      <c r="M1701">
        <v>0</v>
      </c>
      <c r="N1701">
        <v>1650</v>
      </c>
    </row>
    <row r="1702" spans="1:14" x14ac:dyDescent="0.25">
      <c r="A1702">
        <v>1520.747406</v>
      </c>
      <c r="B1702" s="1">
        <f>DATE(2014,6,29) + TIME(17,56,15)</f>
        <v>41819.747395833336</v>
      </c>
      <c r="C1702">
        <v>80</v>
      </c>
      <c r="D1702">
        <v>79.947479247999993</v>
      </c>
      <c r="E1702">
        <v>40</v>
      </c>
      <c r="F1702">
        <v>37.897193909000002</v>
      </c>
      <c r="G1702">
        <v>1366.7344971</v>
      </c>
      <c r="H1702">
        <v>1356.7042236</v>
      </c>
      <c r="I1702">
        <v>1297.9193115</v>
      </c>
      <c r="J1702">
        <v>1281.9588623</v>
      </c>
      <c r="K1702">
        <v>1650</v>
      </c>
      <c r="L1702">
        <v>0</v>
      </c>
      <c r="M1702">
        <v>0</v>
      </c>
      <c r="N1702">
        <v>1650</v>
      </c>
    </row>
    <row r="1703" spans="1:14" x14ac:dyDescent="0.25">
      <c r="A1703">
        <v>1522</v>
      </c>
      <c r="B1703" s="1">
        <f>DATE(2014,7,1) + TIME(0,0,0)</f>
        <v>41821</v>
      </c>
      <c r="C1703">
        <v>80</v>
      </c>
      <c r="D1703">
        <v>79.947471618999998</v>
      </c>
      <c r="E1703">
        <v>40</v>
      </c>
      <c r="F1703">
        <v>37.865509033000002</v>
      </c>
      <c r="G1703">
        <v>1366.6922606999999</v>
      </c>
      <c r="H1703">
        <v>1356.6716309000001</v>
      </c>
      <c r="I1703">
        <v>1297.9088135</v>
      </c>
      <c r="J1703">
        <v>1281.9359131000001</v>
      </c>
      <c r="K1703">
        <v>1650</v>
      </c>
      <c r="L1703">
        <v>0</v>
      </c>
      <c r="M1703">
        <v>0</v>
      </c>
      <c r="N1703">
        <v>1650</v>
      </c>
    </row>
    <row r="1704" spans="1:14" x14ac:dyDescent="0.25">
      <c r="A1704">
        <v>1523.2939180000001</v>
      </c>
      <c r="B1704" s="1">
        <f>DATE(2014,7,2) + TIME(7,3,14)</f>
        <v>41822.293912037036</v>
      </c>
      <c r="C1704">
        <v>80</v>
      </c>
      <c r="D1704">
        <v>79.947463988999999</v>
      </c>
      <c r="E1704">
        <v>40</v>
      </c>
      <c r="F1704">
        <v>37.833847046000002</v>
      </c>
      <c r="G1704">
        <v>1366.651001</v>
      </c>
      <c r="H1704">
        <v>1356.6396483999999</v>
      </c>
      <c r="I1704">
        <v>1297.8981934000001</v>
      </c>
      <c r="J1704">
        <v>1281.9127197</v>
      </c>
      <c r="K1704">
        <v>1650</v>
      </c>
      <c r="L1704">
        <v>0</v>
      </c>
      <c r="M1704">
        <v>0</v>
      </c>
      <c r="N1704">
        <v>1650</v>
      </c>
    </row>
    <row r="1705" spans="1:14" x14ac:dyDescent="0.25">
      <c r="A1705">
        <v>1524.6508960000001</v>
      </c>
      <c r="B1705" s="1">
        <f>DATE(2014,7,3) + TIME(15,37,17)</f>
        <v>41823.650891203702</v>
      </c>
      <c r="C1705">
        <v>80</v>
      </c>
      <c r="D1705">
        <v>79.947463988999999</v>
      </c>
      <c r="E1705">
        <v>40</v>
      </c>
      <c r="F1705">
        <v>37.801826476999999</v>
      </c>
      <c r="G1705">
        <v>1366.6088867000001</v>
      </c>
      <c r="H1705">
        <v>1356.6069336</v>
      </c>
      <c r="I1705">
        <v>1297.8873291</v>
      </c>
      <c r="J1705">
        <v>1281.8884277</v>
      </c>
      <c r="K1705">
        <v>1650</v>
      </c>
      <c r="L1705">
        <v>0</v>
      </c>
      <c r="M1705">
        <v>0</v>
      </c>
      <c r="N1705">
        <v>1650</v>
      </c>
    </row>
    <row r="1706" spans="1:14" x14ac:dyDescent="0.25">
      <c r="A1706">
        <v>1526.0102320000001</v>
      </c>
      <c r="B1706" s="1">
        <f>DATE(2014,7,5) + TIME(0,14,44)</f>
        <v>41825.010231481479</v>
      </c>
      <c r="C1706">
        <v>80</v>
      </c>
      <c r="D1706">
        <v>79.947456360000004</v>
      </c>
      <c r="E1706">
        <v>40</v>
      </c>
      <c r="F1706">
        <v>37.769989013999997</v>
      </c>
      <c r="G1706">
        <v>1366.5654297000001</v>
      </c>
      <c r="H1706">
        <v>1356.5732422000001</v>
      </c>
      <c r="I1706">
        <v>1297.8758545000001</v>
      </c>
      <c r="J1706">
        <v>1281.8630370999999</v>
      </c>
      <c r="K1706">
        <v>1650</v>
      </c>
      <c r="L1706">
        <v>0</v>
      </c>
      <c r="M1706">
        <v>0</v>
      </c>
      <c r="N1706">
        <v>1650</v>
      </c>
    </row>
    <row r="1707" spans="1:14" x14ac:dyDescent="0.25">
      <c r="A1707">
        <v>1527.3754879999999</v>
      </c>
      <c r="B1707" s="1">
        <f>DATE(2014,7,6) + TIME(9,0,42)</f>
        <v>41826.375486111108</v>
      </c>
      <c r="C1707">
        <v>80</v>
      </c>
      <c r="D1707">
        <v>79.947448730000005</v>
      </c>
      <c r="E1707">
        <v>40</v>
      </c>
      <c r="F1707">
        <v>37.738636016999997</v>
      </c>
      <c r="G1707">
        <v>1366.5224608999999</v>
      </c>
      <c r="H1707">
        <v>1356.5397949000001</v>
      </c>
      <c r="I1707">
        <v>1297.8641356999999</v>
      </c>
      <c r="J1707">
        <v>1281.8371582</v>
      </c>
      <c r="K1707">
        <v>1650</v>
      </c>
      <c r="L1707">
        <v>0</v>
      </c>
      <c r="M1707">
        <v>0</v>
      </c>
      <c r="N1707">
        <v>1650</v>
      </c>
    </row>
    <row r="1708" spans="1:14" x14ac:dyDescent="0.25">
      <c r="A1708">
        <v>1528.75062</v>
      </c>
      <c r="B1708" s="1">
        <f>DATE(2014,7,7) + TIME(18,0,53)</f>
        <v>41827.750613425924</v>
      </c>
      <c r="C1708">
        <v>80</v>
      </c>
      <c r="D1708">
        <v>79.947441100999995</v>
      </c>
      <c r="E1708">
        <v>40</v>
      </c>
      <c r="F1708">
        <v>37.707889557000001</v>
      </c>
      <c r="G1708">
        <v>1366.4799805</v>
      </c>
      <c r="H1708">
        <v>1356.5065918</v>
      </c>
      <c r="I1708">
        <v>1297.8524170000001</v>
      </c>
      <c r="J1708">
        <v>1281.8107910000001</v>
      </c>
      <c r="K1708">
        <v>1650</v>
      </c>
      <c r="L1708">
        <v>0</v>
      </c>
      <c r="M1708">
        <v>0</v>
      </c>
      <c r="N1708">
        <v>1650</v>
      </c>
    </row>
    <row r="1709" spans="1:14" x14ac:dyDescent="0.25">
      <c r="A1709">
        <v>1530.1395849999999</v>
      </c>
      <c r="B1709" s="1">
        <f>DATE(2014,7,9) + TIME(3,21,0)</f>
        <v>41829.13958333333</v>
      </c>
      <c r="C1709">
        <v>80</v>
      </c>
      <c r="D1709">
        <v>79.947441100999995</v>
      </c>
      <c r="E1709">
        <v>40</v>
      </c>
      <c r="F1709">
        <v>37.677814484000002</v>
      </c>
      <c r="G1709">
        <v>1366.4376221</v>
      </c>
      <c r="H1709">
        <v>1356.4736327999999</v>
      </c>
      <c r="I1709">
        <v>1297.8405762</v>
      </c>
      <c r="J1709">
        <v>1281.7840576000001</v>
      </c>
      <c r="K1709">
        <v>1650</v>
      </c>
      <c r="L1709">
        <v>0</v>
      </c>
      <c r="M1709">
        <v>0</v>
      </c>
      <c r="N1709">
        <v>1650</v>
      </c>
    </row>
    <row r="1710" spans="1:14" x14ac:dyDescent="0.25">
      <c r="A1710">
        <v>1531.5464360000001</v>
      </c>
      <c r="B1710" s="1">
        <f>DATE(2014,7,10) + TIME(13,6,52)</f>
        <v>41830.546435185184</v>
      </c>
      <c r="C1710">
        <v>80</v>
      </c>
      <c r="D1710">
        <v>79.947441100999995</v>
      </c>
      <c r="E1710">
        <v>40</v>
      </c>
      <c r="F1710">
        <v>37.648426055999998</v>
      </c>
      <c r="G1710">
        <v>1366.3955077999999</v>
      </c>
      <c r="H1710">
        <v>1356.4406738</v>
      </c>
      <c r="I1710">
        <v>1297.8286132999999</v>
      </c>
      <c r="J1710">
        <v>1281.7568358999999</v>
      </c>
      <c r="K1710">
        <v>1650</v>
      </c>
      <c r="L1710">
        <v>0</v>
      </c>
      <c r="M1710">
        <v>0</v>
      </c>
      <c r="N1710">
        <v>1650</v>
      </c>
    </row>
    <row r="1711" spans="1:14" x14ac:dyDescent="0.25">
      <c r="A1711">
        <v>1532.9754009999999</v>
      </c>
      <c r="B1711" s="1">
        <f>DATE(2014,7,11) + TIME(23,24,34)</f>
        <v>41831.975393518522</v>
      </c>
      <c r="C1711">
        <v>80</v>
      </c>
      <c r="D1711">
        <v>79.947433472</v>
      </c>
      <c r="E1711">
        <v>40</v>
      </c>
      <c r="F1711">
        <v>37.619747162000003</v>
      </c>
      <c r="G1711">
        <v>1366.3533935999999</v>
      </c>
      <c r="H1711">
        <v>1356.4077147999999</v>
      </c>
      <c r="I1711">
        <v>1297.8165283000001</v>
      </c>
      <c r="J1711">
        <v>1281.729126</v>
      </c>
      <c r="K1711">
        <v>1650</v>
      </c>
      <c r="L1711">
        <v>0</v>
      </c>
      <c r="M1711">
        <v>0</v>
      </c>
      <c r="N1711">
        <v>1650</v>
      </c>
    </row>
    <row r="1712" spans="1:14" x14ac:dyDescent="0.25">
      <c r="A1712">
        <v>1534.430932</v>
      </c>
      <c r="B1712" s="1">
        <f>DATE(2014,7,13) + TIME(10,20,32)</f>
        <v>41833.430925925924</v>
      </c>
      <c r="C1712">
        <v>80</v>
      </c>
      <c r="D1712">
        <v>79.947433472</v>
      </c>
      <c r="E1712">
        <v>40</v>
      </c>
      <c r="F1712">
        <v>37.591793060000001</v>
      </c>
      <c r="G1712">
        <v>1366.3111572</v>
      </c>
      <c r="H1712">
        <v>1356.3745117000001</v>
      </c>
      <c r="I1712">
        <v>1297.8043213000001</v>
      </c>
      <c r="J1712">
        <v>1281.7006836</v>
      </c>
      <c r="K1712">
        <v>1650</v>
      </c>
      <c r="L1712">
        <v>0</v>
      </c>
      <c r="M1712">
        <v>0</v>
      </c>
      <c r="N1712">
        <v>1650</v>
      </c>
    </row>
    <row r="1713" spans="1:14" x14ac:dyDescent="0.25">
      <c r="A1713">
        <v>1535.917821</v>
      </c>
      <c r="B1713" s="1">
        <f>DATE(2014,7,14) + TIME(22,1,39)</f>
        <v>41834.917812500003</v>
      </c>
      <c r="C1713">
        <v>80</v>
      </c>
      <c r="D1713">
        <v>79.947433472</v>
      </c>
      <c r="E1713">
        <v>40</v>
      </c>
      <c r="F1713">
        <v>37.564605712999999</v>
      </c>
      <c r="G1713">
        <v>1366.2687988</v>
      </c>
      <c r="H1713">
        <v>1356.3411865</v>
      </c>
      <c r="I1713">
        <v>1297.7918701000001</v>
      </c>
      <c r="J1713">
        <v>1281.6717529</v>
      </c>
      <c r="K1713">
        <v>1650</v>
      </c>
      <c r="L1713">
        <v>0</v>
      </c>
      <c r="M1713">
        <v>0</v>
      </c>
      <c r="N1713">
        <v>1650</v>
      </c>
    </row>
    <row r="1714" spans="1:14" x14ac:dyDescent="0.25">
      <c r="A1714">
        <v>1537.4412669999999</v>
      </c>
      <c r="B1714" s="1">
        <f>DATE(2014,7,16) + TIME(10,35,25)</f>
        <v>41836.441261574073</v>
      </c>
      <c r="C1714">
        <v>80</v>
      </c>
      <c r="D1714">
        <v>79.947433472</v>
      </c>
      <c r="E1714">
        <v>40</v>
      </c>
      <c r="F1714">
        <v>37.538234711000001</v>
      </c>
      <c r="G1714">
        <v>1366.2259521000001</v>
      </c>
      <c r="H1714">
        <v>1356.3074951000001</v>
      </c>
      <c r="I1714">
        <v>1297.7791748</v>
      </c>
      <c r="J1714">
        <v>1281.6419678</v>
      </c>
      <c r="K1714">
        <v>1650</v>
      </c>
      <c r="L1714">
        <v>0</v>
      </c>
      <c r="M1714">
        <v>0</v>
      </c>
      <c r="N1714">
        <v>1650</v>
      </c>
    </row>
    <row r="1715" spans="1:14" x14ac:dyDescent="0.25">
      <c r="A1715">
        <v>1539.0073460000001</v>
      </c>
      <c r="B1715" s="1">
        <f>DATE(2014,7,18) + TIME(0,10,34)</f>
        <v>41838.007337962961</v>
      </c>
      <c r="C1715">
        <v>80</v>
      </c>
      <c r="D1715">
        <v>79.947433472</v>
      </c>
      <c r="E1715">
        <v>40</v>
      </c>
      <c r="F1715">
        <v>37.512748717999997</v>
      </c>
      <c r="G1715">
        <v>1366.1827393000001</v>
      </c>
      <c r="H1715">
        <v>1356.2733154</v>
      </c>
      <c r="I1715">
        <v>1297.7662353999999</v>
      </c>
      <c r="J1715">
        <v>1281.6114502</v>
      </c>
      <c r="K1715">
        <v>1650</v>
      </c>
      <c r="L1715">
        <v>0</v>
      </c>
      <c r="M1715">
        <v>0</v>
      </c>
      <c r="N1715">
        <v>1650</v>
      </c>
    </row>
    <row r="1716" spans="1:14" x14ac:dyDescent="0.25">
      <c r="A1716">
        <v>1540.609723</v>
      </c>
      <c r="B1716" s="1">
        <f>DATE(2014,7,19) + TIME(14,38,0)</f>
        <v>41839.609722222223</v>
      </c>
      <c r="C1716">
        <v>80</v>
      </c>
      <c r="D1716">
        <v>79.947441100999995</v>
      </c>
      <c r="E1716">
        <v>40</v>
      </c>
      <c r="F1716">
        <v>37.488334655999999</v>
      </c>
      <c r="G1716">
        <v>1366.1387939000001</v>
      </c>
      <c r="H1716">
        <v>1356.2386475000001</v>
      </c>
      <c r="I1716">
        <v>1297.7531738</v>
      </c>
      <c r="J1716">
        <v>1281.5802002</v>
      </c>
      <c r="K1716">
        <v>1650</v>
      </c>
      <c r="L1716">
        <v>0</v>
      </c>
      <c r="M1716">
        <v>0</v>
      </c>
      <c r="N1716">
        <v>1650</v>
      </c>
    </row>
    <row r="1717" spans="1:14" x14ac:dyDescent="0.25">
      <c r="A1717">
        <v>1542.2153860000001</v>
      </c>
      <c r="B1717" s="1">
        <f>DATE(2014,7,21) + TIME(5,10,9)</f>
        <v>41841.215381944443</v>
      </c>
      <c r="C1717">
        <v>80</v>
      </c>
      <c r="D1717">
        <v>79.947441100999995</v>
      </c>
      <c r="E1717">
        <v>40</v>
      </c>
      <c r="F1717">
        <v>37.465419769</v>
      </c>
      <c r="G1717">
        <v>1366.0943603999999</v>
      </c>
      <c r="H1717">
        <v>1356.2034911999999</v>
      </c>
      <c r="I1717">
        <v>1297.7399902</v>
      </c>
      <c r="J1717">
        <v>1281.5483397999999</v>
      </c>
      <c r="K1717">
        <v>1650</v>
      </c>
      <c r="L1717">
        <v>0</v>
      </c>
      <c r="M1717">
        <v>0</v>
      </c>
      <c r="N1717">
        <v>1650</v>
      </c>
    </row>
    <row r="1718" spans="1:14" x14ac:dyDescent="0.25">
      <c r="A1718">
        <v>1543.828833</v>
      </c>
      <c r="B1718" s="1">
        <f>DATE(2014,7,22) + TIME(19,53,31)</f>
        <v>41842.828831018516</v>
      </c>
      <c r="C1718">
        <v>80</v>
      </c>
      <c r="D1718">
        <v>79.947441100999995</v>
      </c>
      <c r="E1718">
        <v>40</v>
      </c>
      <c r="F1718">
        <v>37.444274901999997</v>
      </c>
      <c r="G1718">
        <v>1366.0504149999999</v>
      </c>
      <c r="H1718">
        <v>1356.1685791</v>
      </c>
      <c r="I1718">
        <v>1297.7268065999999</v>
      </c>
      <c r="J1718">
        <v>1281.5163574000001</v>
      </c>
      <c r="K1718">
        <v>1650</v>
      </c>
      <c r="L1718">
        <v>0</v>
      </c>
      <c r="M1718">
        <v>0</v>
      </c>
      <c r="N1718">
        <v>1650</v>
      </c>
    </row>
    <row r="1719" spans="1:14" x14ac:dyDescent="0.25">
      <c r="A1719">
        <v>1545.4548589999999</v>
      </c>
      <c r="B1719" s="1">
        <f>DATE(2014,7,24) + TIME(10,54,59)</f>
        <v>41844.45484953704</v>
      </c>
      <c r="C1719">
        <v>80</v>
      </c>
      <c r="D1719">
        <v>79.947448730000005</v>
      </c>
      <c r="E1719">
        <v>40</v>
      </c>
      <c r="F1719">
        <v>37.425064087000003</v>
      </c>
      <c r="G1719">
        <v>1366.0069579999999</v>
      </c>
      <c r="H1719">
        <v>1356.1340332</v>
      </c>
      <c r="I1719">
        <v>1297.7138672000001</v>
      </c>
      <c r="J1719">
        <v>1281.484375</v>
      </c>
      <c r="K1719">
        <v>1650</v>
      </c>
      <c r="L1719">
        <v>0</v>
      </c>
      <c r="M1719">
        <v>0</v>
      </c>
      <c r="N1719">
        <v>1650</v>
      </c>
    </row>
    <row r="1720" spans="1:14" x14ac:dyDescent="0.25">
      <c r="A1720">
        <v>1547.09833</v>
      </c>
      <c r="B1720" s="1">
        <f>DATE(2014,7,26) + TIME(2,21,35)</f>
        <v>41846.098321759258</v>
      </c>
      <c r="C1720">
        <v>80</v>
      </c>
      <c r="D1720">
        <v>79.947448730000005</v>
      </c>
      <c r="E1720">
        <v>40</v>
      </c>
      <c r="F1720">
        <v>37.407913207999997</v>
      </c>
      <c r="G1720">
        <v>1365.963501</v>
      </c>
      <c r="H1720">
        <v>1356.0994873</v>
      </c>
      <c r="I1720">
        <v>1297.7010498</v>
      </c>
      <c r="J1720">
        <v>1281.4522704999999</v>
      </c>
      <c r="K1720">
        <v>1650</v>
      </c>
      <c r="L1720">
        <v>0</v>
      </c>
      <c r="M1720">
        <v>0</v>
      </c>
      <c r="N1720">
        <v>1650</v>
      </c>
    </row>
    <row r="1721" spans="1:14" x14ac:dyDescent="0.25">
      <c r="A1721">
        <v>1548.7642269999999</v>
      </c>
      <c r="B1721" s="1">
        <f>DATE(2014,7,27) + TIME(18,20,29)</f>
        <v>41847.764224537037</v>
      </c>
      <c r="C1721">
        <v>80</v>
      </c>
      <c r="D1721">
        <v>79.947456360000004</v>
      </c>
      <c r="E1721">
        <v>40</v>
      </c>
      <c r="F1721">
        <v>37.392955780000001</v>
      </c>
      <c r="G1721">
        <v>1365.9202881000001</v>
      </c>
      <c r="H1721">
        <v>1356.0648193</v>
      </c>
      <c r="I1721">
        <v>1297.6883545000001</v>
      </c>
      <c r="J1721">
        <v>1281.4201660000001</v>
      </c>
      <c r="K1721">
        <v>1650</v>
      </c>
      <c r="L1721">
        <v>0</v>
      </c>
      <c r="M1721">
        <v>0</v>
      </c>
      <c r="N1721">
        <v>1650</v>
      </c>
    </row>
    <row r="1722" spans="1:14" x14ac:dyDescent="0.25">
      <c r="A1722">
        <v>1550.457799</v>
      </c>
      <c r="B1722" s="1">
        <f>DATE(2014,7,29) + TIME(10,59,13)</f>
        <v>41849.457789351851</v>
      </c>
      <c r="C1722">
        <v>80</v>
      </c>
      <c r="D1722">
        <v>79.947463988999999</v>
      </c>
      <c r="E1722">
        <v>40</v>
      </c>
      <c r="F1722">
        <v>37.380355835000003</v>
      </c>
      <c r="G1722">
        <v>1365.8768310999999</v>
      </c>
      <c r="H1722">
        <v>1356.0301514</v>
      </c>
      <c r="I1722">
        <v>1297.6759033000001</v>
      </c>
      <c r="J1722">
        <v>1281.3879394999999</v>
      </c>
      <c r="K1722">
        <v>1650</v>
      </c>
      <c r="L1722">
        <v>0</v>
      </c>
      <c r="M1722">
        <v>0</v>
      </c>
      <c r="N1722">
        <v>1650</v>
      </c>
    </row>
    <row r="1723" spans="1:14" x14ac:dyDescent="0.25">
      <c r="A1723">
        <v>1552.1845840000001</v>
      </c>
      <c r="B1723" s="1">
        <f>DATE(2014,7,31) + TIME(4,25,48)</f>
        <v>41851.184583333335</v>
      </c>
      <c r="C1723">
        <v>80</v>
      </c>
      <c r="D1723">
        <v>79.947471618999998</v>
      </c>
      <c r="E1723">
        <v>40</v>
      </c>
      <c r="F1723">
        <v>37.370307922000002</v>
      </c>
      <c r="G1723">
        <v>1365.8332519999999</v>
      </c>
      <c r="H1723">
        <v>1355.9952393000001</v>
      </c>
      <c r="I1723">
        <v>1297.6635742000001</v>
      </c>
      <c r="J1723">
        <v>1281.3557129000001</v>
      </c>
      <c r="K1723">
        <v>1650</v>
      </c>
      <c r="L1723">
        <v>0</v>
      </c>
      <c r="M1723">
        <v>0</v>
      </c>
      <c r="N1723">
        <v>1650</v>
      </c>
    </row>
    <row r="1724" spans="1:14" x14ac:dyDescent="0.25">
      <c r="A1724">
        <v>1553</v>
      </c>
      <c r="B1724" s="1">
        <f>DATE(2014,8,1) + TIME(0,0,0)</f>
        <v>41852</v>
      </c>
      <c r="C1724">
        <v>80</v>
      </c>
      <c r="D1724">
        <v>79.947463988999999</v>
      </c>
      <c r="E1724">
        <v>40</v>
      </c>
      <c r="F1724">
        <v>37.365413666000002</v>
      </c>
      <c r="G1724">
        <v>1365.7893065999999</v>
      </c>
      <c r="H1724">
        <v>1355.9599608999999</v>
      </c>
      <c r="I1724">
        <v>1297.6540527</v>
      </c>
      <c r="J1724">
        <v>1281.3284911999999</v>
      </c>
      <c r="K1724">
        <v>1650</v>
      </c>
      <c r="L1724">
        <v>0</v>
      </c>
      <c r="M1724">
        <v>0</v>
      </c>
      <c r="N1724">
        <v>1650</v>
      </c>
    </row>
    <row r="1725" spans="1:14" x14ac:dyDescent="0.25">
      <c r="A1725">
        <v>1554.7628850000001</v>
      </c>
      <c r="B1725" s="1">
        <f>DATE(2014,8,2) + TIME(18,18,33)</f>
        <v>41853.762881944444</v>
      </c>
      <c r="C1725">
        <v>80</v>
      </c>
      <c r="D1725">
        <v>79.947479247999993</v>
      </c>
      <c r="E1725">
        <v>40</v>
      </c>
      <c r="F1725">
        <v>37.360496521000002</v>
      </c>
      <c r="G1725">
        <v>1365.7686768000001</v>
      </c>
      <c r="H1725">
        <v>1355.9433594</v>
      </c>
      <c r="I1725">
        <v>1297.6447754000001</v>
      </c>
      <c r="J1725">
        <v>1281.3066406</v>
      </c>
      <c r="K1725">
        <v>1650</v>
      </c>
      <c r="L1725">
        <v>0</v>
      </c>
      <c r="M1725">
        <v>0</v>
      </c>
      <c r="N1725">
        <v>1650</v>
      </c>
    </row>
    <row r="1726" spans="1:14" x14ac:dyDescent="0.25">
      <c r="A1726">
        <v>1556.5686599999999</v>
      </c>
      <c r="B1726" s="1">
        <f>DATE(2014,8,4) + TIME(13,38,52)</f>
        <v>41855.568657407406</v>
      </c>
      <c r="C1726">
        <v>80</v>
      </c>
      <c r="D1726">
        <v>79.947494507000002</v>
      </c>
      <c r="E1726">
        <v>40</v>
      </c>
      <c r="F1726">
        <v>37.358272552000003</v>
      </c>
      <c r="G1726">
        <v>1365.7247314000001</v>
      </c>
      <c r="H1726">
        <v>1355.9079589999999</v>
      </c>
      <c r="I1726">
        <v>1297.6337891000001</v>
      </c>
      <c r="J1726">
        <v>1281.2757568</v>
      </c>
      <c r="K1726">
        <v>1650</v>
      </c>
      <c r="L1726">
        <v>0</v>
      </c>
      <c r="M1726">
        <v>0</v>
      </c>
      <c r="N1726">
        <v>1650</v>
      </c>
    </row>
    <row r="1727" spans="1:14" x14ac:dyDescent="0.25">
      <c r="A1727">
        <v>1558.410136</v>
      </c>
      <c r="B1727" s="1">
        <f>DATE(2014,8,6) + TIME(9,50,35)</f>
        <v>41857.410127314812</v>
      </c>
      <c r="C1727">
        <v>80</v>
      </c>
      <c r="D1727">
        <v>79.947502135999997</v>
      </c>
      <c r="E1727">
        <v>40</v>
      </c>
      <c r="F1727">
        <v>37.359401703000003</v>
      </c>
      <c r="G1727">
        <v>1365.6801757999999</v>
      </c>
      <c r="H1727">
        <v>1355.8719481999999</v>
      </c>
      <c r="I1727">
        <v>1297.6226807</v>
      </c>
      <c r="J1727">
        <v>1281.2443848</v>
      </c>
      <c r="K1727">
        <v>1650</v>
      </c>
      <c r="L1727">
        <v>0</v>
      </c>
      <c r="M1727">
        <v>0</v>
      </c>
      <c r="N1727">
        <v>1650</v>
      </c>
    </row>
    <row r="1728" spans="1:14" x14ac:dyDescent="0.25">
      <c r="A1728">
        <v>1560.293602</v>
      </c>
      <c r="B1728" s="1">
        <f>DATE(2014,8,8) + TIME(7,2,47)</f>
        <v>41859.293599537035</v>
      </c>
      <c r="C1728">
        <v>80</v>
      </c>
      <c r="D1728">
        <v>79.947517395000006</v>
      </c>
      <c r="E1728">
        <v>40</v>
      </c>
      <c r="F1728">
        <v>37.364395141999999</v>
      </c>
      <c r="G1728">
        <v>1365.6351318</v>
      </c>
      <c r="H1728">
        <v>1355.8355713000001</v>
      </c>
      <c r="I1728">
        <v>1297.6119385</v>
      </c>
      <c r="J1728">
        <v>1281.2130127</v>
      </c>
      <c r="K1728">
        <v>1650</v>
      </c>
      <c r="L1728">
        <v>0</v>
      </c>
      <c r="M1728">
        <v>0</v>
      </c>
      <c r="N1728">
        <v>1650</v>
      </c>
    </row>
    <row r="1729" spans="1:14" x14ac:dyDescent="0.25">
      <c r="A1729">
        <v>1562.189124</v>
      </c>
      <c r="B1729" s="1">
        <f>DATE(2014,8,10) + TIME(4,32,20)</f>
        <v>41861.189120370371</v>
      </c>
      <c r="C1729">
        <v>80</v>
      </c>
      <c r="D1729">
        <v>79.947532654</v>
      </c>
      <c r="E1729">
        <v>40</v>
      </c>
      <c r="F1729">
        <v>37.373691559000001</v>
      </c>
      <c r="G1729">
        <v>1365.5895995999999</v>
      </c>
      <c r="H1729">
        <v>1355.7987060999999</v>
      </c>
      <c r="I1729">
        <v>1297.6015625</v>
      </c>
      <c r="J1729">
        <v>1281.1820068</v>
      </c>
      <c r="K1729">
        <v>1650</v>
      </c>
      <c r="L1729">
        <v>0</v>
      </c>
      <c r="M1729">
        <v>0</v>
      </c>
      <c r="N1729">
        <v>1650</v>
      </c>
    </row>
    <row r="1730" spans="1:14" x14ac:dyDescent="0.25">
      <c r="A1730">
        <v>1564.1007649999999</v>
      </c>
      <c r="B1730" s="1">
        <f>DATE(2014,8,12) + TIME(2,25,6)</f>
        <v>41863.100763888891</v>
      </c>
      <c r="C1730">
        <v>80</v>
      </c>
      <c r="D1730">
        <v>79.947540282999995</v>
      </c>
      <c r="E1730">
        <v>40</v>
      </c>
      <c r="F1730">
        <v>37.387626648000001</v>
      </c>
      <c r="G1730">
        <v>1365.5443115</v>
      </c>
      <c r="H1730">
        <v>1355.7618408000001</v>
      </c>
      <c r="I1730">
        <v>1297.5919189000001</v>
      </c>
      <c r="J1730">
        <v>1281.1519774999999</v>
      </c>
      <c r="K1730">
        <v>1650</v>
      </c>
      <c r="L1730">
        <v>0</v>
      </c>
      <c r="M1730">
        <v>0</v>
      </c>
      <c r="N1730">
        <v>1650</v>
      </c>
    </row>
    <row r="1731" spans="1:14" x14ac:dyDescent="0.25">
      <c r="A1731">
        <v>1566.034723</v>
      </c>
      <c r="B1731" s="1">
        <f>DATE(2014,8,14) + TIME(0,50,0)</f>
        <v>41865.034722222219</v>
      </c>
      <c r="C1731">
        <v>80</v>
      </c>
      <c r="D1731">
        <v>79.947555542000003</v>
      </c>
      <c r="E1731">
        <v>40</v>
      </c>
      <c r="F1731">
        <v>37.406551360999998</v>
      </c>
      <c r="G1731">
        <v>1365.4991454999999</v>
      </c>
      <c r="H1731">
        <v>1355.7250977000001</v>
      </c>
      <c r="I1731">
        <v>1297.5828856999999</v>
      </c>
      <c r="J1731">
        <v>1281.1230469</v>
      </c>
      <c r="K1731">
        <v>1650</v>
      </c>
      <c r="L1731">
        <v>0</v>
      </c>
      <c r="M1731">
        <v>0</v>
      </c>
      <c r="N1731">
        <v>1650</v>
      </c>
    </row>
    <row r="1732" spans="1:14" x14ac:dyDescent="0.25">
      <c r="A1732">
        <v>1567.9971780000001</v>
      </c>
      <c r="B1732" s="1">
        <f>DATE(2014,8,15) + TIME(23,55,56)</f>
        <v>41866.997175925928</v>
      </c>
      <c r="C1732">
        <v>80</v>
      </c>
      <c r="D1732">
        <v>79.947570800999998</v>
      </c>
      <c r="E1732">
        <v>40</v>
      </c>
      <c r="F1732">
        <v>37.430889129999997</v>
      </c>
      <c r="G1732">
        <v>1365.4539795000001</v>
      </c>
      <c r="H1732">
        <v>1355.6882324000001</v>
      </c>
      <c r="I1732">
        <v>1297.5748291</v>
      </c>
      <c r="J1732">
        <v>1281.0953368999999</v>
      </c>
      <c r="K1732">
        <v>1650</v>
      </c>
      <c r="L1732">
        <v>0</v>
      </c>
      <c r="M1732">
        <v>0</v>
      </c>
      <c r="N1732">
        <v>1650</v>
      </c>
    </row>
    <row r="1733" spans="1:14" x14ac:dyDescent="0.25">
      <c r="A1733">
        <v>1569.989527</v>
      </c>
      <c r="B1733" s="1">
        <f>DATE(2014,8,17) + TIME(23,44,55)</f>
        <v>41868.989525462966</v>
      </c>
      <c r="C1733">
        <v>80</v>
      </c>
      <c r="D1733">
        <v>79.947586060000006</v>
      </c>
      <c r="E1733">
        <v>40</v>
      </c>
      <c r="F1733">
        <v>37.461109161000003</v>
      </c>
      <c r="G1733">
        <v>1365.4085693</v>
      </c>
      <c r="H1733">
        <v>1355.6511230000001</v>
      </c>
      <c r="I1733">
        <v>1297.5676269999999</v>
      </c>
      <c r="J1733">
        <v>1281.0689697</v>
      </c>
      <c r="K1733">
        <v>1650</v>
      </c>
      <c r="L1733">
        <v>0</v>
      </c>
      <c r="M1733">
        <v>0</v>
      </c>
      <c r="N1733">
        <v>1650</v>
      </c>
    </row>
    <row r="1734" spans="1:14" x14ac:dyDescent="0.25">
      <c r="A1734">
        <v>1572.004557</v>
      </c>
      <c r="B1734" s="1">
        <f>DATE(2014,8,20) + TIME(0,6,33)</f>
        <v>41871.004548611112</v>
      </c>
      <c r="C1734">
        <v>80</v>
      </c>
      <c r="D1734">
        <v>79.947601317999997</v>
      </c>
      <c r="E1734">
        <v>40</v>
      </c>
      <c r="F1734">
        <v>37.497669219999999</v>
      </c>
      <c r="G1734">
        <v>1365.3630370999999</v>
      </c>
      <c r="H1734">
        <v>1355.6137695</v>
      </c>
      <c r="I1734">
        <v>1297.5614014</v>
      </c>
      <c r="J1734">
        <v>1281.0441894999999</v>
      </c>
      <c r="K1734">
        <v>1650</v>
      </c>
      <c r="L1734">
        <v>0</v>
      </c>
      <c r="M1734">
        <v>0</v>
      </c>
      <c r="N1734">
        <v>1650</v>
      </c>
    </row>
    <row r="1735" spans="1:14" x14ac:dyDescent="0.25">
      <c r="A1735">
        <v>1574.0482919999999</v>
      </c>
      <c r="B1735" s="1">
        <f>DATE(2014,8,22) + TIME(1,9,32)</f>
        <v>41873.04828703704</v>
      </c>
      <c r="C1735">
        <v>80</v>
      </c>
      <c r="D1735">
        <v>79.947616577000005</v>
      </c>
      <c r="E1735">
        <v>40</v>
      </c>
      <c r="F1735">
        <v>37.541053771999998</v>
      </c>
      <c r="G1735">
        <v>1365.3175048999999</v>
      </c>
      <c r="H1735">
        <v>1355.5762939000001</v>
      </c>
      <c r="I1735">
        <v>1297.5562743999999</v>
      </c>
      <c r="J1735">
        <v>1281.0212402</v>
      </c>
      <c r="K1735">
        <v>1650</v>
      </c>
      <c r="L1735">
        <v>0</v>
      </c>
      <c r="M1735">
        <v>0</v>
      </c>
      <c r="N1735">
        <v>1650</v>
      </c>
    </row>
    <row r="1736" spans="1:14" x14ac:dyDescent="0.25">
      <c r="A1736">
        <v>1576.1270320000001</v>
      </c>
      <c r="B1736" s="1">
        <f>DATE(2014,8,24) + TIME(3,2,55)</f>
        <v>41875.127025462964</v>
      </c>
      <c r="C1736">
        <v>80</v>
      </c>
      <c r="D1736">
        <v>79.947639464999995</v>
      </c>
      <c r="E1736">
        <v>40</v>
      </c>
      <c r="F1736">
        <v>37.591869354000004</v>
      </c>
      <c r="G1736">
        <v>1365.2717285000001</v>
      </c>
      <c r="H1736">
        <v>1355.5385742000001</v>
      </c>
      <c r="I1736">
        <v>1297.5523682</v>
      </c>
      <c r="J1736">
        <v>1281.0002440999999</v>
      </c>
      <c r="K1736">
        <v>1650</v>
      </c>
      <c r="L1736">
        <v>0</v>
      </c>
      <c r="M1736">
        <v>0</v>
      </c>
      <c r="N1736">
        <v>1650</v>
      </c>
    </row>
    <row r="1737" spans="1:14" x14ac:dyDescent="0.25">
      <c r="A1737">
        <v>1578.2474609999999</v>
      </c>
      <c r="B1737" s="1">
        <f>DATE(2014,8,26) + TIME(5,56,20)</f>
        <v>41877.247453703705</v>
      </c>
      <c r="C1737">
        <v>80</v>
      </c>
      <c r="D1737">
        <v>79.947654724000003</v>
      </c>
      <c r="E1737">
        <v>40</v>
      </c>
      <c r="F1737">
        <v>37.650852202999999</v>
      </c>
      <c r="G1737">
        <v>1365.2257079999999</v>
      </c>
      <c r="H1737">
        <v>1355.5006103999999</v>
      </c>
      <c r="I1737">
        <v>1297.5498047000001</v>
      </c>
      <c r="J1737">
        <v>1280.9815673999999</v>
      </c>
      <c r="K1737">
        <v>1650</v>
      </c>
      <c r="L1737">
        <v>0</v>
      </c>
      <c r="M1737">
        <v>0</v>
      </c>
      <c r="N1737">
        <v>1650</v>
      </c>
    </row>
    <row r="1738" spans="1:14" x14ac:dyDescent="0.25">
      <c r="A1738">
        <v>1580.4157250000001</v>
      </c>
      <c r="B1738" s="1">
        <f>DATE(2014,8,28) + TIME(9,58,38)</f>
        <v>41879.415717592594</v>
      </c>
      <c r="C1738">
        <v>80</v>
      </c>
      <c r="D1738">
        <v>79.947677612000007</v>
      </c>
      <c r="E1738">
        <v>40</v>
      </c>
      <c r="F1738">
        <v>37.718868256</v>
      </c>
      <c r="G1738">
        <v>1365.1791992000001</v>
      </c>
      <c r="H1738">
        <v>1355.4621582</v>
      </c>
      <c r="I1738">
        <v>1297.5487060999999</v>
      </c>
      <c r="J1738">
        <v>1280.965332</v>
      </c>
      <c r="K1738">
        <v>1650</v>
      </c>
      <c r="L1738">
        <v>0</v>
      </c>
      <c r="M1738">
        <v>0</v>
      </c>
      <c r="N1738">
        <v>1650</v>
      </c>
    </row>
    <row r="1739" spans="1:14" x14ac:dyDescent="0.25">
      <c r="A1739">
        <v>1582.6200080000001</v>
      </c>
      <c r="B1739" s="1">
        <f>DATE(2014,8,30) + TIME(14,52,48)</f>
        <v>41881.620000000003</v>
      </c>
      <c r="C1739">
        <v>80</v>
      </c>
      <c r="D1739">
        <v>79.947700499999996</v>
      </c>
      <c r="E1739">
        <v>40</v>
      </c>
      <c r="F1739">
        <v>37.796684265000003</v>
      </c>
      <c r="G1739">
        <v>1365.1320800999999</v>
      </c>
      <c r="H1739">
        <v>1355.4232178</v>
      </c>
      <c r="I1739">
        <v>1297.5491943</v>
      </c>
      <c r="J1739">
        <v>1280.9519043</v>
      </c>
      <c r="K1739">
        <v>1650</v>
      </c>
      <c r="L1739">
        <v>0</v>
      </c>
      <c r="M1739">
        <v>0</v>
      </c>
      <c r="N1739">
        <v>1650</v>
      </c>
    </row>
    <row r="1740" spans="1:14" x14ac:dyDescent="0.25">
      <c r="A1740">
        <v>1584</v>
      </c>
      <c r="B1740" s="1">
        <f>DATE(2014,9,1) + TIME(0,0,0)</f>
        <v>41883</v>
      </c>
      <c r="C1740">
        <v>80</v>
      </c>
      <c r="D1740">
        <v>79.947700499999996</v>
      </c>
      <c r="E1740">
        <v>40</v>
      </c>
      <c r="F1740">
        <v>37.869121552000003</v>
      </c>
      <c r="G1740">
        <v>1365.0847168</v>
      </c>
      <c r="H1740">
        <v>1355.3837891000001</v>
      </c>
      <c r="I1740">
        <v>1297.5556641000001</v>
      </c>
      <c r="J1740">
        <v>1280.9437256000001</v>
      </c>
      <c r="K1740">
        <v>1650</v>
      </c>
      <c r="L1740">
        <v>0</v>
      </c>
      <c r="M1740">
        <v>0</v>
      </c>
      <c r="N1740">
        <v>1650</v>
      </c>
    </row>
    <row r="1741" spans="1:14" x14ac:dyDescent="0.25">
      <c r="A1741">
        <v>1586.2382869999999</v>
      </c>
      <c r="B1741" s="1">
        <f>DATE(2014,9,3) + TIME(5,43,7)</f>
        <v>41885.238275462965</v>
      </c>
      <c r="C1741">
        <v>80</v>
      </c>
      <c r="D1741">
        <v>79.947731017999999</v>
      </c>
      <c r="E1741">
        <v>40</v>
      </c>
      <c r="F1741">
        <v>37.952156066999997</v>
      </c>
      <c r="G1741">
        <v>1365.0552978999999</v>
      </c>
      <c r="H1741">
        <v>1355.3592529</v>
      </c>
      <c r="I1741">
        <v>1297.5523682</v>
      </c>
      <c r="J1741">
        <v>1280.9370117000001</v>
      </c>
      <c r="K1741">
        <v>1650</v>
      </c>
      <c r="L1741">
        <v>0</v>
      </c>
      <c r="M1741">
        <v>0</v>
      </c>
      <c r="N1741">
        <v>1650</v>
      </c>
    </row>
    <row r="1742" spans="1:14" x14ac:dyDescent="0.25">
      <c r="A1742">
        <v>1588.5111179999999</v>
      </c>
      <c r="B1742" s="1">
        <f>DATE(2014,9,5) + TIME(12,16,0)</f>
        <v>41887.511111111111</v>
      </c>
      <c r="C1742">
        <v>80</v>
      </c>
      <c r="D1742">
        <v>79.947761536000002</v>
      </c>
      <c r="E1742">
        <v>40</v>
      </c>
      <c r="F1742">
        <v>38.053852081000002</v>
      </c>
      <c r="G1742">
        <v>1365.0081786999999</v>
      </c>
      <c r="H1742">
        <v>1355.3199463000001</v>
      </c>
      <c r="I1742">
        <v>1297.5587158000001</v>
      </c>
      <c r="J1742">
        <v>1280.9333495999999</v>
      </c>
      <c r="K1742">
        <v>1650</v>
      </c>
      <c r="L1742">
        <v>0</v>
      </c>
      <c r="M1742">
        <v>0</v>
      </c>
      <c r="N1742">
        <v>1650</v>
      </c>
    </row>
    <row r="1743" spans="1:14" x14ac:dyDescent="0.25">
      <c r="A1743">
        <v>1590.814294</v>
      </c>
      <c r="B1743" s="1">
        <f>DATE(2014,9,7) + TIME(19,32,35)</f>
        <v>41889.814293981479</v>
      </c>
      <c r="C1743">
        <v>80</v>
      </c>
      <c r="D1743">
        <v>79.947784424000005</v>
      </c>
      <c r="E1743">
        <v>40</v>
      </c>
      <c r="F1743">
        <v>38.170223235999998</v>
      </c>
      <c r="G1743">
        <v>1364.9606934000001</v>
      </c>
      <c r="H1743">
        <v>1355.2802733999999</v>
      </c>
      <c r="I1743">
        <v>1297.5665283000001</v>
      </c>
      <c r="J1743">
        <v>1280.9334716999999</v>
      </c>
      <c r="K1743">
        <v>1650</v>
      </c>
      <c r="L1743">
        <v>0</v>
      </c>
      <c r="M1743">
        <v>0</v>
      </c>
      <c r="N1743">
        <v>1650</v>
      </c>
    </row>
    <row r="1744" spans="1:14" x14ac:dyDescent="0.25">
      <c r="A1744">
        <v>1593.143374</v>
      </c>
      <c r="B1744" s="1">
        <f>DATE(2014,9,10) + TIME(3,26,27)</f>
        <v>41892.143368055556</v>
      </c>
      <c r="C1744">
        <v>80</v>
      </c>
      <c r="D1744">
        <v>79.947807311999995</v>
      </c>
      <c r="E1744">
        <v>40</v>
      </c>
      <c r="F1744">
        <v>38.300159454000003</v>
      </c>
      <c r="G1744">
        <v>1364.9129639</v>
      </c>
      <c r="H1744">
        <v>1355.2403564000001</v>
      </c>
      <c r="I1744">
        <v>1297.5764160000001</v>
      </c>
      <c r="J1744">
        <v>1280.9381103999999</v>
      </c>
      <c r="K1744">
        <v>1650</v>
      </c>
      <c r="L1744">
        <v>0</v>
      </c>
      <c r="M1744">
        <v>0</v>
      </c>
      <c r="N1744">
        <v>1650</v>
      </c>
    </row>
    <row r="1745" spans="1:14" x14ac:dyDescent="0.25">
      <c r="A1745">
        <v>1595.50558</v>
      </c>
      <c r="B1745" s="1">
        <f>DATE(2014,9,12) + TIME(12,8,2)</f>
        <v>41894.505578703705</v>
      </c>
      <c r="C1745">
        <v>80</v>
      </c>
      <c r="D1745">
        <v>79.947837829999997</v>
      </c>
      <c r="E1745">
        <v>40</v>
      </c>
      <c r="F1745">
        <v>38.443744658999996</v>
      </c>
      <c r="G1745">
        <v>1364.8653564000001</v>
      </c>
      <c r="H1745">
        <v>1355.2003173999999</v>
      </c>
      <c r="I1745">
        <v>1297.5883789</v>
      </c>
      <c r="J1745">
        <v>1280.9476318</v>
      </c>
      <c r="K1745">
        <v>1650</v>
      </c>
      <c r="L1745">
        <v>0</v>
      </c>
      <c r="M1745">
        <v>0</v>
      </c>
      <c r="N1745">
        <v>1650</v>
      </c>
    </row>
    <row r="1746" spans="1:14" x14ac:dyDescent="0.25">
      <c r="A1746">
        <v>1597.908353</v>
      </c>
      <c r="B1746" s="1">
        <f>DATE(2014,9,14) + TIME(21,48,1)</f>
        <v>41896.90834490741</v>
      </c>
      <c r="C1746">
        <v>80</v>
      </c>
      <c r="D1746">
        <v>79.947860718000001</v>
      </c>
      <c r="E1746">
        <v>40</v>
      </c>
      <c r="F1746">
        <v>38.601783752000003</v>
      </c>
      <c r="G1746">
        <v>1364.8175048999999</v>
      </c>
      <c r="H1746">
        <v>1355.1600341999999</v>
      </c>
      <c r="I1746">
        <v>1297.6029053</v>
      </c>
      <c r="J1746">
        <v>1280.9622803</v>
      </c>
      <c r="K1746">
        <v>1650</v>
      </c>
      <c r="L1746">
        <v>0</v>
      </c>
      <c r="M1746">
        <v>0</v>
      </c>
      <c r="N1746">
        <v>1650</v>
      </c>
    </row>
    <row r="1747" spans="1:14" x14ac:dyDescent="0.25">
      <c r="A1747">
        <v>1600.357534</v>
      </c>
      <c r="B1747" s="1">
        <f>DATE(2014,9,17) + TIME(8,34,50)</f>
        <v>41899.357523148145</v>
      </c>
      <c r="C1747">
        <v>80</v>
      </c>
      <c r="D1747">
        <v>79.947891235</v>
      </c>
      <c r="E1747">
        <v>40</v>
      </c>
      <c r="F1747">
        <v>38.775356293000002</v>
      </c>
      <c r="G1747">
        <v>1364.7692870999999</v>
      </c>
      <c r="H1747">
        <v>1355.1193848</v>
      </c>
      <c r="I1747">
        <v>1297.6199951000001</v>
      </c>
      <c r="J1747">
        <v>1280.9826660000001</v>
      </c>
      <c r="K1747">
        <v>1650</v>
      </c>
      <c r="L1747">
        <v>0</v>
      </c>
      <c r="M1747">
        <v>0</v>
      </c>
      <c r="N1747">
        <v>1650</v>
      </c>
    </row>
    <row r="1748" spans="1:14" x14ac:dyDescent="0.25">
      <c r="A1748">
        <v>1602.8470990000001</v>
      </c>
      <c r="B1748" s="1">
        <f>DATE(2014,9,19) + TIME(20,19,49)</f>
        <v>41901.847094907411</v>
      </c>
      <c r="C1748">
        <v>80</v>
      </c>
      <c r="D1748">
        <v>79.947921753000003</v>
      </c>
      <c r="E1748">
        <v>40</v>
      </c>
      <c r="F1748">
        <v>38.965362548999998</v>
      </c>
      <c r="G1748">
        <v>1364.7208252</v>
      </c>
      <c r="H1748">
        <v>1355.0783690999999</v>
      </c>
      <c r="I1748">
        <v>1297.6400146000001</v>
      </c>
      <c r="J1748">
        <v>1281.0092772999999</v>
      </c>
      <c r="K1748">
        <v>1650</v>
      </c>
      <c r="L1748">
        <v>0</v>
      </c>
      <c r="M1748">
        <v>0</v>
      </c>
      <c r="N1748">
        <v>1650</v>
      </c>
    </row>
    <row r="1749" spans="1:14" x14ac:dyDescent="0.25">
      <c r="A1749">
        <v>1605.3821350000001</v>
      </c>
      <c r="B1749" s="1">
        <f>DATE(2014,9,22) + TIME(9,10,16)</f>
        <v>41904.38212962963</v>
      </c>
      <c r="C1749">
        <v>80</v>
      </c>
      <c r="D1749">
        <v>79.947952271000005</v>
      </c>
      <c r="E1749">
        <v>40</v>
      </c>
      <c r="F1749">
        <v>39.172519684000001</v>
      </c>
      <c r="G1749">
        <v>1364.6719971</v>
      </c>
      <c r="H1749">
        <v>1355.0371094</v>
      </c>
      <c r="I1749">
        <v>1297.6629639</v>
      </c>
      <c r="J1749">
        <v>1281.0424805</v>
      </c>
      <c r="K1749">
        <v>1650</v>
      </c>
      <c r="L1749">
        <v>0</v>
      </c>
      <c r="M1749">
        <v>0</v>
      </c>
      <c r="N1749">
        <v>1650</v>
      </c>
    </row>
    <row r="1750" spans="1:14" x14ac:dyDescent="0.25">
      <c r="A1750">
        <v>1607.956267</v>
      </c>
      <c r="B1750" s="1">
        <f>DATE(2014,9,24) + TIME(22,57,1)</f>
        <v>41906.956261574072</v>
      </c>
      <c r="C1750">
        <v>80</v>
      </c>
      <c r="D1750">
        <v>79.947982788000004</v>
      </c>
      <c r="E1750">
        <v>40</v>
      </c>
      <c r="F1750">
        <v>39.397422790999997</v>
      </c>
      <c r="G1750">
        <v>1364.6228027</v>
      </c>
      <c r="H1750">
        <v>1354.9953613</v>
      </c>
      <c r="I1750">
        <v>1297.6892089999999</v>
      </c>
      <c r="J1750">
        <v>1281.0826416</v>
      </c>
      <c r="K1750">
        <v>1650</v>
      </c>
      <c r="L1750">
        <v>0</v>
      </c>
      <c r="M1750">
        <v>0</v>
      </c>
      <c r="N1750">
        <v>1650</v>
      </c>
    </row>
    <row r="1751" spans="1:14" x14ac:dyDescent="0.25">
      <c r="A1751">
        <v>1610.5520839999999</v>
      </c>
      <c r="B1751" s="1">
        <f>DATE(2014,9,27) + TIME(13,15,0)</f>
        <v>41909.552083333336</v>
      </c>
      <c r="C1751">
        <v>80</v>
      </c>
      <c r="D1751">
        <v>79.948020935000002</v>
      </c>
      <c r="E1751">
        <v>40</v>
      </c>
      <c r="F1751">
        <v>39.639816283999998</v>
      </c>
      <c r="G1751">
        <v>1364.5734863</v>
      </c>
      <c r="H1751">
        <v>1354.9534911999999</v>
      </c>
      <c r="I1751">
        <v>1297.7186279</v>
      </c>
      <c r="J1751">
        <v>1281.1300048999999</v>
      </c>
      <c r="K1751">
        <v>1650</v>
      </c>
      <c r="L1751">
        <v>0</v>
      </c>
      <c r="M1751">
        <v>0</v>
      </c>
      <c r="N1751">
        <v>1650</v>
      </c>
    </row>
    <row r="1752" spans="1:14" x14ac:dyDescent="0.25">
      <c r="A1752">
        <v>1613.1479750000001</v>
      </c>
      <c r="B1752" s="1">
        <f>DATE(2014,9,30) + TIME(3,33,5)</f>
        <v>41912.147974537038</v>
      </c>
      <c r="C1752">
        <v>80</v>
      </c>
      <c r="D1752">
        <v>79.948051453000005</v>
      </c>
      <c r="E1752">
        <v>40</v>
      </c>
      <c r="F1752">
        <v>39.898254395000002</v>
      </c>
      <c r="G1752">
        <v>1364.5242920000001</v>
      </c>
      <c r="H1752">
        <v>1354.9116211</v>
      </c>
      <c r="I1752">
        <v>1297.7512207</v>
      </c>
      <c r="J1752">
        <v>1281.1848144999999</v>
      </c>
      <c r="K1752">
        <v>1650</v>
      </c>
      <c r="L1752">
        <v>0</v>
      </c>
      <c r="M1752">
        <v>0</v>
      </c>
      <c r="N1752">
        <v>1650</v>
      </c>
    </row>
    <row r="1753" spans="1:14" x14ac:dyDescent="0.25">
      <c r="A1753">
        <v>1614</v>
      </c>
      <c r="B1753" s="1">
        <f>DATE(2014,10,1) + TIME(0,0,0)</f>
        <v>41913</v>
      </c>
      <c r="C1753">
        <v>80</v>
      </c>
      <c r="D1753">
        <v>79.948043823000006</v>
      </c>
      <c r="E1753">
        <v>40</v>
      </c>
      <c r="F1753">
        <v>40.065406799000002</v>
      </c>
      <c r="G1753">
        <v>1364.4760742000001</v>
      </c>
      <c r="H1753">
        <v>1354.8704834</v>
      </c>
      <c r="I1753">
        <v>1297.8026123</v>
      </c>
      <c r="J1753">
        <v>1281.2404785000001</v>
      </c>
      <c r="K1753">
        <v>1650</v>
      </c>
      <c r="L1753">
        <v>0</v>
      </c>
      <c r="M1753">
        <v>0</v>
      </c>
      <c r="N1753">
        <v>1650</v>
      </c>
    </row>
    <row r="1754" spans="1:14" x14ac:dyDescent="0.25">
      <c r="A1754">
        <v>1616.6083699999999</v>
      </c>
      <c r="B1754" s="1">
        <f>DATE(2014,10,3) + TIME(14,36,3)</f>
        <v>41915.608368055553</v>
      </c>
      <c r="C1754">
        <v>80</v>
      </c>
      <c r="D1754">
        <v>79.948089600000003</v>
      </c>
      <c r="E1754">
        <v>40</v>
      </c>
      <c r="F1754">
        <v>40.289249419999997</v>
      </c>
      <c r="G1754">
        <v>1364.4598389</v>
      </c>
      <c r="H1754">
        <v>1354.8564452999999</v>
      </c>
      <c r="I1754">
        <v>1297.7972411999999</v>
      </c>
      <c r="J1754">
        <v>1281.2735596</v>
      </c>
      <c r="K1754">
        <v>1650</v>
      </c>
      <c r="L1754">
        <v>0</v>
      </c>
      <c r="M1754">
        <v>0</v>
      </c>
      <c r="N1754">
        <v>1650</v>
      </c>
    </row>
    <row r="1755" spans="1:14" x14ac:dyDescent="0.25">
      <c r="A1755">
        <v>1619.2652740000001</v>
      </c>
      <c r="B1755" s="1">
        <f>DATE(2014,10,6) + TIME(6,21,59)</f>
        <v>41918.265266203707</v>
      </c>
      <c r="C1755">
        <v>80</v>
      </c>
      <c r="D1755">
        <v>79.948127747000001</v>
      </c>
      <c r="E1755">
        <v>40</v>
      </c>
      <c r="F1755">
        <v>40.565433501999998</v>
      </c>
      <c r="G1755">
        <v>1364.4119873</v>
      </c>
      <c r="H1755">
        <v>1354.8156738</v>
      </c>
      <c r="I1755">
        <v>1297.8376464999999</v>
      </c>
      <c r="J1755">
        <v>1281.3411865</v>
      </c>
      <c r="K1755">
        <v>1650</v>
      </c>
      <c r="L1755">
        <v>0</v>
      </c>
      <c r="M1755">
        <v>0</v>
      </c>
      <c r="N1755">
        <v>1650</v>
      </c>
    </row>
    <row r="1756" spans="1:14" x14ac:dyDescent="0.25">
      <c r="A1756">
        <v>1621.9795429999999</v>
      </c>
      <c r="B1756" s="1">
        <f>DATE(2014,10,8) + TIME(23,30,32)</f>
        <v>41920.979537037034</v>
      </c>
      <c r="C1756">
        <v>80</v>
      </c>
      <c r="D1756">
        <v>79.948165893999999</v>
      </c>
      <c r="E1756">
        <v>40</v>
      </c>
      <c r="F1756">
        <v>40.870162964000002</v>
      </c>
      <c r="G1756">
        <v>1364.3637695</v>
      </c>
      <c r="H1756">
        <v>1354.7742920000001</v>
      </c>
      <c r="I1756">
        <v>1297.8806152</v>
      </c>
      <c r="J1756">
        <v>1281.4189452999999</v>
      </c>
      <c r="K1756">
        <v>1650</v>
      </c>
      <c r="L1756">
        <v>0</v>
      </c>
      <c r="M1756">
        <v>0</v>
      </c>
      <c r="N1756">
        <v>1650</v>
      </c>
    </row>
    <row r="1757" spans="1:14" x14ac:dyDescent="0.25">
      <c r="A1757">
        <v>1624.7514410000001</v>
      </c>
      <c r="B1757" s="1">
        <f>DATE(2014,10,11) + TIME(18,2,4)</f>
        <v>41923.751435185186</v>
      </c>
      <c r="C1757">
        <v>80</v>
      </c>
      <c r="D1757">
        <v>79.948204040999997</v>
      </c>
      <c r="E1757">
        <v>40</v>
      </c>
      <c r="F1757">
        <v>41.196037292</v>
      </c>
      <c r="G1757">
        <v>1364.3151855000001</v>
      </c>
      <c r="H1757">
        <v>1354.7326660000001</v>
      </c>
      <c r="I1757">
        <v>1297.9270019999999</v>
      </c>
      <c r="J1757">
        <v>1281.5057373</v>
      </c>
      <c r="K1757">
        <v>1650</v>
      </c>
      <c r="L1757">
        <v>0</v>
      </c>
      <c r="M1757">
        <v>0</v>
      </c>
      <c r="N1757">
        <v>1650</v>
      </c>
    </row>
    <row r="1758" spans="1:14" x14ac:dyDescent="0.25">
      <c r="A1758">
        <v>1627.5914640000001</v>
      </c>
      <c r="B1758" s="1">
        <f>DATE(2014,10,14) + TIME(14,11,42)</f>
        <v>41926.591458333336</v>
      </c>
      <c r="C1758">
        <v>80</v>
      </c>
      <c r="D1758">
        <v>79.948242187999995</v>
      </c>
      <c r="E1758">
        <v>40</v>
      </c>
      <c r="F1758">
        <v>41.540592193999998</v>
      </c>
      <c r="G1758">
        <v>1364.2663574000001</v>
      </c>
      <c r="H1758">
        <v>1354.6907959</v>
      </c>
      <c r="I1758">
        <v>1297.9771728999999</v>
      </c>
      <c r="J1758">
        <v>1281.6010742000001</v>
      </c>
      <c r="K1758">
        <v>1650</v>
      </c>
      <c r="L1758">
        <v>0</v>
      </c>
      <c r="M1758">
        <v>0</v>
      </c>
      <c r="N1758">
        <v>1650</v>
      </c>
    </row>
    <row r="1759" spans="1:14" x14ac:dyDescent="0.25">
      <c r="A1759">
        <v>1630.478329</v>
      </c>
      <c r="B1759" s="1">
        <f>DATE(2014,10,17) + TIME(11,28,47)</f>
        <v>41929.478321759256</v>
      </c>
      <c r="C1759">
        <v>80</v>
      </c>
      <c r="D1759">
        <v>79.948280334000003</v>
      </c>
      <c r="E1759">
        <v>40</v>
      </c>
      <c r="F1759">
        <v>41.902206421000002</v>
      </c>
      <c r="G1759">
        <v>1364.2170410000001</v>
      </c>
      <c r="H1759">
        <v>1354.6483154</v>
      </c>
      <c r="I1759">
        <v>1298.03125</v>
      </c>
      <c r="J1759">
        <v>1281.7050781</v>
      </c>
      <c r="K1759">
        <v>1650</v>
      </c>
      <c r="L1759">
        <v>0</v>
      </c>
      <c r="M1759">
        <v>0</v>
      </c>
      <c r="N1759">
        <v>1650</v>
      </c>
    </row>
    <row r="1760" spans="1:14" x14ac:dyDescent="0.25">
      <c r="A1760">
        <v>1633.404745</v>
      </c>
      <c r="B1760" s="1">
        <f>DATE(2014,10,20) + TIME(9,42,49)</f>
        <v>41932.404733796298</v>
      </c>
      <c r="C1760">
        <v>80</v>
      </c>
      <c r="D1760">
        <v>79.948318481000001</v>
      </c>
      <c r="E1760">
        <v>40</v>
      </c>
      <c r="F1760">
        <v>42.277755737</v>
      </c>
      <c r="G1760">
        <v>1364.1677245999999</v>
      </c>
      <c r="H1760">
        <v>1354.605957</v>
      </c>
      <c r="I1760">
        <v>1298.0891113</v>
      </c>
      <c r="J1760">
        <v>1281.8170166</v>
      </c>
      <c r="K1760">
        <v>1650</v>
      </c>
      <c r="L1760">
        <v>0</v>
      </c>
      <c r="M1760">
        <v>0</v>
      </c>
      <c r="N1760">
        <v>1650</v>
      </c>
    </row>
    <row r="1761" spans="1:14" x14ac:dyDescent="0.25">
      <c r="A1761">
        <v>1636.379989</v>
      </c>
      <c r="B1761" s="1">
        <f>DATE(2014,10,23) + TIME(9,7,11)</f>
        <v>41935.379988425928</v>
      </c>
      <c r="C1761">
        <v>80</v>
      </c>
      <c r="D1761">
        <v>79.948364257999998</v>
      </c>
      <c r="E1761">
        <v>40</v>
      </c>
      <c r="F1761">
        <v>42.665077209000003</v>
      </c>
      <c r="G1761">
        <v>1364.1185303</v>
      </c>
      <c r="H1761">
        <v>1354.5635986</v>
      </c>
      <c r="I1761">
        <v>1298.1502685999999</v>
      </c>
      <c r="J1761">
        <v>1281.9364014</v>
      </c>
      <c r="K1761">
        <v>1650</v>
      </c>
      <c r="L1761">
        <v>0</v>
      </c>
      <c r="M1761">
        <v>0</v>
      </c>
      <c r="N1761">
        <v>1650</v>
      </c>
    </row>
    <row r="1762" spans="1:14" x14ac:dyDescent="0.25">
      <c r="A1762">
        <v>1639.410341</v>
      </c>
      <c r="B1762" s="1">
        <f>DATE(2014,10,26) + TIME(9,50,53)</f>
        <v>41938.41033564815</v>
      </c>
      <c r="C1762">
        <v>80</v>
      </c>
      <c r="D1762">
        <v>79.948402404999996</v>
      </c>
      <c r="E1762">
        <v>40</v>
      </c>
      <c r="F1762">
        <v>43.062946320000002</v>
      </c>
      <c r="G1762">
        <v>1364.0694579999999</v>
      </c>
      <c r="H1762">
        <v>1354.5213623</v>
      </c>
      <c r="I1762">
        <v>1298.2148437999999</v>
      </c>
      <c r="J1762">
        <v>1282.0629882999999</v>
      </c>
      <c r="K1762">
        <v>1650</v>
      </c>
      <c r="L1762">
        <v>0</v>
      </c>
      <c r="M1762">
        <v>0</v>
      </c>
      <c r="N1762">
        <v>1650</v>
      </c>
    </row>
    <row r="1763" spans="1:14" x14ac:dyDescent="0.25">
      <c r="A1763">
        <v>1642.492626</v>
      </c>
      <c r="B1763" s="1">
        <f>DATE(2014,10,29) + TIME(11,49,22)</f>
        <v>41941.492615740739</v>
      </c>
      <c r="C1763">
        <v>80</v>
      </c>
      <c r="D1763">
        <v>79.948448181000003</v>
      </c>
      <c r="E1763">
        <v>40</v>
      </c>
      <c r="F1763">
        <v>43.469753265000001</v>
      </c>
      <c r="G1763">
        <v>1364.0203856999999</v>
      </c>
      <c r="H1763">
        <v>1354.479126</v>
      </c>
      <c r="I1763">
        <v>1298.2829589999999</v>
      </c>
      <c r="J1763">
        <v>1282.1965332</v>
      </c>
      <c r="K1763">
        <v>1650</v>
      </c>
      <c r="L1763">
        <v>0</v>
      </c>
      <c r="M1763">
        <v>0</v>
      </c>
      <c r="N1763">
        <v>1650</v>
      </c>
    </row>
    <row r="1764" spans="1:14" x14ac:dyDescent="0.25">
      <c r="A1764">
        <v>1645</v>
      </c>
      <c r="B1764" s="1">
        <f>DATE(2014,11,1) + TIME(0,0,0)</f>
        <v>41944</v>
      </c>
      <c r="C1764">
        <v>80</v>
      </c>
      <c r="D1764">
        <v>79.948478699000006</v>
      </c>
      <c r="E1764">
        <v>40</v>
      </c>
      <c r="F1764">
        <v>43.857830047999997</v>
      </c>
      <c r="G1764">
        <v>1363.9714355000001</v>
      </c>
      <c r="H1764">
        <v>1354.4370117000001</v>
      </c>
      <c r="I1764">
        <v>1298.3568115</v>
      </c>
      <c r="J1764">
        <v>1282.333374</v>
      </c>
      <c r="K1764">
        <v>1650</v>
      </c>
      <c r="L1764">
        <v>0</v>
      </c>
      <c r="M1764">
        <v>0</v>
      </c>
      <c r="N1764">
        <v>1650</v>
      </c>
    </row>
    <row r="1765" spans="1:14" x14ac:dyDescent="0.25">
      <c r="A1765">
        <v>1645.0000010000001</v>
      </c>
      <c r="B1765" s="1">
        <f>DATE(2014,11,1) + TIME(0,0,0)</f>
        <v>41944</v>
      </c>
      <c r="C1765">
        <v>80</v>
      </c>
      <c r="D1765">
        <v>79.948394774999997</v>
      </c>
      <c r="E1765">
        <v>40</v>
      </c>
      <c r="F1765">
        <v>43.857906342</v>
      </c>
      <c r="G1765">
        <v>1353.8376464999999</v>
      </c>
      <c r="H1765">
        <v>1345.9682617000001</v>
      </c>
      <c r="I1765">
        <v>1315.0948486</v>
      </c>
      <c r="J1765">
        <v>1299.0196533000001</v>
      </c>
      <c r="K1765">
        <v>0</v>
      </c>
      <c r="L1765">
        <v>1650</v>
      </c>
      <c r="M1765">
        <v>1650</v>
      </c>
      <c r="N1765">
        <v>0</v>
      </c>
    </row>
    <row r="1766" spans="1:14" x14ac:dyDescent="0.25">
      <c r="A1766">
        <v>1645.000004</v>
      </c>
      <c r="B1766" s="1">
        <f>DATE(2014,11,1) + TIME(0,0,0)</f>
        <v>41944</v>
      </c>
      <c r="C1766">
        <v>80</v>
      </c>
      <c r="D1766">
        <v>79.948181152000004</v>
      </c>
      <c r="E1766">
        <v>40</v>
      </c>
      <c r="F1766">
        <v>43.858116150000001</v>
      </c>
      <c r="G1766">
        <v>1352.3234863</v>
      </c>
      <c r="H1766">
        <v>1344.4536132999999</v>
      </c>
      <c r="I1766">
        <v>1316.7513428</v>
      </c>
      <c r="J1766">
        <v>1300.8046875</v>
      </c>
      <c r="K1766">
        <v>0</v>
      </c>
      <c r="L1766">
        <v>1650</v>
      </c>
      <c r="M1766">
        <v>1650</v>
      </c>
      <c r="N1766">
        <v>0</v>
      </c>
    </row>
    <row r="1767" spans="1:14" x14ac:dyDescent="0.25">
      <c r="A1767">
        <v>1645.0000130000001</v>
      </c>
      <c r="B1767" s="1">
        <f>DATE(2014,11,1) + TIME(0,0,1)</f>
        <v>41944.000011574077</v>
      </c>
      <c r="C1767">
        <v>80</v>
      </c>
      <c r="D1767">
        <v>79.947746276999993</v>
      </c>
      <c r="E1767">
        <v>40</v>
      </c>
      <c r="F1767">
        <v>43.858592987000002</v>
      </c>
      <c r="G1767">
        <v>1349.2667236</v>
      </c>
      <c r="H1767">
        <v>1341.3964844</v>
      </c>
      <c r="I1767">
        <v>1320.6263428</v>
      </c>
      <c r="J1767">
        <v>1304.8972168</v>
      </c>
      <c r="K1767">
        <v>0</v>
      </c>
      <c r="L1767">
        <v>1650</v>
      </c>
      <c r="M1767">
        <v>1650</v>
      </c>
      <c r="N1767">
        <v>0</v>
      </c>
    </row>
    <row r="1768" spans="1:14" x14ac:dyDescent="0.25">
      <c r="A1768">
        <v>1645.0000399999999</v>
      </c>
      <c r="B1768" s="1">
        <f>DATE(2014,11,1) + TIME(0,0,3)</f>
        <v>41944.000034722223</v>
      </c>
      <c r="C1768">
        <v>80</v>
      </c>
      <c r="D1768">
        <v>79.947105407999999</v>
      </c>
      <c r="E1768">
        <v>40</v>
      </c>
      <c r="F1768">
        <v>43.859355927000003</v>
      </c>
      <c r="G1768">
        <v>1344.8004149999999</v>
      </c>
      <c r="H1768">
        <v>1336.9315185999999</v>
      </c>
      <c r="I1768">
        <v>1327.4846190999999</v>
      </c>
      <c r="J1768">
        <v>1311.9033202999999</v>
      </c>
      <c r="K1768">
        <v>0</v>
      </c>
      <c r="L1768">
        <v>1650</v>
      </c>
      <c r="M1768">
        <v>1650</v>
      </c>
      <c r="N1768">
        <v>0</v>
      </c>
    </row>
    <row r="1769" spans="1:14" x14ac:dyDescent="0.25">
      <c r="A1769">
        <v>1645.000121</v>
      </c>
      <c r="B1769" s="1">
        <f>DATE(2014,11,1) + TIME(0,0,10)</f>
        <v>41944.000115740739</v>
      </c>
      <c r="C1769">
        <v>80</v>
      </c>
      <c r="D1769">
        <v>79.946388244999994</v>
      </c>
      <c r="E1769">
        <v>40</v>
      </c>
      <c r="F1769">
        <v>43.860164642000001</v>
      </c>
      <c r="G1769">
        <v>1339.8291016000001</v>
      </c>
      <c r="H1769">
        <v>1331.963501</v>
      </c>
      <c r="I1769">
        <v>1336.3221435999999</v>
      </c>
      <c r="J1769">
        <v>1320.7452393000001</v>
      </c>
      <c r="K1769">
        <v>0</v>
      </c>
      <c r="L1769">
        <v>1650</v>
      </c>
      <c r="M1769">
        <v>1650</v>
      </c>
      <c r="N1769">
        <v>0</v>
      </c>
    </row>
    <row r="1770" spans="1:14" x14ac:dyDescent="0.25">
      <c r="A1770">
        <v>1645.000364</v>
      </c>
      <c r="B1770" s="1">
        <f>DATE(2014,11,1) + TIME(0,0,31)</f>
        <v>41944.000358796293</v>
      </c>
      <c r="C1770">
        <v>80</v>
      </c>
      <c r="D1770">
        <v>79.945640564000001</v>
      </c>
      <c r="E1770">
        <v>40</v>
      </c>
      <c r="F1770">
        <v>43.860485077</v>
      </c>
      <c r="G1770">
        <v>1334.8231201000001</v>
      </c>
      <c r="H1770">
        <v>1326.9552002</v>
      </c>
      <c r="I1770">
        <v>1345.6826172000001</v>
      </c>
      <c r="J1770">
        <v>1330.0883789</v>
      </c>
      <c r="K1770">
        <v>0</v>
      </c>
      <c r="L1770">
        <v>1650</v>
      </c>
      <c r="M1770">
        <v>1650</v>
      </c>
      <c r="N1770">
        <v>0</v>
      </c>
    </row>
    <row r="1771" spans="1:14" x14ac:dyDescent="0.25">
      <c r="A1771">
        <v>1645.0010930000001</v>
      </c>
      <c r="B1771" s="1">
        <f>DATE(2014,11,1) + TIME(0,1,34)</f>
        <v>41944.001087962963</v>
      </c>
      <c r="C1771">
        <v>80</v>
      </c>
      <c r="D1771">
        <v>79.944801330999994</v>
      </c>
      <c r="E1771">
        <v>40</v>
      </c>
      <c r="F1771">
        <v>43.859169006000002</v>
      </c>
      <c r="G1771">
        <v>1329.7432861</v>
      </c>
      <c r="H1771">
        <v>1321.8192139</v>
      </c>
      <c r="I1771">
        <v>1355.1523437999999</v>
      </c>
      <c r="J1771">
        <v>1339.5371094</v>
      </c>
      <c r="K1771">
        <v>0</v>
      </c>
      <c r="L1771">
        <v>1650</v>
      </c>
      <c r="M1771">
        <v>1650</v>
      </c>
      <c r="N1771">
        <v>0</v>
      </c>
    </row>
    <row r="1772" spans="1:14" x14ac:dyDescent="0.25">
      <c r="A1772">
        <v>1645.0032799999999</v>
      </c>
      <c r="B1772" s="1">
        <f>DATE(2014,11,1) + TIME(0,4,43)</f>
        <v>41944.003275462965</v>
      </c>
      <c r="C1772">
        <v>80</v>
      </c>
      <c r="D1772">
        <v>79.943695067999997</v>
      </c>
      <c r="E1772">
        <v>40</v>
      </c>
      <c r="F1772">
        <v>43.852851868000002</v>
      </c>
      <c r="G1772">
        <v>1324.5202637</v>
      </c>
      <c r="H1772">
        <v>1316.440918</v>
      </c>
      <c r="I1772">
        <v>1364.4205322</v>
      </c>
      <c r="J1772">
        <v>1348.7204589999999</v>
      </c>
      <c r="K1772">
        <v>0</v>
      </c>
      <c r="L1772">
        <v>1650</v>
      </c>
      <c r="M1772">
        <v>1650</v>
      </c>
      <c r="N1772">
        <v>0</v>
      </c>
    </row>
    <row r="1773" spans="1:14" x14ac:dyDescent="0.25">
      <c r="A1773">
        <v>1645.0098410000001</v>
      </c>
      <c r="B1773" s="1">
        <f>DATE(2014,11,1) + TIME(0,14,10)</f>
        <v>41944.009837962964</v>
      </c>
      <c r="C1773">
        <v>80</v>
      </c>
      <c r="D1773">
        <v>79.941909789999997</v>
      </c>
      <c r="E1773">
        <v>40</v>
      </c>
      <c r="F1773">
        <v>43.831401825</v>
      </c>
      <c r="G1773">
        <v>1319.625</v>
      </c>
      <c r="H1773">
        <v>1311.3919678</v>
      </c>
      <c r="I1773">
        <v>1372.2884521000001</v>
      </c>
      <c r="J1773">
        <v>1356.4431152</v>
      </c>
      <c r="K1773">
        <v>0</v>
      </c>
      <c r="L1773">
        <v>1650</v>
      </c>
      <c r="M1773">
        <v>1650</v>
      </c>
      <c r="N1773">
        <v>0</v>
      </c>
    </row>
    <row r="1774" spans="1:14" x14ac:dyDescent="0.25">
      <c r="A1774">
        <v>1645.029524</v>
      </c>
      <c r="B1774" s="1">
        <f>DATE(2014,11,1) + TIME(0,42,30)</f>
        <v>41944.029513888891</v>
      </c>
      <c r="C1774">
        <v>80</v>
      </c>
      <c r="D1774">
        <v>79.93812561</v>
      </c>
      <c r="E1774">
        <v>40</v>
      </c>
      <c r="F1774">
        <v>43.765522003000001</v>
      </c>
      <c r="G1774">
        <v>1315.9918213000001</v>
      </c>
      <c r="H1774">
        <v>1307.6956786999999</v>
      </c>
      <c r="I1774">
        <v>1377.28125</v>
      </c>
      <c r="J1774">
        <v>1361.3103027</v>
      </c>
      <c r="K1774">
        <v>0</v>
      </c>
      <c r="L1774">
        <v>1650</v>
      </c>
      <c r="M1774">
        <v>1650</v>
      </c>
      <c r="N1774">
        <v>0</v>
      </c>
    </row>
    <row r="1775" spans="1:14" x14ac:dyDescent="0.25">
      <c r="A1775">
        <v>1645.088573</v>
      </c>
      <c r="B1775" s="1">
        <f>DATE(2014,11,1) + TIME(2,7,32)</f>
        <v>41944.088564814818</v>
      </c>
      <c r="C1775">
        <v>80</v>
      </c>
      <c r="D1775">
        <v>79.928390503000003</v>
      </c>
      <c r="E1775">
        <v>40</v>
      </c>
      <c r="F1775">
        <v>43.576137543000002</v>
      </c>
      <c r="G1775">
        <v>1314.1735839999999</v>
      </c>
      <c r="H1775">
        <v>1305.8635254000001</v>
      </c>
      <c r="I1775">
        <v>1379.1552733999999</v>
      </c>
      <c r="J1775">
        <v>1363.1136475000001</v>
      </c>
      <c r="K1775">
        <v>0</v>
      </c>
      <c r="L1775">
        <v>1650</v>
      </c>
      <c r="M1775">
        <v>1650</v>
      </c>
      <c r="N1775">
        <v>0</v>
      </c>
    </row>
    <row r="1776" spans="1:14" x14ac:dyDescent="0.25">
      <c r="A1776">
        <v>1645.2324020000001</v>
      </c>
      <c r="B1776" s="1">
        <f>DATE(2014,11,1) + TIME(5,34,39)</f>
        <v>41944.232395833336</v>
      </c>
      <c r="C1776">
        <v>80</v>
      </c>
      <c r="D1776">
        <v>79.906951903999996</v>
      </c>
      <c r="E1776">
        <v>40</v>
      </c>
      <c r="F1776">
        <v>43.168540954999997</v>
      </c>
      <c r="G1776">
        <v>1313.6849365</v>
      </c>
      <c r="H1776">
        <v>1305.3723144999999</v>
      </c>
      <c r="I1776">
        <v>1379.3804932</v>
      </c>
      <c r="J1776">
        <v>1363.2896728999999</v>
      </c>
      <c r="K1776">
        <v>0</v>
      </c>
      <c r="L1776">
        <v>1650</v>
      </c>
      <c r="M1776">
        <v>1650</v>
      </c>
      <c r="N1776">
        <v>0</v>
      </c>
    </row>
    <row r="1777" spans="1:14" x14ac:dyDescent="0.25">
      <c r="A1777">
        <v>1645.388473</v>
      </c>
      <c r="B1777" s="1">
        <f>DATE(2014,11,1) + TIME(9,19,24)</f>
        <v>41944.388472222221</v>
      </c>
      <c r="C1777">
        <v>80</v>
      </c>
      <c r="D1777">
        <v>79.884536742999998</v>
      </c>
      <c r="E1777">
        <v>40</v>
      </c>
      <c r="F1777">
        <v>42.781967162999997</v>
      </c>
      <c r="G1777">
        <v>1313.6104736</v>
      </c>
      <c r="H1777">
        <v>1305.2972411999999</v>
      </c>
      <c r="I1777">
        <v>1379.328125</v>
      </c>
      <c r="J1777">
        <v>1363.2053223</v>
      </c>
      <c r="K1777">
        <v>0</v>
      </c>
      <c r="L1777">
        <v>1650</v>
      </c>
      <c r="M1777">
        <v>1650</v>
      </c>
      <c r="N1777">
        <v>0</v>
      </c>
    </row>
    <row r="1778" spans="1:14" x14ac:dyDescent="0.25">
      <c r="A1778">
        <v>1645.5591139999999</v>
      </c>
      <c r="B1778" s="1">
        <f>DATE(2014,11,1) + TIME(13,25,7)</f>
        <v>41944.559108796297</v>
      </c>
      <c r="C1778">
        <v>80</v>
      </c>
      <c r="D1778">
        <v>79.860893250000004</v>
      </c>
      <c r="E1778">
        <v>40</v>
      </c>
      <c r="F1778">
        <v>42.416423797999997</v>
      </c>
      <c r="G1778">
        <v>1313.5933838000001</v>
      </c>
      <c r="H1778">
        <v>1305.2797852000001</v>
      </c>
      <c r="I1778">
        <v>1379.2697754000001</v>
      </c>
      <c r="J1778">
        <v>1363.1188964999999</v>
      </c>
      <c r="K1778">
        <v>0</v>
      </c>
      <c r="L1778">
        <v>1650</v>
      </c>
      <c r="M1778">
        <v>1650</v>
      </c>
      <c r="N1778">
        <v>0</v>
      </c>
    </row>
    <row r="1779" spans="1:14" x14ac:dyDescent="0.25">
      <c r="A1779">
        <v>1645.7476549999999</v>
      </c>
      <c r="B1779" s="1">
        <f>DATE(2014,11,1) + TIME(17,56,37)</f>
        <v>41944.747650462959</v>
      </c>
      <c r="C1779">
        <v>80</v>
      </c>
      <c r="D1779">
        <v>79.835723877000007</v>
      </c>
      <c r="E1779">
        <v>40</v>
      </c>
      <c r="F1779">
        <v>42.071525573999999</v>
      </c>
      <c r="G1779">
        <v>1313.5849608999999</v>
      </c>
      <c r="H1779">
        <v>1305.2707519999999</v>
      </c>
      <c r="I1779">
        <v>1379.2148437999999</v>
      </c>
      <c r="J1779">
        <v>1363.0391846</v>
      </c>
      <c r="K1779">
        <v>0</v>
      </c>
      <c r="L1779">
        <v>1650</v>
      </c>
      <c r="M1779">
        <v>1650</v>
      </c>
      <c r="N1779">
        <v>0</v>
      </c>
    </row>
    <row r="1780" spans="1:14" x14ac:dyDescent="0.25">
      <c r="A1780">
        <v>1645.9586179999999</v>
      </c>
      <c r="B1780" s="1">
        <f>DATE(2014,11,1) + TIME(23,0,24)</f>
        <v>41944.958611111113</v>
      </c>
      <c r="C1780">
        <v>80</v>
      </c>
      <c r="D1780">
        <v>79.808639525999993</v>
      </c>
      <c r="E1780">
        <v>40</v>
      </c>
      <c r="F1780">
        <v>41.747131348000003</v>
      </c>
      <c r="G1780">
        <v>1313.5773925999999</v>
      </c>
      <c r="H1780">
        <v>1305.2626952999999</v>
      </c>
      <c r="I1780">
        <v>1379.1612548999999</v>
      </c>
      <c r="J1780">
        <v>1362.9641113</v>
      </c>
      <c r="K1780">
        <v>0</v>
      </c>
      <c r="L1780">
        <v>1650</v>
      </c>
      <c r="M1780">
        <v>1650</v>
      </c>
      <c r="N1780">
        <v>0</v>
      </c>
    </row>
    <row r="1781" spans="1:14" x14ac:dyDescent="0.25">
      <c r="A1781">
        <v>1646.198343</v>
      </c>
      <c r="B1781" s="1">
        <f>DATE(2014,11,2) + TIME(4,45,36)</f>
        <v>41945.198333333334</v>
      </c>
      <c r="C1781">
        <v>80</v>
      </c>
      <c r="D1781">
        <v>79.779106139999996</v>
      </c>
      <c r="E1781">
        <v>40</v>
      </c>
      <c r="F1781">
        <v>41.443389893000003</v>
      </c>
      <c r="G1781">
        <v>1313.5694579999999</v>
      </c>
      <c r="H1781">
        <v>1305.2541504000001</v>
      </c>
      <c r="I1781">
        <v>1379.1081543</v>
      </c>
      <c r="J1781">
        <v>1362.8928223</v>
      </c>
      <c r="K1781">
        <v>0</v>
      </c>
      <c r="L1781">
        <v>1650</v>
      </c>
      <c r="M1781">
        <v>1650</v>
      </c>
      <c r="N1781">
        <v>0</v>
      </c>
    </row>
    <row r="1782" spans="1:14" x14ac:dyDescent="0.25">
      <c r="A1782">
        <v>1646.4491210000001</v>
      </c>
      <c r="B1782" s="1">
        <f>DATE(2014,11,2) + TIME(10,46,44)</f>
        <v>41945.449120370373</v>
      </c>
      <c r="C1782">
        <v>80</v>
      </c>
      <c r="D1782">
        <v>79.749023437999995</v>
      </c>
      <c r="E1782">
        <v>40</v>
      </c>
      <c r="F1782">
        <v>41.183296204000001</v>
      </c>
      <c r="G1782">
        <v>1313.5606689000001</v>
      </c>
      <c r="H1782">
        <v>1305.244751</v>
      </c>
      <c r="I1782">
        <v>1379.0593262</v>
      </c>
      <c r="J1782">
        <v>1362.8309326000001</v>
      </c>
      <c r="K1782">
        <v>0</v>
      </c>
      <c r="L1782">
        <v>1650</v>
      </c>
      <c r="M1782">
        <v>1650</v>
      </c>
      <c r="N1782">
        <v>0</v>
      </c>
    </row>
    <row r="1783" spans="1:14" x14ac:dyDescent="0.25">
      <c r="A1783">
        <v>1646.7142940000001</v>
      </c>
      <c r="B1783" s="1">
        <f>DATE(2014,11,2) + TIME(17,8,34)</f>
        <v>41945.714282407411</v>
      </c>
      <c r="C1783">
        <v>80</v>
      </c>
      <c r="D1783">
        <v>79.718055724999999</v>
      </c>
      <c r="E1783">
        <v>40</v>
      </c>
      <c r="F1783">
        <v>40.960178374999998</v>
      </c>
      <c r="G1783">
        <v>1313.5516356999999</v>
      </c>
      <c r="H1783">
        <v>1305.2349853999999</v>
      </c>
      <c r="I1783">
        <v>1379.0148925999999</v>
      </c>
      <c r="J1783">
        <v>1362.7773437999999</v>
      </c>
      <c r="K1783">
        <v>0</v>
      </c>
      <c r="L1783">
        <v>1650</v>
      </c>
      <c r="M1783">
        <v>1650</v>
      </c>
      <c r="N1783">
        <v>0</v>
      </c>
    </row>
    <row r="1784" spans="1:14" x14ac:dyDescent="0.25">
      <c r="A1784">
        <v>1646.9964580000001</v>
      </c>
      <c r="B1784" s="1">
        <f>DATE(2014,11,2) + TIME(23,54,53)</f>
        <v>41945.996446759258</v>
      </c>
      <c r="C1784">
        <v>80</v>
      </c>
      <c r="D1784">
        <v>79.685951232999997</v>
      </c>
      <c r="E1784">
        <v>40</v>
      </c>
      <c r="F1784">
        <v>40.769611359000002</v>
      </c>
      <c r="G1784">
        <v>1313.5423584</v>
      </c>
      <c r="H1784">
        <v>1305.2247314000001</v>
      </c>
      <c r="I1784">
        <v>1378.9747314000001</v>
      </c>
      <c r="J1784">
        <v>1362.7310791</v>
      </c>
      <c r="K1784">
        <v>0</v>
      </c>
      <c r="L1784">
        <v>1650</v>
      </c>
      <c r="M1784">
        <v>1650</v>
      </c>
      <c r="N1784">
        <v>0</v>
      </c>
    </row>
    <row r="1785" spans="1:14" x14ac:dyDescent="0.25">
      <c r="A1785">
        <v>1647.2988350000001</v>
      </c>
      <c r="B1785" s="1">
        <f>DATE(2014,11,3) + TIME(7,10,19)</f>
        <v>41946.298831018517</v>
      </c>
      <c r="C1785">
        <v>80</v>
      </c>
      <c r="D1785">
        <v>79.652427673000005</v>
      </c>
      <c r="E1785">
        <v>40</v>
      </c>
      <c r="F1785">
        <v>40.607772826999998</v>
      </c>
      <c r="G1785">
        <v>1313.5324707</v>
      </c>
      <c r="H1785">
        <v>1305.2139893000001</v>
      </c>
      <c r="I1785">
        <v>1378.9384766000001</v>
      </c>
      <c r="J1785">
        <v>1362.6917725000001</v>
      </c>
      <c r="K1785">
        <v>0</v>
      </c>
      <c r="L1785">
        <v>1650</v>
      </c>
      <c r="M1785">
        <v>1650</v>
      </c>
      <c r="N1785">
        <v>0</v>
      </c>
    </row>
    <row r="1786" spans="1:14" x14ac:dyDescent="0.25">
      <c r="A1786">
        <v>1647.6253039999999</v>
      </c>
      <c r="B1786" s="1">
        <f>DATE(2014,11,3) + TIME(15,0,26)</f>
        <v>41946.625300925924</v>
      </c>
      <c r="C1786">
        <v>80</v>
      </c>
      <c r="D1786">
        <v>79.617149353000002</v>
      </c>
      <c r="E1786">
        <v>40</v>
      </c>
      <c r="F1786">
        <v>40.471385955999999</v>
      </c>
      <c r="G1786">
        <v>1313.5222168</v>
      </c>
      <c r="H1786">
        <v>1305.2026367000001</v>
      </c>
      <c r="I1786">
        <v>1378.9058838000001</v>
      </c>
      <c r="J1786">
        <v>1362.6584473</v>
      </c>
      <c r="K1786">
        <v>0</v>
      </c>
      <c r="L1786">
        <v>1650</v>
      </c>
      <c r="M1786">
        <v>1650</v>
      </c>
      <c r="N1786">
        <v>0</v>
      </c>
    </row>
    <row r="1787" spans="1:14" x14ac:dyDescent="0.25">
      <c r="A1787">
        <v>1647.980771</v>
      </c>
      <c r="B1787" s="1">
        <f>DATE(2014,11,3) + TIME(23,32,18)</f>
        <v>41946.980763888889</v>
      </c>
      <c r="C1787">
        <v>80</v>
      </c>
      <c r="D1787">
        <v>79.579727172999995</v>
      </c>
      <c r="E1787">
        <v>40</v>
      </c>
      <c r="F1787">
        <v>40.357559203999998</v>
      </c>
      <c r="G1787">
        <v>1313.5112305</v>
      </c>
      <c r="H1787">
        <v>1305.1905518000001</v>
      </c>
      <c r="I1787">
        <v>1378.8765868999999</v>
      </c>
      <c r="J1787">
        <v>1362.6308594</v>
      </c>
      <c r="K1787">
        <v>0</v>
      </c>
      <c r="L1787">
        <v>1650</v>
      </c>
      <c r="M1787">
        <v>1650</v>
      </c>
      <c r="N1787">
        <v>0</v>
      </c>
    </row>
    <row r="1788" spans="1:14" x14ac:dyDescent="0.25">
      <c r="A1788">
        <v>1648.371676</v>
      </c>
      <c r="B1788" s="1">
        <f>DATE(2014,11,4) + TIME(8,55,12)</f>
        <v>41947.371666666666</v>
      </c>
      <c r="C1788">
        <v>80</v>
      </c>
      <c r="D1788">
        <v>79.539634704999997</v>
      </c>
      <c r="E1788">
        <v>40</v>
      </c>
      <c r="F1788">
        <v>40.263683319000002</v>
      </c>
      <c r="G1788">
        <v>1313.4993896000001</v>
      </c>
      <c r="H1788">
        <v>1305.1773682</v>
      </c>
      <c r="I1788">
        <v>1378.8504639</v>
      </c>
      <c r="J1788">
        <v>1362.6082764</v>
      </c>
      <c r="K1788">
        <v>0</v>
      </c>
      <c r="L1788">
        <v>1650</v>
      </c>
      <c r="M1788">
        <v>1650</v>
      </c>
      <c r="N1788">
        <v>0</v>
      </c>
    </row>
    <row r="1789" spans="1:14" x14ac:dyDescent="0.25">
      <c r="A1789">
        <v>1648.8064179999999</v>
      </c>
      <c r="B1789" s="1">
        <f>DATE(2014,11,4) + TIME(19,21,14)</f>
        <v>41947.80641203704</v>
      </c>
      <c r="C1789">
        <v>80</v>
      </c>
      <c r="D1789">
        <v>79.496261597</v>
      </c>
      <c r="E1789">
        <v>40</v>
      </c>
      <c r="F1789">
        <v>40.187431334999999</v>
      </c>
      <c r="G1789">
        <v>1313.4865723</v>
      </c>
      <c r="H1789">
        <v>1305.1630858999999</v>
      </c>
      <c r="I1789">
        <v>1378.8272704999999</v>
      </c>
      <c r="J1789">
        <v>1362.5904541</v>
      </c>
      <c r="K1789">
        <v>0</v>
      </c>
      <c r="L1789">
        <v>1650</v>
      </c>
      <c r="M1789">
        <v>1650</v>
      </c>
      <c r="N1789">
        <v>0</v>
      </c>
    </row>
    <row r="1790" spans="1:14" x14ac:dyDescent="0.25">
      <c r="A1790">
        <v>1649.287977</v>
      </c>
      <c r="B1790" s="1">
        <f>DATE(2014,11,5) + TIME(6,54,41)</f>
        <v>41948.287974537037</v>
      </c>
      <c r="C1790">
        <v>80</v>
      </c>
      <c r="D1790">
        <v>79.449363708000007</v>
      </c>
      <c r="E1790">
        <v>40</v>
      </c>
      <c r="F1790">
        <v>40.127414702999999</v>
      </c>
      <c r="G1790">
        <v>1313.4724120999999</v>
      </c>
      <c r="H1790">
        <v>1305.1473389</v>
      </c>
      <c r="I1790">
        <v>1378.8068848</v>
      </c>
      <c r="J1790">
        <v>1362.5771483999999</v>
      </c>
      <c r="K1790">
        <v>0</v>
      </c>
      <c r="L1790">
        <v>1650</v>
      </c>
      <c r="M1790">
        <v>1650</v>
      </c>
      <c r="N1790">
        <v>0</v>
      </c>
    </row>
    <row r="1791" spans="1:14" x14ac:dyDescent="0.25">
      <c r="A1791">
        <v>1649.7747919999999</v>
      </c>
      <c r="B1791" s="1">
        <f>DATE(2014,11,5) + TIME(18,35,42)</f>
        <v>41948.774791666663</v>
      </c>
      <c r="C1791">
        <v>80</v>
      </c>
      <c r="D1791">
        <v>79.401756286999998</v>
      </c>
      <c r="E1791">
        <v>40</v>
      </c>
      <c r="F1791">
        <v>40.084388732999997</v>
      </c>
      <c r="G1791">
        <v>1313.4567870999999</v>
      </c>
      <c r="H1791">
        <v>1305.1300048999999</v>
      </c>
      <c r="I1791">
        <v>1378.7900391000001</v>
      </c>
      <c r="J1791">
        <v>1362.5687256000001</v>
      </c>
      <c r="K1791">
        <v>0</v>
      </c>
      <c r="L1791">
        <v>1650</v>
      </c>
      <c r="M1791">
        <v>1650</v>
      </c>
      <c r="N1791">
        <v>0</v>
      </c>
    </row>
    <row r="1792" spans="1:14" x14ac:dyDescent="0.25">
      <c r="A1792">
        <v>1650.2723779999999</v>
      </c>
      <c r="B1792" s="1">
        <f>DATE(2014,11,6) + TIME(6,32,13)</f>
        <v>41949.272372685184</v>
      </c>
      <c r="C1792">
        <v>80</v>
      </c>
      <c r="D1792">
        <v>79.353271484000004</v>
      </c>
      <c r="E1792">
        <v>40</v>
      </c>
      <c r="F1792">
        <v>40.053367614999999</v>
      </c>
      <c r="G1792">
        <v>1313.4410399999999</v>
      </c>
      <c r="H1792">
        <v>1305.1125488</v>
      </c>
      <c r="I1792">
        <v>1378.7761230000001</v>
      </c>
      <c r="J1792">
        <v>1362.5633545000001</v>
      </c>
      <c r="K1792">
        <v>0</v>
      </c>
      <c r="L1792">
        <v>1650</v>
      </c>
      <c r="M1792">
        <v>1650</v>
      </c>
      <c r="N1792">
        <v>0</v>
      </c>
    </row>
    <row r="1793" spans="1:14" x14ac:dyDescent="0.25">
      <c r="A1793">
        <v>1650.785926</v>
      </c>
      <c r="B1793" s="1">
        <f>DATE(2014,11,6) + TIME(18,51,43)</f>
        <v>41949.785914351851</v>
      </c>
      <c r="C1793">
        <v>80</v>
      </c>
      <c r="D1793">
        <v>79.303665160999998</v>
      </c>
      <c r="E1793">
        <v>40</v>
      </c>
      <c r="F1793">
        <v>40.030971526999998</v>
      </c>
      <c r="G1793">
        <v>1313.4250488</v>
      </c>
      <c r="H1793">
        <v>1305.0946045000001</v>
      </c>
      <c r="I1793">
        <v>1378.7646483999999</v>
      </c>
      <c r="J1793">
        <v>1362.5604248</v>
      </c>
      <c r="K1793">
        <v>0</v>
      </c>
      <c r="L1793">
        <v>1650</v>
      </c>
      <c r="M1793">
        <v>1650</v>
      </c>
      <c r="N1793">
        <v>0</v>
      </c>
    </row>
    <row r="1794" spans="1:14" x14ac:dyDescent="0.25">
      <c r="A1794">
        <v>1651.3204559999999</v>
      </c>
      <c r="B1794" s="1">
        <f>DATE(2014,11,7) + TIME(7,41,27)</f>
        <v>41950.320451388892</v>
      </c>
      <c r="C1794">
        <v>80</v>
      </c>
      <c r="D1794">
        <v>79.252662658999995</v>
      </c>
      <c r="E1794">
        <v>40</v>
      </c>
      <c r="F1794">
        <v>40.014842987000002</v>
      </c>
      <c r="G1794">
        <v>1313.4085693</v>
      </c>
      <c r="H1794">
        <v>1305.0761719</v>
      </c>
      <c r="I1794">
        <v>1378.7548827999999</v>
      </c>
      <c r="J1794">
        <v>1362.5592041</v>
      </c>
      <c r="K1794">
        <v>0</v>
      </c>
      <c r="L1794">
        <v>1650</v>
      </c>
      <c r="M1794">
        <v>1650</v>
      </c>
      <c r="N1794">
        <v>0</v>
      </c>
    </row>
    <row r="1795" spans="1:14" x14ac:dyDescent="0.25">
      <c r="A1795">
        <v>1651.8814279999999</v>
      </c>
      <c r="B1795" s="1">
        <f>DATE(2014,11,7) + TIME(21,9,15)</f>
        <v>41950.881423611114</v>
      </c>
      <c r="C1795">
        <v>80</v>
      </c>
      <c r="D1795">
        <v>79.199928283999995</v>
      </c>
      <c r="E1795">
        <v>40</v>
      </c>
      <c r="F1795">
        <v>40.003292084000002</v>
      </c>
      <c r="G1795">
        <v>1313.3914795000001</v>
      </c>
      <c r="H1795">
        <v>1305.0570068</v>
      </c>
      <c r="I1795">
        <v>1378.7464600000001</v>
      </c>
      <c r="J1795">
        <v>1362.5593262</v>
      </c>
      <c r="K1795">
        <v>0</v>
      </c>
      <c r="L1795">
        <v>1650</v>
      </c>
      <c r="M1795">
        <v>1650</v>
      </c>
      <c r="N1795">
        <v>0</v>
      </c>
    </row>
    <row r="1796" spans="1:14" x14ac:dyDescent="0.25">
      <c r="A1796">
        <v>1652.4749979999999</v>
      </c>
      <c r="B1796" s="1">
        <f>DATE(2014,11,8) + TIME(11,23,59)</f>
        <v>41951.474988425929</v>
      </c>
      <c r="C1796">
        <v>80</v>
      </c>
      <c r="D1796">
        <v>79.145065308</v>
      </c>
      <c r="E1796">
        <v>40</v>
      </c>
      <c r="F1796">
        <v>39.995090484999999</v>
      </c>
      <c r="G1796">
        <v>1313.3736572</v>
      </c>
      <c r="H1796">
        <v>1305.0368652</v>
      </c>
      <c r="I1796">
        <v>1378.7391356999999</v>
      </c>
      <c r="J1796">
        <v>1362.5604248</v>
      </c>
      <c r="K1796">
        <v>0</v>
      </c>
      <c r="L1796">
        <v>1650</v>
      </c>
      <c r="M1796">
        <v>1650</v>
      </c>
      <c r="N1796">
        <v>0</v>
      </c>
    </row>
    <row r="1797" spans="1:14" x14ac:dyDescent="0.25">
      <c r="A1797">
        <v>1653.1083430000001</v>
      </c>
      <c r="B1797" s="1">
        <f>DATE(2014,11,9) + TIME(2,36,0)</f>
        <v>41952.10833333333</v>
      </c>
      <c r="C1797">
        <v>80</v>
      </c>
      <c r="D1797">
        <v>79.087608337000006</v>
      </c>
      <c r="E1797">
        <v>40</v>
      </c>
      <c r="F1797">
        <v>39.989334106000001</v>
      </c>
      <c r="G1797">
        <v>1313.3547363</v>
      </c>
      <c r="H1797">
        <v>1305.0155029</v>
      </c>
      <c r="I1797">
        <v>1378.7326660000001</v>
      </c>
      <c r="J1797">
        <v>1362.5623779</v>
      </c>
      <c r="K1797">
        <v>0</v>
      </c>
      <c r="L1797">
        <v>1650</v>
      </c>
      <c r="M1797">
        <v>1650</v>
      </c>
      <c r="N1797">
        <v>0</v>
      </c>
    </row>
    <row r="1798" spans="1:14" x14ac:dyDescent="0.25">
      <c r="A1798">
        <v>1653.7902750000001</v>
      </c>
      <c r="B1798" s="1">
        <f>DATE(2014,11,9) + TIME(18,57,59)</f>
        <v>41952.790266203701</v>
      </c>
      <c r="C1798">
        <v>80</v>
      </c>
      <c r="D1798">
        <v>79.026969910000005</v>
      </c>
      <c r="E1798">
        <v>40</v>
      </c>
      <c r="F1798">
        <v>39.985355376999998</v>
      </c>
      <c r="G1798">
        <v>1313.3345947</v>
      </c>
      <c r="H1798">
        <v>1304.9926757999999</v>
      </c>
      <c r="I1798">
        <v>1378.7268065999999</v>
      </c>
      <c r="J1798">
        <v>1362.5648193</v>
      </c>
      <c r="K1798">
        <v>0</v>
      </c>
      <c r="L1798">
        <v>1650</v>
      </c>
      <c r="M1798">
        <v>1650</v>
      </c>
      <c r="N1798">
        <v>0</v>
      </c>
    </row>
    <row r="1799" spans="1:14" x14ac:dyDescent="0.25">
      <c r="A1799">
        <v>1654.532246</v>
      </c>
      <c r="B1799" s="1">
        <f>DATE(2014,11,10) + TIME(12,46,26)</f>
        <v>41953.53224537037</v>
      </c>
      <c r="C1799">
        <v>80</v>
      </c>
      <c r="D1799">
        <v>78.962448120000005</v>
      </c>
      <c r="E1799">
        <v>40</v>
      </c>
      <c r="F1799">
        <v>39.982650757000002</v>
      </c>
      <c r="G1799">
        <v>1313.3129882999999</v>
      </c>
      <c r="H1799">
        <v>1304.9680175999999</v>
      </c>
      <c r="I1799">
        <v>1378.7214355000001</v>
      </c>
      <c r="J1799">
        <v>1362.5678711</v>
      </c>
      <c r="K1799">
        <v>0</v>
      </c>
      <c r="L1799">
        <v>1650</v>
      </c>
      <c r="M1799">
        <v>1650</v>
      </c>
      <c r="N1799">
        <v>0</v>
      </c>
    </row>
    <row r="1800" spans="1:14" x14ac:dyDescent="0.25">
      <c r="A1800">
        <v>1655.284236</v>
      </c>
      <c r="B1800" s="1">
        <f>DATE(2014,11,11) + TIME(6,49,17)</f>
        <v>41954.284224537034</v>
      </c>
      <c r="C1800">
        <v>80</v>
      </c>
      <c r="D1800">
        <v>78.896545410000002</v>
      </c>
      <c r="E1800">
        <v>40</v>
      </c>
      <c r="F1800">
        <v>39.980941772000001</v>
      </c>
      <c r="G1800">
        <v>1313.2891846</v>
      </c>
      <c r="H1800">
        <v>1304.9411620999999</v>
      </c>
      <c r="I1800">
        <v>1378.7164307</v>
      </c>
      <c r="J1800">
        <v>1362.5712891000001</v>
      </c>
      <c r="K1800">
        <v>0</v>
      </c>
      <c r="L1800">
        <v>1650</v>
      </c>
      <c r="M1800">
        <v>1650</v>
      </c>
      <c r="N1800">
        <v>0</v>
      </c>
    </row>
    <row r="1801" spans="1:14" x14ac:dyDescent="0.25">
      <c r="A1801">
        <v>1656.048916</v>
      </c>
      <c r="B1801" s="1">
        <f>DATE(2014,11,12) + TIME(1,10,26)</f>
        <v>41955.04891203704</v>
      </c>
      <c r="C1801">
        <v>80</v>
      </c>
      <c r="D1801">
        <v>78.829620360999996</v>
      </c>
      <c r="E1801">
        <v>40</v>
      </c>
      <c r="F1801">
        <v>39.979862212999997</v>
      </c>
      <c r="G1801">
        <v>1313.2651367000001</v>
      </c>
      <c r="H1801">
        <v>1304.9136963000001</v>
      </c>
      <c r="I1801">
        <v>1378.7120361</v>
      </c>
      <c r="J1801">
        <v>1362.5748291</v>
      </c>
      <c r="K1801">
        <v>0</v>
      </c>
      <c r="L1801">
        <v>1650</v>
      </c>
      <c r="M1801">
        <v>1650</v>
      </c>
      <c r="N1801">
        <v>0</v>
      </c>
    </row>
    <row r="1802" spans="1:14" x14ac:dyDescent="0.25">
      <c r="A1802">
        <v>1656.8327650000001</v>
      </c>
      <c r="B1802" s="1">
        <f>DATE(2014,11,12) + TIME(19,59,10)</f>
        <v>41955.832754629628</v>
      </c>
      <c r="C1802">
        <v>80</v>
      </c>
      <c r="D1802">
        <v>78.761619568</v>
      </c>
      <c r="E1802">
        <v>40</v>
      </c>
      <c r="F1802">
        <v>39.979175568000002</v>
      </c>
      <c r="G1802">
        <v>1313.2404785000001</v>
      </c>
      <c r="H1802">
        <v>1304.8856201000001</v>
      </c>
      <c r="I1802">
        <v>1378.7081298999999</v>
      </c>
      <c r="J1802">
        <v>1362.5783690999999</v>
      </c>
      <c r="K1802">
        <v>0</v>
      </c>
      <c r="L1802">
        <v>1650</v>
      </c>
      <c r="M1802">
        <v>1650</v>
      </c>
      <c r="N1802">
        <v>0</v>
      </c>
    </row>
    <row r="1803" spans="1:14" x14ac:dyDescent="0.25">
      <c r="A1803">
        <v>1657.642259</v>
      </c>
      <c r="B1803" s="1">
        <f>DATE(2014,11,13) + TIME(15,24,51)</f>
        <v>41956.642256944448</v>
      </c>
      <c r="C1803">
        <v>80</v>
      </c>
      <c r="D1803">
        <v>78.692306518999999</v>
      </c>
      <c r="E1803">
        <v>40</v>
      </c>
      <c r="F1803">
        <v>39.978744507000002</v>
      </c>
      <c r="G1803">
        <v>1313.2152100000001</v>
      </c>
      <c r="H1803">
        <v>1304.8565673999999</v>
      </c>
      <c r="I1803">
        <v>1378.7047118999999</v>
      </c>
      <c r="J1803">
        <v>1362.5820312000001</v>
      </c>
      <c r="K1803">
        <v>0</v>
      </c>
      <c r="L1803">
        <v>1650</v>
      </c>
      <c r="M1803">
        <v>1650</v>
      </c>
      <c r="N1803">
        <v>0</v>
      </c>
    </row>
    <row r="1804" spans="1:14" x14ac:dyDescent="0.25">
      <c r="A1804">
        <v>1658.484109</v>
      </c>
      <c r="B1804" s="1">
        <f>DATE(2014,11,14) + TIME(11,37,7)</f>
        <v>41957.4841087963</v>
      </c>
      <c r="C1804">
        <v>80</v>
      </c>
      <c r="D1804">
        <v>78.621360779</v>
      </c>
      <c r="E1804">
        <v>40</v>
      </c>
      <c r="F1804">
        <v>39.978473663000003</v>
      </c>
      <c r="G1804">
        <v>1313.1889647999999</v>
      </c>
      <c r="H1804">
        <v>1304.8262939000001</v>
      </c>
      <c r="I1804">
        <v>1378.7015381000001</v>
      </c>
      <c r="J1804">
        <v>1362.5855713000001</v>
      </c>
      <c r="K1804">
        <v>0</v>
      </c>
      <c r="L1804">
        <v>1650</v>
      </c>
      <c r="M1804">
        <v>1650</v>
      </c>
      <c r="N1804">
        <v>0</v>
      </c>
    </row>
    <row r="1805" spans="1:14" x14ac:dyDescent="0.25">
      <c r="A1805">
        <v>1659.3660070000001</v>
      </c>
      <c r="B1805" s="1">
        <f>DATE(2014,11,15) + TIME(8,47,3)</f>
        <v>41958.366006944445</v>
      </c>
      <c r="C1805">
        <v>80</v>
      </c>
      <c r="D1805">
        <v>78.548347473000007</v>
      </c>
      <c r="E1805">
        <v>40</v>
      </c>
      <c r="F1805">
        <v>39.978305816999999</v>
      </c>
      <c r="G1805">
        <v>1313.1613769999999</v>
      </c>
      <c r="H1805">
        <v>1304.7945557</v>
      </c>
      <c r="I1805">
        <v>1378.6987305</v>
      </c>
      <c r="J1805">
        <v>1362.5893555</v>
      </c>
      <c r="K1805">
        <v>0</v>
      </c>
      <c r="L1805">
        <v>1650</v>
      </c>
      <c r="M1805">
        <v>1650</v>
      </c>
      <c r="N1805">
        <v>0</v>
      </c>
    </row>
    <row r="1806" spans="1:14" x14ac:dyDescent="0.25">
      <c r="A1806">
        <v>1660.296857</v>
      </c>
      <c r="B1806" s="1">
        <f>DATE(2014,11,16) + TIME(7,7,28)</f>
        <v>41959.296851851854</v>
      </c>
      <c r="C1806">
        <v>80</v>
      </c>
      <c r="D1806">
        <v>78.472740173000005</v>
      </c>
      <c r="E1806">
        <v>40</v>
      </c>
      <c r="F1806">
        <v>39.97820282</v>
      </c>
      <c r="G1806">
        <v>1313.1324463000001</v>
      </c>
      <c r="H1806">
        <v>1304.7608643000001</v>
      </c>
      <c r="I1806">
        <v>1378.6961670000001</v>
      </c>
      <c r="J1806">
        <v>1362.5931396000001</v>
      </c>
      <c r="K1806">
        <v>0</v>
      </c>
      <c r="L1806">
        <v>1650</v>
      </c>
      <c r="M1806">
        <v>1650</v>
      </c>
      <c r="N1806">
        <v>0</v>
      </c>
    </row>
    <row r="1807" spans="1:14" x14ac:dyDescent="0.25">
      <c r="A1807">
        <v>1661.2871680000001</v>
      </c>
      <c r="B1807" s="1">
        <f>DATE(2014,11,17) + TIME(6,53,31)</f>
        <v>41960.287164351852</v>
      </c>
      <c r="C1807">
        <v>80</v>
      </c>
      <c r="D1807">
        <v>78.393936156999999</v>
      </c>
      <c r="E1807">
        <v>40</v>
      </c>
      <c r="F1807">
        <v>39.978141784999998</v>
      </c>
      <c r="G1807">
        <v>1313.1016846</v>
      </c>
      <c r="H1807">
        <v>1304.7249756000001</v>
      </c>
      <c r="I1807">
        <v>1378.6937256000001</v>
      </c>
      <c r="J1807">
        <v>1362.5970459</v>
      </c>
      <c r="K1807">
        <v>0</v>
      </c>
      <c r="L1807">
        <v>1650</v>
      </c>
      <c r="M1807">
        <v>1650</v>
      </c>
      <c r="N1807">
        <v>0</v>
      </c>
    </row>
    <row r="1808" spans="1:14" x14ac:dyDescent="0.25">
      <c r="A1808">
        <v>1662.3220920000001</v>
      </c>
      <c r="B1808" s="1">
        <f>DATE(2014,11,18) + TIME(7,43,48)</f>
        <v>41961.322083333333</v>
      </c>
      <c r="C1808">
        <v>80</v>
      </c>
      <c r="D1808">
        <v>78.312370299999998</v>
      </c>
      <c r="E1808">
        <v>40</v>
      </c>
      <c r="F1808">
        <v>39.978107452000003</v>
      </c>
      <c r="G1808">
        <v>1313.0686035000001</v>
      </c>
      <c r="H1808">
        <v>1304.6864014</v>
      </c>
      <c r="I1808">
        <v>1378.6916504000001</v>
      </c>
      <c r="J1808">
        <v>1362.6010742000001</v>
      </c>
      <c r="K1808">
        <v>0</v>
      </c>
      <c r="L1808">
        <v>1650</v>
      </c>
      <c r="M1808">
        <v>1650</v>
      </c>
      <c r="N1808">
        <v>0</v>
      </c>
    </row>
    <row r="1809" spans="1:14" x14ac:dyDescent="0.25">
      <c r="A1809">
        <v>1663.368678</v>
      </c>
      <c r="B1809" s="1">
        <f>DATE(2014,11,19) + TIME(8,50,53)</f>
        <v>41962.368668981479</v>
      </c>
      <c r="C1809">
        <v>80</v>
      </c>
      <c r="D1809">
        <v>78.229598999000004</v>
      </c>
      <c r="E1809">
        <v>40</v>
      </c>
      <c r="F1809">
        <v>39.978088378999999</v>
      </c>
      <c r="G1809">
        <v>1313.0335693</v>
      </c>
      <c r="H1809">
        <v>1304.6455077999999</v>
      </c>
      <c r="I1809">
        <v>1378.6896973</v>
      </c>
      <c r="J1809">
        <v>1362.6051024999999</v>
      </c>
      <c r="K1809">
        <v>0</v>
      </c>
      <c r="L1809">
        <v>1650</v>
      </c>
      <c r="M1809">
        <v>1650</v>
      </c>
      <c r="N1809">
        <v>0</v>
      </c>
    </row>
    <row r="1810" spans="1:14" x14ac:dyDescent="0.25">
      <c r="A1810">
        <v>1664.4346499999999</v>
      </c>
      <c r="B1810" s="1">
        <f>DATE(2014,11,20) + TIME(10,25,53)</f>
        <v>41963.434641203705</v>
      </c>
      <c r="C1810">
        <v>80</v>
      </c>
      <c r="D1810">
        <v>78.145927428999997</v>
      </c>
      <c r="E1810">
        <v>40</v>
      </c>
      <c r="F1810">
        <v>39.978084564</v>
      </c>
      <c r="G1810">
        <v>1312.9979248</v>
      </c>
      <c r="H1810">
        <v>1304.6035156</v>
      </c>
      <c r="I1810">
        <v>1378.6879882999999</v>
      </c>
      <c r="J1810">
        <v>1362.6091309000001</v>
      </c>
      <c r="K1810">
        <v>0</v>
      </c>
      <c r="L1810">
        <v>1650</v>
      </c>
      <c r="M1810">
        <v>1650</v>
      </c>
      <c r="N1810">
        <v>0</v>
      </c>
    </row>
    <row r="1811" spans="1:14" x14ac:dyDescent="0.25">
      <c r="A1811">
        <v>1665.527576</v>
      </c>
      <c r="B1811" s="1">
        <f>DATE(2014,11,21) + TIME(12,39,42)</f>
        <v>41964.527569444443</v>
      </c>
      <c r="C1811">
        <v>80</v>
      </c>
      <c r="D1811">
        <v>78.061264038000004</v>
      </c>
      <c r="E1811">
        <v>40</v>
      </c>
      <c r="F1811">
        <v>39.978080749999997</v>
      </c>
      <c r="G1811">
        <v>1312.9610596</v>
      </c>
      <c r="H1811">
        <v>1304.5599365</v>
      </c>
      <c r="I1811">
        <v>1378.6866454999999</v>
      </c>
      <c r="J1811">
        <v>1362.6131591999999</v>
      </c>
      <c r="K1811">
        <v>0</v>
      </c>
      <c r="L1811">
        <v>1650</v>
      </c>
      <c r="M1811">
        <v>1650</v>
      </c>
      <c r="N1811">
        <v>0</v>
      </c>
    </row>
    <row r="1812" spans="1:14" x14ac:dyDescent="0.25">
      <c r="A1812">
        <v>1666.65535</v>
      </c>
      <c r="B1812" s="1">
        <f>DATE(2014,11,22) + TIME(15,43,42)</f>
        <v>41965.655347222222</v>
      </c>
      <c r="C1812">
        <v>80</v>
      </c>
      <c r="D1812">
        <v>77.975326538000004</v>
      </c>
      <c r="E1812">
        <v>40</v>
      </c>
      <c r="F1812">
        <v>39.978084564</v>
      </c>
      <c r="G1812">
        <v>1312.9228516000001</v>
      </c>
      <c r="H1812">
        <v>1304.5146483999999</v>
      </c>
      <c r="I1812">
        <v>1378.6854248</v>
      </c>
      <c r="J1812">
        <v>1362.6171875</v>
      </c>
      <c r="K1812">
        <v>0</v>
      </c>
      <c r="L1812">
        <v>1650</v>
      </c>
      <c r="M1812">
        <v>1650</v>
      </c>
      <c r="N1812">
        <v>0</v>
      </c>
    </row>
    <row r="1813" spans="1:14" x14ac:dyDescent="0.25">
      <c r="A1813">
        <v>1667.8262580000001</v>
      </c>
      <c r="B1813" s="1">
        <f>DATE(2014,11,23) + TIME(19,49,48)</f>
        <v>41966.826249999998</v>
      </c>
      <c r="C1813">
        <v>80</v>
      </c>
      <c r="D1813">
        <v>77.887695312000005</v>
      </c>
      <c r="E1813">
        <v>40</v>
      </c>
      <c r="F1813">
        <v>39.978088378999999</v>
      </c>
      <c r="G1813">
        <v>1312.8830565999999</v>
      </c>
      <c r="H1813">
        <v>1304.4670410000001</v>
      </c>
      <c r="I1813">
        <v>1378.6844481999999</v>
      </c>
      <c r="J1813">
        <v>1362.6212158000001</v>
      </c>
      <c r="K1813">
        <v>0</v>
      </c>
      <c r="L1813">
        <v>1650</v>
      </c>
      <c r="M1813">
        <v>1650</v>
      </c>
      <c r="N1813">
        <v>0</v>
      </c>
    </row>
    <row r="1814" spans="1:14" x14ac:dyDescent="0.25">
      <c r="A1814">
        <v>1669.050062</v>
      </c>
      <c r="B1814" s="1">
        <f>DATE(2014,11,25) + TIME(1,12,5)</f>
        <v>41968.050057870372</v>
      </c>
      <c r="C1814">
        <v>80</v>
      </c>
      <c r="D1814">
        <v>77.797859192000004</v>
      </c>
      <c r="E1814">
        <v>40</v>
      </c>
      <c r="F1814">
        <v>39.978092193999998</v>
      </c>
      <c r="G1814">
        <v>1312.8410644999999</v>
      </c>
      <c r="H1814">
        <v>1304.4167480000001</v>
      </c>
      <c r="I1814">
        <v>1378.6837158000001</v>
      </c>
      <c r="J1814">
        <v>1362.6253661999999</v>
      </c>
      <c r="K1814">
        <v>0</v>
      </c>
      <c r="L1814">
        <v>1650</v>
      </c>
      <c r="M1814">
        <v>1650</v>
      </c>
      <c r="N1814">
        <v>0</v>
      </c>
    </row>
    <row r="1815" spans="1:14" x14ac:dyDescent="0.25">
      <c r="A1815">
        <v>1670.3381010000001</v>
      </c>
      <c r="B1815" s="1">
        <f>DATE(2014,11,26) + TIME(8,6,51)</f>
        <v>41969.338090277779</v>
      </c>
      <c r="C1815">
        <v>80</v>
      </c>
      <c r="D1815">
        <v>77.705207825000002</v>
      </c>
      <c r="E1815">
        <v>40</v>
      </c>
      <c r="F1815">
        <v>39.978099823000001</v>
      </c>
      <c r="G1815">
        <v>1312.7967529</v>
      </c>
      <c r="H1815">
        <v>1304.3632812000001</v>
      </c>
      <c r="I1815">
        <v>1378.6831055</v>
      </c>
      <c r="J1815">
        <v>1362.6295166</v>
      </c>
      <c r="K1815">
        <v>0</v>
      </c>
      <c r="L1815">
        <v>1650</v>
      </c>
      <c r="M1815">
        <v>1650</v>
      </c>
      <c r="N1815">
        <v>0</v>
      </c>
    </row>
    <row r="1816" spans="1:14" x14ac:dyDescent="0.25">
      <c r="A1816">
        <v>1671.6732870000001</v>
      </c>
      <c r="B1816" s="1">
        <f>DATE(2014,11,27) + TIME(16,9,31)</f>
        <v>41970.673275462963</v>
      </c>
      <c r="C1816">
        <v>80</v>
      </c>
      <c r="D1816">
        <v>77.610076903999996</v>
      </c>
      <c r="E1816">
        <v>40</v>
      </c>
      <c r="F1816">
        <v>39.978107452000003</v>
      </c>
      <c r="G1816">
        <v>1312.7492675999999</v>
      </c>
      <c r="H1816">
        <v>1304.3060303</v>
      </c>
      <c r="I1816">
        <v>1378.6827393000001</v>
      </c>
      <c r="J1816">
        <v>1362.6339111</v>
      </c>
      <c r="K1816">
        <v>0</v>
      </c>
      <c r="L1816">
        <v>1650</v>
      </c>
      <c r="M1816">
        <v>1650</v>
      </c>
      <c r="N1816">
        <v>0</v>
      </c>
    </row>
    <row r="1817" spans="1:14" x14ac:dyDescent="0.25">
      <c r="A1817">
        <v>1673.022823</v>
      </c>
      <c r="B1817" s="1">
        <f>DATE(2014,11,29) + TIME(0,32,51)</f>
        <v>41972.022812499999</v>
      </c>
      <c r="C1817">
        <v>80</v>
      </c>
      <c r="D1817">
        <v>77.513809203999998</v>
      </c>
      <c r="E1817">
        <v>40</v>
      </c>
      <c r="F1817">
        <v>39.978115082000002</v>
      </c>
      <c r="G1817">
        <v>1312.6993408000001</v>
      </c>
      <c r="H1817">
        <v>1304.2454834</v>
      </c>
      <c r="I1817">
        <v>1378.6823730000001</v>
      </c>
      <c r="J1817">
        <v>1362.6381836</v>
      </c>
      <c r="K1817">
        <v>0</v>
      </c>
      <c r="L1817">
        <v>1650</v>
      </c>
      <c r="M1817">
        <v>1650</v>
      </c>
      <c r="N1817">
        <v>0</v>
      </c>
    </row>
    <row r="1818" spans="1:14" x14ac:dyDescent="0.25">
      <c r="A1818">
        <v>1674.395479</v>
      </c>
      <c r="B1818" s="1">
        <f>DATE(2014,11,30) + TIME(9,29,29)</f>
        <v>41973.395474537036</v>
      </c>
      <c r="C1818">
        <v>80</v>
      </c>
      <c r="D1818">
        <v>77.416854857999994</v>
      </c>
      <c r="E1818">
        <v>40</v>
      </c>
      <c r="F1818">
        <v>39.978122710999997</v>
      </c>
      <c r="G1818">
        <v>1312.6480713000001</v>
      </c>
      <c r="H1818">
        <v>1304.1828613</v>
      </c>
      <c r="I1818">
        <v>1378.6823730000001</v>
      </c>
      <c r="J1818">
        <v>1362.6425781</v>
      </c>
      <c r="K1818">
        <v>0</v>
      </c>
      <c r="L1818">
        <v>1650</v>
      </c>
      <c r="M1818">
        <v>1650</v>
      </c>
      <c r="N1818">
        <v>0</v>
      </c>
    </row>
    <row r="1819" spans="1:14" x14ac:dyDescent="0.25">
      <c r="A1819">
        <v>1675</v>
      </c>
      <c r="B1819" s="1">
        <f>DATE(2014,12,1) + TIME(0,0,0)</f>
        <v>41974</v>
      </c>
      <c r="C1819">
        <v>80</v>
      </c>
      <c r="D1819">
        <v>77.356681824000006</v>
      </c>
      <c r="E1819">
        <v>40</v>
      </c>
      <c r="F1819">
        <v>39.978126525999997</v>
      </c>
      <c r="G1819">
        <v>1312.5953368999999</v>
      </c>
      <c r="H1819">
        <v>1304.121582</v>
      </c>
      <c r="I1819">
        <v>1378.6820068</v>
      </c>
      <c r="J1819">
        <v>1362.6463623</v>
      </c>
      <c r="K1819">
        <v>0</v>
      </c>
      <c r="L1819">
        <v>1650</v>
      </c>
      <c r="M1819">
        <v>1650</v>
      </c>
      <c r="N1819">
        <v>0</v>
      </c>
    </row>
    <row r="1820" spans="1:14" x14ac:dyDescent="0.25">
      <c r="A1820">
        <v>1676.404401</v>
      </c>
      <c r="B1820" s="1">
        <f>DATE(2014,12,2) + TIME(9,42,20)</f>
        <v>41975.404398148145</v>
      </c>
      <c r="C1820">
        <v>80</v>
      </c>
      <c r="D1820">
        <v>77.268569946</v>
      </c>
      <c r="E1820">
        <v>40</v>
      </c>
      <c r="F1820">
        <v>39.978137969999999</v>
      </c>
      <c r="G1820">
        <v>1312.5703125</v>
      </c>
      <c r="H1820">
        <v>1304.0864257999999</v>
      </c>
      <c r="I1820">
        <v>1378.6824951000001</v>
      </c>
      <c r="J1820">
        <v>1362.6485596</v>
      </c>
      <c r="K1820">
        <v>0</v>
      </c>
      <c r="L1820">
        <v>1650</v>
      </c>
      <c r="M1820">
        <v>1650</v>
      </c>
      <c r="N1820">
        <v>0</v>
      </c>
    </row>
    <row r="1821" spans="1:14" x14ac:dyDescent="0.25">
      <c r="A1821">
        <v>1677.8709249999999</v>
      </c>
      <c r="B1821" s="1">
        <f>DATE(2014,12,3) + TIME(20,54,7)</f>
        <v>41976.87091435185</v>
      </c>
      <c r="C1821">
        <v>80</v>
      </c>
      <c r="D1821">
        <v>77.173980713000006</v>
      </c>
      <c r="E1821">
        <v>40</v>
      </c>
      <c r="F1821">
        <v>39.978145599000001</v>
      </c>
      <c r="G1821">
        <v>1312.5152588000001</v>
      </c>
      <c r="H1821">
        <v>1304.0189209</v>
      </c>
      <c r="I1821">
        <v>1378.6828613</v>
      </c>
      <c r="J1821">
        <v>1362.652832</v>
      </c>
      <c r="K1821">
        <v>0</v>
      </c>
      <c r="L1821">
        <v>1650</v>
      </c>
      <c r="M1821">
        <v>1650</v>
      </c>
      <c r="N1821">
        <v>0</v>
      </c>
    </row>
    <row r="1822" spans="1:14" x14ac:dyDescent="0.25">
      <c r="A1822">
        <v>1679.391656</v>
      </c>
      <c r="B1822" s="1">
        <f>DATE(2014,12,5) + TIME(9,23,59)</f>
        <v>41978.391655092593</v>
      </c>
      <c r="C1822">
        <v>80</v>
      </c>
      <c r="D1822">
        <v>77.074989318999997</v>
      </c>
      <c r="E1822">
        <v>40</v>
      </c>
      <c r="F1822">
        <v>39.978157043000003</v>
      </c>
      <c r="G1822">
        <v>1312.456543</v>
      </c>
      <c r="H1822">
        <v>1303.9462891000001</v>
      </c>
      <c r="I1822">
        <v>1378.6832274999999</v>
      </c>
      <c r="J1822">
        <v>1362.6571045000001</v>
      </c>
      <c r="K1822">
        <v>0</v>
      </c>
      <c r="L1822">
        <v>1650</v>
      </c>
      <c r="M1822">
        <v>1650</v>
      </c>
      <c r="N1822">
        <v>0</v>
      </c>
    </row>
    <row r="1823" spans="1:14" x14ac:dyDescent="0.25">
      <c r="A1823">
        <v>1680.97901</v>
      </c>
      <c r="B1823" s="1">
        <f>DATE(2014,12,6) + TIME(23,29,46)</f>
        <v>41979.979004629633</v>
      </c>
      <c r="C1823">
        <v>80</v>
      </c>
      <c r="D1823">
        <v>76.972381592000005</v>
      </c>
      <c r="E1823">
        <v>40</v>
      </c>
      <c r="F1823">
        <v>39.978164673000002</v>
      </c>
      <c r="G1823">
        <v>1312.3945312000001</v>
      </c>
      <c r="H1823">
        <v>1303.8690185999999</v>
      </c>
      <c r="I1823">
        <v>1378.6838379000001</v>
      </c>
      <c r="J1823">
        <v>1362.661499</v>
      </c>
      <c r="K1823">
        <v>0</v>
      </c>
      <c r="L1823">
        <v>1650</v>
      </c>
      <c r="M1823">
        <v>1650</v>
      </c>
      <c r="N1823">
        <v>0</v>
      </c>
    </row>
    <row r="1824" spans="1:14" x14ac:dyDescent="0.25">
      <c r="A1824">
        <v>1682.619559</v>
      </c>
      <c r="B1824" s="1">
        <f>DATE(2014,12,8) + TIME(14,52,9)</f>
        <v>41981.61954861111</v>
      </c>
      <c r="C1824">
        <v>80</v>
      </c>
      <c r="D1824">
        <v>76.866882324000002</v>
      </c>
      <c r="E1824">
        <v>40</v>
      </c>
      <c r="F1824">
        <v>39.978176116999997</v>
      </c>
      <c r="G1824">
        <v>1312.3284911999999</v>
      </c>
      <c r="H1824">
        <v>1303.7866211</v>
      </c>
      <c r="I1824">
        <v>1378.6845702999999</v>
      </c>
      <c r="J1824">
        <v>1362.6660156</v>
      </c>
      <c r="K1824">
        <v>0</v>
      </c>
      <c r="L1824">
        <v>1650</v>
      </c>
      <c r="M1824">
        <v>1650</v>
      </c>
      <c r="N1824">
        <v>0</v>
      </c>
    </row>
    <row r="1825" spans="1:14" x14ac:dyDescent="0.25">
      <c r="A1825">
        <v>1684.2763259999999</v>
      </c>
      <c r="B1825" s="1">
        <f>DATE(2014,12,10) + TIME(6,37,54)</f>
        <v>41983.276319444441</v>
      </c>
      <c r="C1825">
        <v>80</v>
      </c>
      <c r="D1825">
        <v>76.759994507000002</v>
      </c>
      <c r="E1825">
        <v>40</v>
      </c>
      <c r="F1825">
        <v>39.978187560999999</v>
      </c>
      <c r="G1825">
        <v>1312.2590332</v>
      </c>
      <c r="H1825">
        <v>1303.6994629000001</v>
      </c>
      <c r="I1825">
        <v>1378.6854248</v>
      </c>
      <c r="J1825">
        <v>1362.6705322</v>
      </c>
      <c r="K1825">
        <v>0</v>
      </c>
      <c r="L1825">
        <v>1650</v>
      </c>
      <c r="M1825">
        <v>1650</v>
      </c>
      <c r="N1825">
        <v>0</v>
      </c>
    </row>
    <row r="1826" spans="1:14" x14ac:dyDescent="0.25">
      <c r="A1826">
        <v>1685.9589040000001</v>
      </c>
      <c r="B1826" s="1">
        <f>DATE(2014,12,11) + TIME(23,0,49)</f>
        <v>41984.95890046296</v>
      </c>
      <c r="C1826">
        <v>80</v>
      </c>
      <c r="D1826">
        <v>76.652450561999999</v>
      </c>
      <c r="E1826">
        <v>40</v>
      </c>
      <c r="F1826">
        <v>39.978199005</v>
      </c>
      <c r="G1826">
        <v>1312.1875</v>
      </c>
      <c r="H1826">
        <v>1303.6091309000001</v>
      </c>
      <c r="I1826">
        <v>1378.6862793</v>
      </c>
      <c r="J1826">
        <v>1362.6749268000001</v>
      </c>
      <c r="K1826">
        <v>0</v>
      </c>
      <c r="L1826">
        <v>1650</v>
      </c>
      <c r="M1826">
        <v>1650</v>
      </c>
      <c r="N1826">
        <v>0</v>
      </c>
    </row>
    <row r="1827" spans="1:14" x14ac:dyDescent="0.25">
      <c r="A1827">
        <v>1687.6770079999999</v>
      </c>
      <c r="B1827" s="1">
        <f>DATE(2014,12,13) + TIME(16,14,53)</f>
        <v>41986.677002314813</v>
      </c>
      <c r="C1827">
        <v>80</v>
      </c>
      <c r="D1827">
        <v>76.544219971000004</v>
      </c>
      <c r="E1827">
        <v>40</v>
      </c>
      <c r="F1827">
        <v>39.978210449000002</v>
      </c>
      <c r="G1827">
        <v>1312.1134033000001</v>
      </c>
      <c r="H1827">
        <v>1303.5152588000001</v>
      </c>
      <c r="I1827">
        <v>1378.6873779</v>
      </c>
      <c r="J1827">
        <v>1362.6793213000001</v>
      </c>
      <c r="K1827">
        <v>0</v>
      </c>
      <c r="L1827">
        <v>1650</v>
      </c>
      <c r="M1827">
        <v>1650</v>
      </c>
      <c r="N1827">
        <v>0</v>
      </c>
    </row>
    <row r="1828" spans="1:14" x14ac:dyDescent="0.25">
      <c r="A1828">
        <v>1689.4407389999999</v>
      </c>
      <c r="B1828" s="1">
        <f>DATE(2014,12,15) + TIME(10,34,39)</f>
        <v>41988.440729166665</v>
      </c>
      <c r="C1828">
        <v>80</v>
      </c>
      <c r="D1828">
        <v>76.434944153000004</v>
      </c>
      <c r="E1828">
        <v>40</v>
      </c>
      <c r="F1828">
        <v>39.978225707999997</v>
      </c>
      <c r="G1828">
        <v>1312.0363769999999</v>
      </c>
      <c r="H1828">
        <v>1303.4171143000001</v>
      </c>
      <c r="I1828">
        <v>1378.6885986</v>
      </c>
      <c r="J1828">
        <v>1362.6837158000001</v>
      </c>
      <c r="K1828">
        <v>0</v>
      </c>
      <c r="L1828">
        <v>1650</v>
      </c>
      <c r="M1828">
        <v>1650</v>
      </c>
      <c r="N1828">
        <v>0</v>
      </c>
    </row>
    <row r="1829" spans="1:14" x14ac:dyDescent="0.25">
      <c r="A1829">
        <v>1691.2607519999999</v>
      </c>
      <c r="B1829" s="1">
        <f>DATE(2014,12,17) + TIME(6,15,28)</f>
        <v>41990.260740740741</v>
      </c>
      <c r="C1829">
        <v>80</v>
      </c>
      <c r="D1829">
        <v>76.324096679999997</v>
      </c>
      <c r="E1829">
        <v>40</v>
      </c>
      <c r="F1829">
        <v>39.978237151999998</v>
      </c>
      <c r="G1829">
        <v>1311.9559326000001</v>
      </c>
      <c r="H1829">
        <v>1303.3142089999999</v>
      </c>
      <c r="I1829">
        <v>1378.6898193</v>
      </c>
      <c r="J1829">
        <v>1362.6882324000001</v>
      </c>
      <c r="K1829">
        <v>0</v>
      </c>
      <c r="L1829">
        <v>1650</v>
      </c>
      <c r="M1829">
        <v>1650</v>
      </c>
      <c r="N1829">
        <v>0</v>
      </c>
    </row>
    <row r="1830" spans="1:14" x14ac:dyDescent="0.25">
      <c r="A1830">
        <v>1693.1492499999999</v>
      </c>
      <c r="B1830" s="1">
        <f>DATE(2014,12,19) + TIME(3,34,55)</f>
        <v>41992.149247685185</v>
      </c>
      <c r="C1830">
        <v>80</v>
      </c>
      <c r="D1830">
        <v>76.211090088000006</v>
      </c>
      <c r="E1830">
        <v>40</v>
      </c>
      <c r="F1830">
        <v>39.978248596</v>
      </c>
      <c r="G1830">
        <v>1311.8713379000001</v>
      </c>
      <c r="H1830">
        <v>1303.2056885</v>
      </c>
      <c r="I1830">
        <v>1378.6912841999999</v>
      </c>
      <c r="J1830">
        <v>1362.692749</v>
      </c>
      <c r="K1830">
        <v>0</v>
      </c>
      <c r="L1830">
        <v>1650</v>
      </c>
      <c r="M1830">
        <v>1650</v>
      </c>
      <c r="N1830">
        <v>0</v>
      </c>
    </row>
    <row r="1831" spans="1:14" x14ac:dyDescent="0.25">
      <c r="A1831">
        <v>1695.092764</v>
      </c>
      <c r="B1831" s="1">
        <f>DATE(2014,12,21) + TIME(2,13,34)</f>
        <v>41994.09275462963</v>
      </c>
      <c r="C1831">
        <v>80</v>
      </c>
      <c r="D1831">
        <v>76.095855713000006</v>
      </c>
      <c r="E1831">
        <v>40</v>
      </c>
      <c r="F1831">
        <v>39.978263855000002</v>
      </c>
      <c r="G1831">
        <v>1311.7821045000001</v>
      </c>
      <c r="H1831">
        <v>1303.0905762</v>
      </c>
      <c r="I1831">
        <v>1378.692749</v>
      </c>
      <c r="J1831">
        <v>1362.6972656</v>
      </c>
      <c r="K1831">
        <v>0</v>
      </c>
      <c r="L1831">
        <v>1650</v>
      </c>
      <c r="M1831">
        <v>1650</v>
      </c>
      <c r="N1831">
        <v>0</v>
      </c>
    </row>
    <row r="1832" spans="1:14" x14ac:dyDescent="0.25">
      <c r="A1832">
        <v>1697.054476</v>
      </c>
      <c r="B1832" s="1">
        <f>DATE(2014,12,23) + TIME(1,18,26)</f>
        <v>41996.054467592592</v>
      </c>
      <c r="C1832">
        <v>80</v>
      </c>
      <c r="D1832">
        <v>75.979377747000001</v>
      </c>
      <c r="E1832">
        <v>40</v>
      </c>
      <c r="F1832">
        <v>39.978279114000003</v>
      </c>
      <c r="G1832">
        <v>1311.6884766000001</v>
      </c>
      <c r="H1832">
        <v>1302.9696045000001</v>
      </c>
      <c r="I1832">
        <v>1378.6943358999999</v>
      </c>
      <c r="J1832">
        <v>1362.7017822</v>
      </c>
      <c r="K1832">
        <v>0</v>
      </c>
      <c r="L1832">
        <v>1650</v>
      </c>
      <c r="M1832">
        <v>1650</v>
      </c>
      <c r="N1832">
        <v>0</v>
      </c>
    </row>
    <row r="1833" spans="1:14" x14ac:dyDescent="0.25">
      <c r="A1833">
        <v>1699.044817</v>
      </c>
      <c r="B1833" s="1">
        <f>DATE(2014,12,25) + TIME(1,4,32)</f>
        <v>41998.044814814813</v>
      </c>
      <c r="C1833">
        <v>80</v>
      </c>
      <c r="D1833">
        <v>75.862281799000002</v>
      </c>
      <c r="E1833">
        <v>40</v>
      </c>
      <c r="F1833">
        <v>39.978294372999997</v>
      </c>
      <c r="G1833">
        <v>1311.5920410000001</v>
      </c>
      <c r="H1833">
        <v>1302.8443603999999</v>
      </c>
      <c r="I1833">
        <v>1378.6959228999999</v>
      </c>
      <c r="J1833">
        <v>1362.7062988</v>
      </c>
      <c r="K1833">
        <v>0</v>
      </c>
      <c r="L1833">
        <v>1650</v>
      </c>
      <c r="M1833">
        <v>1650</v>
      </c>
      <c r="N1833">
        <v>0</v>
      </c>
    </row>
    <row r="1834" spans="1:14" x14ac:dyDescent="0.25">
      <c r="A1834">
        <v>1701.0743150000001</v>
      </c>
      <c r="B1834" s="1">
        <f>DATE(2014,12,27) + TIME(1,47,0)</f>
        <v>42000.074305555558</v>
      </c>
      <c r="C1834">
        <v>80</v>
      </c>
      <c r="D1834">
        <v>75.744384765999996</v>
      </c>
      <c r="E1834">
        <v>40</v>
      </c>
      <c r="F1834">
        <v>39.978309631000002</v>
      </c>
      <c r="G1834">
        <v>1311.4923096</v>
      </c>
      <c r="H1834">
        <v>1302.7143555</v>
      </c>
      <c r="I1834">
        <v>1378.6977539</v>
      </c>
      <c r="J1834">
        <v>1362.7108154</v>
      </c>
      <c r="K1834">
        <v>0</v>
      </c>
      <c r="L1834">
        <v>1650</v>
      </c>
      <c r="M1834">
        <v>1650</v>
      </c>
      <c r="N1834">
        <v>0</v>
      </c>
    </row>
    <row r="1835" spans="1:14" x14ac:dyDescent="0.25">
      <c r="A1835">
        <v>1703.1542119999999</v>
      </c>
      <c r="B1835" s="1">
        <f>DATE(2014,12,29) + TIME(3,42,3)</f>
        <v>42002.15420138889</v>
      </c>
      <c r="C1835">
        <v>80</v>
      </c>
      <c r="D1835">
        <v>75.625205993999998</v>
      </c>
      <c r="E1835">
        <v>40</v>
      </c>
      <c r="F1835">
        <v>39.978324890000003</v>
      </c>
      <c r="G1835">
        <v>1311.3887939000001</v>
      </c>
      <c r="H1835">
        <v>1302.5789795000001</v>
      </c>
      <c r="I1835">
        <v>1378.6994629000001</v>
      </c>
      <c r="J1835">
        <v>1362.7152100000001</v>
      </c>
      <c r="K1835">
        <v>0</v>
      </c>
      <c r="L1835">
        <v>1650</v>
      </c>
      <c r="M1835">
        <v>1650</v>
      </c>
      <c r="N1835">
        <v>0</v>
      </c>
    </row>
    <row r="1836" spans="1:14" x14ac:dyDescent="0.25">
      <c r="A1836">
        <v>1705.2963709999999</v>
      </c>
      <c r="B1836" s="1">
        <f>DATE(2014,12,31) + TIME(7,6,46)</f>
        <v>42004.296365740738</v>
      </c>
      <c r="C1836">
        <v>80</v>
      </c>
      <c r="D1836">
        <v>75.504119872999993</v>
      </c>
      <c r="E1836">
        <v>40</v>
      </c>
      <c r="F1836">
        <v>39.978340148999997</v>
      </c>
      <c r="G1836">
        <v>1311.2808838000001</v>
      </c>
      <c r="H1836">
        <v>1302.4371338000001</v>
      </c>
      <c r="I1836">
        <v>1378.7012939000001</v>
      </c>
      <c r="J1836">
        <v>1362.7197266000001</v>
      </c>
      <c r="K1836">
        <v>0</v>
      </c>
      <c r="L1836">
        <v>1650</v>
      </c>
      <c r="M1836">
        <v>1650</v>
      </c>
      <c r="N1836">
        <v>0</v>
      </c>
    </row>
    <row r="1837" spans="1:14" x14ac:dyDescent="0.25">
      <c r="A1837">
        <v>1706</v>
      </c>
      <c r="B1837" s="1">
        <f>DATE(2015,1,1) + TIME(0,0,0)</f>
        <v>42005</v>
      </c>
      <c r="C1837">
        <v>80</v>
      </c>
      <c r="D1837">
        <v>75.434158324999999</v>
      </c>
      <c r="E1837">
        <v>40</v>
      </c>
      <c r="F1837">
        <v>39.978343963999997</v>
      </c>
      <c r="G1837">
        <v>1311.1732178</v>
      </c>
      <c r="H1837">
        <v>1302.3022461</v>
      </c>
      <c r="I1837">
        <v>1378.7023925999999</v>
      </c>
      <c r="J1837">
        <v>1362.7233887</v>
      </c>
      <c r="K1837">
        <v>0</v>
      </c>
      <c r="L1837">
        <v>1650</v>
      </c>
      <c r="M1837">
        <v>1650</v>
      </c>
      <c r="N1837">
        <v>0</v>
      </c>
    </row>
    <row r="1838" spans="1:14" x14ac:dyDescent="0.25">
      <c r="A1838">
        <v>1708.203473</v>
      </c>
      <c r="B1838" s="1">
        <f>DATE(2015,1,3) + TIME(4,53,0)</f>
        <v>42007.203472222223</v>
      </c>
      <c r="C1838">
        <v>80</v>
      </c>
      <c r="D1838">
        <v>75.329856872999997</v>
      </c>
      <c r="E1838">
        <v>40</v>
      </c>
      <c r="F1838">
        <v>39.978363037000001</v>
      </c>
      <c r="G1838">
        <v>1311.1254882999999</v>
      </c>
      <c r="H1838">
        <v>1302.2298584</v>
      </c>
      <c r="I1838">
        <v>1378.7039795000001</v>
      </c>
      <c r="J1838">
        <v>1362.7257079999999</v>
      </c>
      <c r="K1838">
        <v>0</v>
      </c>
      <c r="L1838">
        <v>1650</v>
      </c>
      <c r="M1838">
        <v>1650</v>
      </c>
      <c r="N1838">
        <v>0</v>
      </c>
    </row>
    <row r="1839" spans="1:14" x14ac:dyDescent="0.25">
      <c r="A1839">
        <v>1710.4573170000001</v>
      </c>
      <c r="B1839" s="1">
        <f>DATE(2015,1,5) + TIME(10,58,32)</f>
        <v>42009.457314814812</v>
      </c>
      <c r="C1839">
        <v>80</v>
      </c>
      <c r="D1839">
        <v>75.211143493999998</v>
      </c>
      <c r="E1839">
        <v>40</v>
      </c>
      <c r="F1839">
        <v>39.978382111000002</v>
      </c>
      <c r="G1839">
        <v>1311.0092772999999</v>
      </c>
      <c r="H1839">
        <v>1302.0776367000001</v>
      </c>
      <c r="I1839">
        <v>1378.7059326000001</v>
      </c>
      <c r="J1839">
        <v>1362.7301024999999</v>
      </c>
      <c r="K1839">
        <v>0</v>
      </c>
      <c r="L1839">
        <v>1650</v>
      </c>
      <c r="M1839">
        <v>1650</v>
      </c>
      <c r="N1839">
        <v>0</v>
      </c>
    </row>
    <row r="1840" spans="1:14" x14ac:dyDescent="0.25">
      <c r="A1840">
        <v>1712.7391170000001</v>
      </c>
      <c r="B1840" s="1">
        <f>DATE(2015,1,7) + TIME(17,44,19)</f>
        <v>42011.739108796297</v>
      </c>
      <c r="C1840">
        <v>80</v>
      </c>
      <c r="D1840">
        <v>75.086288452000005</v>
      </c>
      <c r="E1840">
        <v>40</v>
      </c>
      <c r="F1840">
        <v>39.978397369</v>
      </c>
      <c r="G1840">
        <v>1310.8863524999999</v>
      </c>
      <c r="H1840">
        <v>1301.9150391000001</v>
      </c>
      <c r="I1840">
        <v>1378.7078856999999</v>
      </c>
      <c r="J1840">
        <v>1362.7346190999999</v>
      </c>
      <c r="K1840">
        <v>0</v>
      </c>
      <c r="L1840">
        <v>1650</v>
      </c>
      <c r="M1840">
        <v>1650</v>
      </c>
      <c r="N1840">
        <v>0</v>
      </c>
    </row>
    <row r="1841" spans="1:14" x14ac:dyDescent="0.25">
      <c r="A1841">
        <v>1715.0603229999999</v>
      </c>
      <c r="B1841" s="1">
        <f>DATE(2015,1,10) + TIME(1,26,51)</f>
        <v>42014.060312499998</v>
      </c>
      <c r="C1841">
        <v>80</v>
      </c>
      <c r="D1841">
        <v>74.958358765</v>
      </c>
      <c r="E1841">
        <v>40</v>
      </c>
      <c r="F1841">
        <v>39.978416443</v>
      </c>
      <c r="G1841">
        <v>1310.7587891000001</v>
      </c>
      <c r="H1841">
        <v>1301.7453613</v>
      </c>
      <c r="I1841">
        <v>1378.7099608999999</v>
      </c>
      <c r="J1841">
        <v>1362.7390137</v>
      </c>
      <c r="K1841">
        <v>0</v>
      </c>
      <c r="L1841">
        <v>1650</v>
      </c>
      <c r="M1841">
        <v>1650</v>
      </c>
      <c r="N1841">
        <v>0</v>
      </c>
    </row>
    <row r="1842" spans="1:14" x14ac:dyDescent="0.25">
      <c r="A1842">
        <v>1717.4327619999999</v>
      </c>
      <c r="B1842" s="1">
        <f>DATE(2015,1,12) + TIME(10,23,10)</f>
        <v>42016.432754629626</v>
      </c>
      <c r="C1842">
        <v>80</v>
      </c>
      <c r="D1842">
        <v>74.827827454000001</v>
      </c>
      <c r="E1842">
        <v>40</v>
      </c>
      <c r="F1842">
        <v>39.978435515999998</v>
      </c>
      <c r="G1842">
        <v>1310.6267089999999</v>
      </c>
      <c r="H1842">
        <v>1301.5688477000001</v>
      </c>
      <c r="I1842">
        <v>1378.7120361</v>
      </c>
      <c r="J1842">
        <v>1362.7432861</v>
      </c>
      <c r="K1842">
        <v>0</v>
      </c>
      <c r="L1842">
        <v>1650</v>
      </c>
      <c r="M1842">
        <v>1650</v>
      </c>
      <c r="N1842">
        <v>0</v>
      </c>
    </row>
    <row r="1843" spans="1:14" x14ac:dyDescent="0.25">
      <c r="A1843">
        <v>1719.869369</v>
      </c>
      <c r="B1843" s="1">
        <f>DATE(2015,1,14) + TIME(20,51,53)</f>
        <v>42018.869363425925</v>
      </c>
      <c r="C1843">
        <v>80</v>
      </c>
      <c r="D1843">
        <v>74.694442749000004</v>
      </c>
      <c r="E1843">
        <v>40</v>
      </c>
      <c r="F1843">
        <v>39.978454589999998</v>
      </c>
      <c r="G1843">
        <v>1310.4893798999999</v>
      </c>
      <c r="H1843">
        <v>1301.3846435999999</v>
      </c>
      <c r="I1843">
        <v>1378.7141113</v>
      </c>
      <c r="J1843">
        <v>1362.7476807</v>
      </c>
      <c r="K1843">
        <v>0</v>
      </c>
      <c r="L1843">
        <v>1650</v>
      </c>
      <c r="M1843">
        <v>1650</v>
      </c>
      <c r="N1843">
        <v>0</v>
      </c>
    </row>
    <row r="1844" spans="1:14" x14ac:dyDescent="0.25">
      <c r="A1844">
        <v>1722.3444050000001</v>
      </c>
      <c r="B1844" s="1">
        <f>DATE(2015,1,17) + TIME(8,15,56)</f>
        <v>42021.344398148147</v>
      </c>
      <c r="C1844">
        <v>80</v>
      </c>
      <c r="D1844">
        <v>74.558166503999999</v>
      </c>
      <c r="E1844">
        <v>40</v>
      </c>
      <c r="F1844">
        <v>39.978473663000003</v>
      </c>
      <c r="G1844">
        <v>1310.3461914</v>
      </c>
      <c r="H1844">
        <v>1301.1922606999999</v>
      </c>
      <c r="I1844">
        <v>1378.7161865</v>
      </c>
      <c r="J1844">
        <v>1362.7520752</v>
      </c>
      <c r="K1844">
        <v>0</v>
      </c>
      <c r="L1844">
        <v>1650</v>
      </c>
      <c r="M1844">
        <v>1650</v>
      </c>
      <c r="N1844">
        <v>0</v>
      </c>
    </row>
    <row r="1845" spans="1:14" x14ac:dyDescent="0.25">
      <c r="A1845">
        <v>1724.863222</v>
      </c>
      <c r="B1845" s="1">
        <f>DATE(2015,1,19) + TIME(20,43,2)</f>
        <v>42023.863217592596</v>
      </c>
      <c r="C1845">
        <v>80</v>
      </c>
      <c r="D1845">
        <v>74.419219971000004</v>
      </c>
      <c r="E1845">
        <v>40</v>
      </c>
      <c r="F1845">
        <v>39.978492737000003</v>
      </c>
      <c r="G1845">
        <v>1310.1982422000001</v>
      </c>
      <c r="H1845">
        <v>1300.9927978999999</v>
      </c>
      <c r="I1845">
        <v>1378.7182617000001</v>
      </c>
      <c r="J1845">
        <v>1362.7563477000001</v>
      </c>
      <c r="K1845">
        <v>0</v>
      </c>
      <c r="L1845">
        <v>1650</v>
      </c>
      <c r="M1845">
        <v>1650</v>
      </c>
      <c r="N1845">
        <v>0</v>
      </c>
    </row>
    <row r="1846" spans="1:14" x14ac:dyDescent="0.25">
      <c r="A1846">
        <v>1727.4245659999999</v>
      </c>
      <c r="B1846" s="1">
        <f>DATE(2015,1,22) + TIME(10,11,22)</f>
        <v>42026.424560185187</v>
      </c>
      <c r="C1846">
        <v>80</v>
      </c>
      <c r="D1846">
        <v>74.277435303000004</v>
      </c>
      <c r="E1846">
        <v>40</v>
      </c>
      <c r="F1846">
        <v>39.978511810000001</v>
      </c>
      <c r="G1846">
        <v>1310.0452881000001</v>
      </c>
      <c r="H1846">
        <v>1300.7860106999999</v>
      </c>
      <c r="I1846">
        <v>1378.7203368999999</v>
      </c>
      <c r="J1846">
        <v>1362.7606201000001</v>
      </c>
      <c r="K1846">
        <v>0</v>
      </c>
      <c r="L1846">
        <v>1650</v>
      </c>
      <c r="M1846">
        <v>1650</v>
      </c>
      <c r="N1846">
        <v>0</v>
      </c>
    </row>
    <row r="1847" spans="1:14" x14ac:dyDescent="0.25">
      <c r="A1847">
        <v>1730.0256879999999</v>
      </c>
      <c r="B1847" s="1">
        <f>DATE(2015,1,25) + TIME(0,36,59)</f>
        <v>42029.025682870371</v>
      </c>
      <c r="C1847">
        <v>80</v>
      </c>
      <c r="D1847">
        <v>74.132644653</v>
      </c>
      <c r="E1847">
        <v>40</v>
      </c>
      <c r="F1847">
        <v>39.978534697999997</v>
      </c>
      <c r="G1847">
        <v>1309.8874512</v>
      </c>
      <c r="H1847">
        <v>1300.5720214999999</v>
      </c>
      <c r="I1847">
        <v>1378.7224120999999</v>
      </c>
      <c r="J1847">
        <v>1362.7647704999999</v>
      </c>
      <c r="K1847">
        <v>0</v>
      </c>
      <c r="L1847">
        <v>1650</v>
      </c>
      <c r="M1847">
        <v>1650</v>
      </c>
      <c r="N1847">
        <v>0</v>
      </c>
    </row>
    <row r="1848" spans="1:14" x14ac:dyDescent="0.25">
      <c r="A1848">
        <v>1732.679296</v>
      </c>
      <c r="B1848" s="1">
        <f>DATE(2015,1,27) + TIME(16,18,11)</f>
        <v>42031.679293981484</v>
      </c>
      <c r="C1848">
        <v>80</v>
      </c>
      <c r="D1848">
        <v>73.984428406000006</v>
      </c>
      <c r="E1848">
        <v>40</v>
      </c>
      <c r="F1848">
        <v>39.978553771999998</v>
      </c>
      <c r="G1848">
        <v>1309.7247314000001</v>
      </c>
      <c r="H1848">
        <v>1300.3507079999999</v>
      </c>
      <c r="I1848">
        <v>1378.7243652</v>
      </c>
      <c r="J1848">
        <v>1362.7687988</v>
      </c>
      <c r="K1848">
        <v>0</v>
      </c>
      <c r="L1848">
        <v>1650</v>
      </c>
      <c r="M1848">
        <v>1650</v>
      </c>
      <c r="N1848">
        <v>0</v>
      </c>
    </row>
    <row r="1849" spans="1:14" x14ac:dyDescent="0.25">
      <c r="A1849">
        <v>1735.3989140000001</v>
      </c>
      <c r="B1849" s="1">
        <f>DATE(2015,1,30) + TIME(9,34,26)</f>
        <v>42034.398912037039</v>
      </c>
      <c r="C1849">
        <v>80</v>
      </c>
      <c r="D1849">
        <v>73.831924438000001</v>
      </c>
      <c r="E1849">
        <v>40</v>
      </c>
      <c r="F1849">
        <v>39.978576660000002</v>
      </c>
      <c r="G1849">
        <v>1309.5565185999999</v>
      </c>
      <c r="H1849">
        <v>1300.1212158000001</v>
      </c>
      <c r="I1849">
        <v>1378.7264404</v>
      </c>
      <c r="J1849">
        <v>1362.7728271000001</v>
      </c>
      <c r="K1849">
        <v>0</v>
      </c>
      <c r="L1849">
        <v>1650</v>
      </c>
      <c r="M1849">
        <v>1650</v>
      </c>
      <c r="N1849">
        <v>0</v>
      </c>
    </row>
    <row r="1850" spans="1:14" x14ac:dyDescent="0.25">
      <c r="A1850">
        <v>1737</v>
      </c>
      <c r="B1850" s="1">
        <f>DATE(2015,2,1) + TIME(0,0,0)</f>
        <v>42036</v>
      </c>
      <c r="C1850">
        <v>80</v>
      </c>
      <c r="D1850">
        <v>73.702758789000001</v>
      </c>
      <c r="E1850">
        <v>40</v>
      </c>
      <c r="F1850">
        <v>39.978588104000004</v>
      </c>
      <c r="G1850">
        <v>1309.3864745999999</v>
      </c>
      <c r="H1850">
        <v>1299.8934326000001</v>
      </c>
      <c r="I1850">
        <v>1378.7277832</v>
      </c>
      <c r="J1850">
        <v>1362.7763672000001</v>
      </c>
      <c r="K1850">
        <v>0</v>
      </c>
      <c r="L1850">
        <v>1650</v>
      </c>
      <c r="M1850">
        <v>1650</v>
      </c>
      <c r="N1850">
        <v>0</v>
      </c>
    </row>
    <row r="1851" spans="1:14" x14ac:dyDescent="0.25">
      <c r="A1851">
        <v>1739.786685</v>
      </c>
      <c r="B1851" s="1">
        <f>DATE(2015,2,3) + TIME(18,52,49)</f>
        <v>42038.786678240744</v>
      </c>
      <c r="C1851">
        <v>80</v>
      </c>
      <c r="D1851">
        <v>73.569458007999998</v>
      </c>
      <c r="E1851">
        <v>40</v>
      </c>
      <c r="F1851">
        <v>39.978610992</v>
      </c>
      <c r="G1851">
        <v>1309.2698975000001</v>
      </c>
      <c r="H1851">
        <v>1299.7254639</v>
      </c>
      <c r="I1851">
        <v>1378.7294922000001</v>
      </c>
      <c r="J1851">
        <v>1362.7791748</v>
      </c>
      <c r="K1851">
        <v>0</v>
      </c>
      <c r="L1851">
        <v>1650</v>
      </c>
      <c r="M1851">
        <v>1650</v>
      </c>
      <c r="N1851">
        <v>0</v>
      </c>
    </row>
    <row r="1852" spans="1:14" x14ac:dyDescent="0.25">
      <c r="A1852">
        <v>1742.610451</v>
      </c>
      <c r="B1852" s="1">
        <f>DATE(2015,2,6) + TIME(14,39,2)</f>
        <v>42041.610439814816</v>
      </c>
      <c r="C1852">
        <v>80</v>
      </c>
      <c r="D1852">
        <v>73.412811278999996</v>
      </c>
      <c r="E1852">
        <v>40</v>
      </c>
      <c r="F1852">
        <v>39.978630066000001</v>
      </c>
      <c r="G1852">
        <v>1309.0926514</v>
      </c>
      <c r="H1852">
        <v>1299.4846190999999</v>
      </c>
      <c r="I1852">
        <v>1378.7312012</v>
      </c>
      <c r="J1852">
        <v>1362.7829589999999</v>
      </c>
      <c r="K1852">
        <v>0</v>
      </c>
      <c r="L1852">
        <v>1650</v>
      </c>
      <c r="M1852">
        <v>1650</v>
      </c>
      <c r="N1852">
        <v>0</v>
      </c>
    </row>
    <row r="1853" spans="1:14" x14ac:dyDescent="0.25">
      <c r="A1853">
        <v>1745.474121</v>
      </c>
      <c r="B1853" s="1">
        <f>DATE(2015,2,9) + TIME(11,22,44)</f>
        <v>42044.474120370367</v>
      </c>
      <c r="C1853">
        <v>80</v>
      </c>
      <c r="D1853">
        <v>73.245712280000006</v>
      </c>
      <c r="E1853">
        <v>40</v>
      </c>
      <c r="F1853">
        <v>39.978652953999998</v>
      </c>
      <c r="G1853">
        <v>1308.9067382999999</v>
      </c>
      <c r="H1853">
        <v>1299.2294922000001</v>
      </c>
      <c r="I1853">
        <v>1378.7327881000001</v>
      </c>
      <c r="J1853">
        <v>1362.7866211</v>
      </c>
      <c r="K1853">
        <v>0</v>
      </c>
      <c r="L1853">
        <v>1650</v>
      </c>
      <c r="M1853">
        <v>1650</v>
      </c>
      <c r="N1853">
        <v>0</v>
      </c>
    </row>
    <row r="1854" spans="1:14" x14ac:dyDescent="0.25">
      <c r="A1854">
        <v>1748.3909160000001</v>
      </c>
      <c r="B1854" s="1">
        <f>DATE(2015,2,12) + TIME(9,22,55)</f>
        <v>42047.390914351854</v>
      </c>
      <c r="C1854">
        <v>80</v>
      </c>
      <c r="D1854">
        <v>73.071411132999998</v>
      </c>
      <c r="E1854">
        <v>40</v>
      </c>
      <c r="F1854">
        <v>39.978675842000001</v>
      </c>
      <c r="G1854">
        <v>1308.7148437999999</v>
      </c>
      <c r="H1854">
        <v>1298.9647216999999</v>
      </c>
      <c r="I1854">
        <v>1378.734375</v>
      </c>
      <c r="J1854">
        <v>1362.7901611</v>
      </c>
      <c r="K1854">
        <v>0</v>
      </c>
      <c r="L1854">
        <v>1650</v>
      </c>
      <c r="M1854">
        <v>1650</v>
      </c>
      <c r="N1854">
        <v>0</v>
      </c>
    </row>
    <row r="1855" spans="1:14" x14ac:dyDescent="0.25">
      <c r="A1855">
        <v>1751.374998</v>
      </c>
      <c r="B1855" s="1">
        <f>DATE(2015,2,15) + TIME(8,59,59)</f>
        <v>42050.374988425923</v>
      </c>
      <c r="C1855">
        <v>80</v>
      </c>
      <c r="D1855">
        <v>72.889930724999999</v>
      </c>
      <c r="E1855">
        <v>40</v>
      </c>
      <c r="F1855">
        <v>39.978698729999998</v>
      </c>
      <c r="G1855">
        <v>1308.5168457</v>
      </c>
      <c r="H1855">
        <v>1298.6907959</v>
      </c>
      <c r="I1855">
        <v>1378.7358397999999</v>
      </c>
      <c r="J1855">
        <v>1362.7937012</v>
      </c>
      <c r="K1855">
        <v>0</v>
      </c>
      <c r="L1855">
        <v>1650</v>
      </c>
      <c r="M1855">
        <v>1650</v>
      </c>
      <c r="N1855">
        <v>0</v>
      </c>
    </row>
    <row r="1856" spans="1:14" x14ac:dyDescent="0.25">
      <c r="A1856">
        <v>1754.412298</v>
      </c>
      <c r="B1856" s="1">
        <f>DATE(2015,2,18) + TIME(9,53,42)</f>
        <v>42053.412291666667</v>
      </c>
      <c r="C1856">
        <v>80</v>
      </c>
      <c r="D1856">
        <v>72.700737000000004</v>
      </c>
      <c r="E1856">
        <v>40</v>
      </c>
      <c r="F1856">
        <v>39.978725433000001</v>
      </c>
      <c r="G1856">
        <v>1308.3123779</v>
      </c>
      <c r="H1856">
        <v>1298.4072266000001</v>
      </c>
      <c r="I1856">
        <v>1378.7370605000001</v>
      </c>
      <c r="J1856">
        <v>1362.7969971</v>
      </c>
      <c r="K1856">
        <v>0</v>
      </c>
      <c r="L1856">
        <v>1650</v>
      </c>
      <c r="M1856">
        <v>1650</v>
      </c>
      <c r="N1856">
        <v>0</v>
      </c>
    </row>
    <row r="1857" spans="1:14" x14ac:dyDescent="0.25">
      <c r="A1857">
        <v>1757.472381</v>
      </c>
      <c r="B1857" s="1">
        <f>DATE(2015,2,21) + TIME(11,20,13)</f>
        <v>42056.472372685188</v>
      </c>
      <c r="C1857">
        <v>80</v>
      </c>
      <c r="D1857">
        <v>72.504158020000006</v>
      </c>
      <c r="E1857">
        <v>40</v>
      </c>
      <c r="F1857">
        <v>39.978748322000001</v>
      </c>
      <c r="G1857">
        <v>1308.1021728999999</v>
      </c>
      <c r="H1857">
        <v>1298.1149902</v>
      </c>
      <c r="I1857">
        <v>1378.7382812000001</v>
      </c>
      <c r="J1857">
        <v>1362.8001709</v>
      </c>
      <c r="K1857">
        <v>0</v>
      </c>
      <c r="L1857">
        <v>1650</v>
      </c>
      <c r="M1857">
        <v>1650</v>
      </c>
      <c r="N1857">
        <v>0</v>
      </c>
    </row>
    <row r="1858" spans="1:14" x14ac:dyDescent="0.25">
      <c r="A1858">
        <v>1760.569786</v>
      </c>
      <c r="B1858" s="1">
        <f>DATE(2015,2,24) + TIME(13,40,29)</f>
        <v>42059.569780092592</v>
      </c>
      <c r="C1858">
        <v>80</v>
      </c>
      <c r="D1858">
        <v>72.300559997999997</v>
      </c>
      <c r="E1858">
        <v>40</v>
      </c>
      <c r="F1858">
        <v>39.978771209999998</v>
      </c>
      <c r="G1858">
        <v>1307.8881836</v>
      </c>
      <c r="H1858">
        <v>1297.8164062000001</v>
      </c>
      <c r="I1858">
        <v>1378.7392577999999</v>
      </c>
      <c r="J1858">
        <v>1362.8031006000001</v>
      </c>
      <c r="K1858">
        <v>0</v>
      </c>
      <c r="L1858">
        <v>1650</v>
      </c>
      <c r="M1858">
        <v>1650</v>
      </c>
      <c r="N1858">
        <v>0</v>
      </c>
    </row>
    <row r="1859" spans="1:14" x14ac:dyDescent="0.25">
      <c r="A1859">
        <v>1763.718335</v>
      </c>
      <c r="B1859" s="1">
        <f>DATE(2015,2,27) + TIME(17,14,24)</f>
        <v>42062.718333333331</v>
      </c>
      <c r="C1859">
        <v>80</v>
      </c>
      <c r="D1859">
        <v>72.088981627999999</v>
      </c>
      <c r="E1859">
        <v>40</v>
      </c>
      <c r="F1859">
        <v>39.978794098000002</v>
      </c>
      <c r="G1859">
        <v>1307.6696777</v>
      </c>
      <c r="H1859">
        <v>1297.5108643000001</v>
      </c>
      <c r="I1859">
        <v>1378.7399902</v>
      </c>
      <c r="J1859">
        <v>1362.8059082</v>
      </c>
      <c r="K1859">
        <v>0</v>
      </c>
      <c r="L1859">
        <v>1650</v>
      </c>
      <c r="M1859">
        <v>1650</v>
      </c>
      <c r="N1859">
        <v>0</v>
      </c>
    </row>
    <row r="1860" spans="1:14" x14ac:dyDescent="0.25">
      <c r="A1860">
        <v>1765</v>
      </c>
      <c r="B1860" s="1">
        <f>DATE(2015,3,1) + TIME(0,0,0)</f>
        <v>42064</v>
      </c>
      <c r="C1860">
        <v>80</v>
      </c>
      <c r="D1860">
        <v>71.930038452000005</v>
      </c>
      <c r="E1860">
        <v>40</v>
      </c>
      <c r="F1860">
        <v>39.978805542000003</v>
      </c>
      <c r="G1860">
        <v>1307.4559326000001</v>
      </c>
      <c r="H1860">
        <v>1297.2225341999999</v>
      </c>
      <c r="I1860">
        <v>1378.7397461</v>
      </c>
      <c r="J1860">
        <v>1362.8077393000001</v>
      </c>
      <c r="K1860">
        <v>0</v>
      </c>
      <c r="L1860">
        <v>1650</v>
      </c>
      <c r="M1860">
        <v>1650</v>
      </c>
      <c r="N1860">
        <v>0</v>
      </c>
    </row>
    <row r="1861" spans="1:14" x14ac:dyDescent="0.25">
      <c r="A1861">
        <v>1768.214336</v>
      </c>
      <c r="B1861" s="1">
        <f>DATE(2015,3,4) + TIME(5,8,38)</f>
        <v>42067.214328703703</v>
      </c>
      <c r="C1861">
        <v>80</v>
      </c>
      <c r="D1861">
        <v>71.757690429999997</v>
      </c>
      <c r="E1861">
        <v>40</v>
      </c>
      <c r="F1861">
        <v>39.97882843</v>
      </c>
      <c r="G1861">
        <v>1307.3410644999999</v>
      </c>
      <c r="H1861">
        <v>1297.0438231999999</v>
      </c>
      <c r="I1861">
        <v>1378.7408447</v>
      </c>
      <c r="J1861">
        <v>1362.8095702999999</v>
      </c>
      <c r="K1861">
        <v>0</v>
      </c>
      <c r="L1861">
        <v>1650</v>
      </c>
      <c r="M1861">
        <v>1650</v>
      </c>
      <c r="N1861">
        <v>0</v>
      </c>
    </row>
    <row r="1862" spans="1:14" x14ac:dyDescent="0.25">
      <c r="A1862">
        <v>1771.48865</v>
      </c>
      <c r="B1862" s="1">
        <f>DATE(2015,3,7) + TIME(11,43,39)</f>
        <v>42070.488645833335</v>
      </c>
      <c r="C1862">
        <v>80</v>
      </c>
      <c r="D1862">
        <v>71.536605835000003</v>
      </c>
      <c r="E1862">
        <v>40</v>
      </c>
      <c r="F1862">
        <v>39.978855133000003</v>
      </c>
      <c r="G1862">
        <v>1307.1204834</v>
      </c>
      <c r="H1862">
        <v>1296.7379149999999</v>
      </c>
      <c r="I1862">
        <v>1378.7409668</v>
      </c>
      <c r="J1862">
        <v>1362.8117675999999</v>
      </c>
      <c r="K1862">
        <v>0</v>
      </c>
      <c r="L1862">
        <v>1650</v>
      </c>
      <c r="M1862">
        <v>1650</v>
      </c>
      <c r="N1862">
        <v>0</v>
      </c>
    </row>
    <row r="1863" spans="1:14" x14ac:dyDescent="0.25">
      <c r="A1863">
        <v>1774.79439</v>
      </c>
      <c r="B1863" s="1">
        <f>DATE(2015,3,10) + TIME(19,3,55)</f>
        <v>42073.794386574074</v>
      </c>
      <c r="C1863">
        <v>80</v>
      </c>
      <c r="D1863">
        <v>71.294677734000004</v>
      </c>
      <c r="E1863">
        <v>40</v>
      </c>
      <c r="F1863">
        <v>39.978878021</v>
      </c>
      <c r="G1863">
        <v>1306.887207</v>
      </c>
      <c r="H1863">
        <v>1296.4101562000001</v>
      </c>
      <c r="I1863">
        <v>1378.7409668</v>
      </c>
      <c r="J1863">
        <v>1362.8138428</v>
      </c>
      <c r="K1863">
        <v>0</v>
      </c>
      <c r="L1863">
        <v>1650</v>
      </c>
      <c r="M1863">
        <v>1650</v>
      </c>
      <c r="N1863">
        <v>0</v>
      </c>
    </row>
    <row r="1864" spans="1:14" x14ac:dyDescent="0.25">
      <c r="A1864">
        <v>1778.1461139999999</v>
      </c>
      <c r="B1864" s="1">
        <f>DATE(2015,3,14) + TIME(3,30,24)</f>
        <v>42077.146111111113</v>
      </c>
      <c r="C1864">
        <v>80</v>
      </c>
      <c r="D1864">
        <v>71.039619446000003</v>
      </c>
      <c r="E1864">
        <v>40</v>
      </c>
      <c r="F1864">
        <v>39.978904724000003</v>
      </c>
      <c r="G1864">
        <v>1306.6483154</v>
      </c>
      <c r="H1864">
        <v>1296.0725098</v>
      </c>
      <c r="I1864">
        <v>1378.7406006000001</v>
      </c>
      <c r="J1864">
        <v>1362.8156738</v>
      </c>
      <c r="K1864">
        <v>0</v>
      </c>
      <c r="L1864">
        <v>1650</v>
      </c>
      <c r="M1864">
        <v>1650</v>
      </c>
      <c r="N1864">
        <v>0</v>
      </c>
    </row>
    <row r="1865" spans="1:14" x14ac:dyDescent="0.25">
      <c r="A1865">
        <v>1781.5586370000001</v>
      </c>
      <c r="B1865" s="1">
        <f>DATE(2015,3,17) + TIME(13,24,26)</f>
        <v>42080.558634259258</v>
      </c>
      <c r="C1865">
        <v>80</v>
      </c>
      <c r="D1865">
        <v>70.772171021000005</v>
      </c>
      <c r="E1865">
        <v>40</v>
      </c>
      <c r="F1865">
        <v>39.978931426999999</v>
      </c>
      <c r="G1865">
        <v>1306.4045410000001</v>
      </c>
      <c r="H1865">
        <v>1295.7268065999999</v>
      </c>
      <c r="I1865">
        <v>1378.7401123</v>
      </c>
      <c r="J1865">
        <v>1362.8171387</v>
      </c>
      <c r="K1865">
        <v>0</v>
      </c>
      <c r="L1865">
        <v>1650</v>
      </c>
      <c r="M1865">
        <v>1650</v>
      </c>
      <c r="N1865">
        <v>0</v>
      </c>
    </row>
    <row r="1866" spans="1:14" x14ac:dyDescent="0.25">
      <c r="A1866">
        <v>1785.0312249999999</v>
      </c>
      <c r="B1866" s="1">
        <f>DATE(2015,3,21) + TIME(0,44,57)</f>
        <v>42084.031215277777</v>
      </c>
      <c r="C1866">
        <v>80</v>
      </c>
      <c r="D1866">
        <v>70.491546631000006</v>
      </c>
      <c r="E1866">
        <v>40</v>
      </c>
      <c r="F1866">
        <v>39.978954315000003</v>
      </c>
      <c r="G1866">
        <v>1306.1555175999999</v>
      </c>
      <c r="H1866">
        <v>1295.3728027</v>
      </c>
      <c r="I1866">
        <v>1378.7392577999999</v>
      </c>
      <c r="J1866">
        <v>1362.8184814000001</v>
      </c>
      <c r="K1866">
        <v>0</v>
      </c>
      <c r="L1866">
        <v>1650</v>
      </c>
      <c r="M1866">
        <v>1650</v>
      </c>
      <c r="N1866">
        <v>0</v>
      </c>
    </row>
    <row r="1867" spans="1:14" x14ac:dyDescent="0.25">
      <c r="A1867">
        <v>1788.5282159999999</v>
      </c>
      <c r="B1867" s="1">
        <f>DATE(2015,3,24) + TIME(12,40,37)</f>
        <v>42087.52820601852</v>
      </c>
      <c r="C1867">
        <v>80</v>
      </c>
      <c r="D1867">
        <v>70.197837829999997</v>
      </c>
      <c r="E1867">
        <v>40</v>
      </c>
      <c r="F1867">
        <v>39.978981017999999</v>
      </c>
      <c r="G1867">
        <v>1305.9016113</v>
      </c>
      <c r="H1867">
        <v>1295.0108643000001</v>
      </c>
      <c r="I1867">
        <v>1378.7380370999999</v>
      </c>
      <c r="J1867">
        <v>1362.8194579999999</v>
      </c>
      <c r="K1867">
        <v>0</v>
      </c>
      <c r="L1867">
        <v>1650</v>
      </c>
      <c r="M1867">
        <v>1650</v>
      </c>
      <c r="N1867">
        <v>0</v>
      </c>
    </row>
    <row r="1868" spans="1:14" x14ac:dyDescent="0.25">
      <c r="A1868">
        <v>1792.065859</v>
      </c>
      <c r="B1868" s="1">
        <f>DATE(2015,3,28) + TIME(1,34,50)</f>
        <v>42091.06585648148</v>
      </c>
      <c r="C1868">
        <v>80</v>
      </c>
      <c r="D1868">
        <v>69.891708374000004</v>
      </c>
      <c r="E1868">
        <v>40</v>
      </c>
      <c r="F1868">
        <v>39.979007721000002</v>
      </c>
      <c r="G1868">
        <v>1305.6450195</v>
      </c>
      <c r="H1868">
        <v>1294.6437988</v>
      </c>
      <c r="I1868">
        <v>1378.7364502</v>
      </c>
      <c r="J1868">
        <v>1362.8200684000001</v>
      </c>
      <c r="K1868">
        <v>0</v>
      </c>
      <c r="L1868">
        <v>1650</v>
      </c>
      <c r="M1868">
        <v>1650</v>
      </c>
      <c r="N1868">
        <v>0</v>
      </c>
    </row>
    <row r="1869" spans="1:14" x14ac:dyDescent="0.25">
      <c r="A1869">
        <v>1795.6593379999999</v>
      </c>
      <c r="B1869" s="1">
        <f>DATE(2015,3,31) + TIME(15,49,26)</f>
        <v>42094.659328703703</v>
      </c>
      <c r="C1869">
        <v>80</v>
      </c>
      <c r="D1869">
        <v>69.571876525999997</v>
      </c>
      <c r="E1869">
        <v>40</v>
      </c>
      <c r="F1869">
        <v>39.979034423999998</v>
      </c>
      <c r="G1869">
        <v>1305.3852539</v>
      </c>
      <c r="H1869">
        <v>1294.2712402</v>
      </c>
      <c r="I1869">
        <v>1378.7346190999999</v>
      </c>
      <c r="J1869">
        <v>1362.8204346</v>
      </c>
      <c r="K1869">
        <v>0</v>
      </c>
      <c r="L1869">
        <v>1650</v>
      </c>
      <c r="M1869">
        <v>1650</v>
      </c>
      <c r="N1869">
        <v>0</v>
      </c>
    </row>
    <row r="1870" spans="1:14" x14ac:dyDescent="0.25">
      <c r="A1870">
        <v>1796</v>
      </c>
      <c r="B1870" s="1">
        <f>DATE(2015,4,1) + TIME(0,0,0)</f>
        <v>42095</v>
      </c>
      <c r="C1870">
        <v>80</v>
      </c>
      <c r="D1870">
        <v>69.466865540000001</v>
      </c>
      <c r="E1870">
        <v>40</v>
      </c>
      <c r="F1870">
        <v>39.979034423999998</v>
      </c>
      <c r="G1870">
        <v>1305.1469727000001</v>
      </c>
      <c r="H1870">
        <v>1293.9708252</v>
      </c>
      <c r="I1870">
        <v>1378.730957</v>
      </c>
      <c r="J1870">
        <v>1362.8189697</v>
      </c>
      <c r="K1870">
        <v>0</v>
      </c>
      <c r="L1870">
        <v>1650</v>
      </c>
      <c r="M1870">
        <v>1650</v>
      </c>
      <c r="N187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2022-06-27T07:23:49Z</dcterms:created>
  <dcterms:modified xsi:type="dcterms:W3CDTF">2022-06-27T07:24:16Z</dcterms:modified>
</cp:coreProperties>
</file>