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48D2FF7E-4304-420C-A7A9-F5BA44BADAA2}" xr6:coauthVersionLast="47" xr6:coauthVersionMax="47" xr10:uidLastSave="{00000000-0000-0000-0000-000000000000}"/>
  <bookViews>
    <workbookView xWindow="1455" yWindow="1605" windowWidth="21600" windowHeight="11385" xr2:uid="{1E343BFE-F46D-4B2D-800A-A2547DC9453C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84" i="1" l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<sst xmlns="http://schemas.openxmlformats.org/spreadsheetml/2006/main" count="15" uniqueCount="15">
  <si>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MODEL\SCENARIOS\2022\Parameterstudy_perm_storV_dT\perm50_V1000_dt30.sr3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</si>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</sst>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BE130-7F2A-42FE-844A-533586A0B1F3}" name="Table1" displayName="Table1" ref="A3:N2584" totalsRowShown="0">
  <autoFilter ref="A3:N2584" xr:uid="{75BBE130-7F2A-42FE-844A-533586A0B1F3}"/>
  <tableColumns count="14">
    <tableColumn id="1" xr3:uid="{530D7500-8BC8-47C2-A67A-87B09BE75440}" name="Time (day)"/>
    <tableColumn id="2" xr3:uid="{2633BF33-55FB-4203-879E-E36B6C2E75D1}" name="Date" dataDxfId="0"/>
    <tableColumn id="3" xr3:uid="{C6F0557C-56ED-4E5A-850A-8379B449B5A9}" name="Hot well INJ-Well bottom hole temperature (C)"/>
    <tableColumn id="4" xr3:uid="{7583D2DE-935C-45E5-A733-56FBAE658E05}" name="Hot well PROD-Well bottom hole temperature (C)"/>
    <tableColumn id="5" xr3:uid="{178F5EFF-1931-4213-80C8-B81ABDF61938}" name="Warm well INJ-Well bottom hole temperature (C)"/>
    <tableColumn id="6" xr3:uid="{A0E0B585-7E9B-4A55-A036-1D67A627D690}" name="Warm well PROD-Well bottom hole temperature (C)"/>
    <tableColumn id="7" xr3:uid="{DFFC3209-CA37-45E0-9436-2EC96D02E2DD}" name="Hot well INJ-Well Bottom-hole Pressure (kPa)"/>
    <tableColumn id="8" xr3:uid="{E19C02EC-6386-48C9-93CC-7F31F320F2CD}" name="Hot well PROD-Well Bottom-hole Pressure (kPa)"/>
    <tableColumn id="9" xr3:uid="{B6092680-E110-4CC3-ABF6-7463635E529D}" name="Warm well INJ-Well Bottom-hole Pressure (kPa)"/>
    <tableColumn id="10" xr3:uid="{E5F15843-EF90-415A-8544-AC4752D3347E}" name="Warm well PROD-Well Bottom-hole Pressure (kPa)"/>
    <tableColumn id="11" xr3:uid="{90B2E124-CCEF-44AC-93A5-DF84F5766127}" name="Hot well INJ-Fluid Rate SC (m³/day)"/>
    <tableColumn id="12" xr3:uid="{34D380D1-866D-4454-BD6B-050B66D29130}" name="Hot well PROD-Fluid Rate SC (m³/day)"/>
    <tableColumn id="13" xr3:uid="{9BB7AAA7-9EED-4B27-BFC0-2C509D8C9273}" name="Warm well INJ-Fluid Rate SC (m³/day)"/>
    <tableColumn id="14" xr3:uid="{DA35FEE5-E867-4CB9-9973-07506B40BFE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8303-0E7F-4193-AF0D-DC8BDA134423}">
  <dimension ref="A1:N258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15.000131607</v>
      </c>
      <c r="E4">
        <v>50</v>
      </c>
      <c r="F4">
        <v>14.999952316</v>
      </c>
      <c r="G4">
        <v>1338.9113769999999</v>
      </c>
      <c r="H4">
        <v>1329.8762207</v>
      </c>
      <c r="I4">
        <v>1328.9450684000001</v>
      </c>
      <c r="J4">
        <v>1319.9091797000001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15.000496864</v>
      </c>
      <c r="E5">
        <v>50</v>
      </c>
      <c r="F5">
        <v>14.999839783000001</v>
      </c>
      <c r="G5">
        <v>1340.0058594</v>
      </c>
      <c r="H5">
        <v>1330.9708252</v>
      </c>
      <c r="I5">
        <v>1327.8552245999999</v>
      </c>
      <c r="J5">
        <v>1318.8193358999999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50</v>
      </c>
      <c r="F6">
        <v>14.999640465000001</v>
      </c>
      <c r="G6">
        <v>1341.9567870999999</v>
      </c>
      <c r="H6">
        <v>1332.9219971</v>
      </c>
      <c r="I6">
        <v>1325.9124756000001</v>
      </c>
      <c r="J6">
        <v>1316.8767089999999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15.003980637</v>
      </c>
      <c r="E7">
        <v>50</v>
      </c>
      <c r="F7">
        <v>14.999383926</v>
      </c>
      <c r="G7">
        <v>1344.4617920000001</v>
      </c>
      <c r="H7">
        <v>1335.4276123</v>
      </c>
      <c r="I7">
        <v>1323.4176024999999</v>
      </c>
      <c r="J7">
        <v>1314.3818358999999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15.011054038999999</v>
      </c>
      <c r="E8">
        <v>50</v>
      </c>
      <c r="F8">
        <v>14.999115944</v>
      </c>
      <c r="G8">
        <v>1347.0718993999999</v>
      </c>
      <c r="H8">
        <v>1338.0393065999999</v>
      </c>
      <c r="I8">
        <v>1320.8164062000001</v>
      </c>
      <c r="J8">
        <v>1311.7806396000001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15.031731605999999</v>
      </c>
      <c r="E9">
        <v>50</v>
      </c>
      <c r="F9">
        <v>14.998850822</v>
      </c>
      <c r="G9">
        <v>1349.6595459</v>
      </c>
      <c r="H9">
        <v>1340.6318358999999</v>
      </c>
      <c r="I9">
        <v>1318.2326660000001</v>
      </c>
      <c r="J9">
        <v>1309.1968993999999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15.093171119999999</v>
      </c>
      <c r="E10">
        <v>50</v>
      </c>
      <c r="F10">
        <v>14.998588562</v>
      </c>
      <c r="G10">
        <v>1352.203125</v>
      </c>
      <c r="H10">
        <v>1343.1898193</v>
      </c>
      <c r="I10">
        <v>1315.6782227000001</v>
      </c>
      <c r="J10">
        <v>1306.6425781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15.276465416000001</v>
      </c>
      <c r="E11">
        <v>50</v>
      </c>
      <c r="F11">
        <v>14.998351097</v>
      </c>
      <c r="G11">
        <v>1354.4891356999999</v>
      </c>
      <c r="H11">
        <v>1345.5184326000001</v>
      </c>
      <c r="I11">
        <v>1313.3480225000001</v>
      </c>
      <c r="J11">
        <v>1304.3123779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15.821878433</v>
      </c>
      <c r="E12">
        <v>50</v>
      </c>
      <c r="F12">
        <v>14.998196602</v>
      </c>
      <c r="G12">
        <v>1355.9573975000001</v>
      </c>
      <c r="H12">
        <v>1347.1113281</v>
      </c>
      <c r="I12">
        <v>1311.7897949000001</v>
      </c>
      <c r="J12">
        <v>1302.7541504000001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2.1870000000000001E-2</v>
      </c>
      <c r="B13" s="1">
        <f>DATE(2010,5,1) + TIME(0,31,29)</f>
        <v>40299.021863425929</v>
      </c>
      <c r="C13">
        <v>80</v>
      </c>
      <c r="D13">
        <v>16.808685303000001</v>
      </c>
      <c r="E13">
        <v>50</v>
      </c>
      <c r="F13">
        <v>14.998154639999999</v>
      </c>
      <c r="G13">
        <v>1356.2701416</v>
      </c>
      <c r="H13">
        <v>1347.6392822</v>
      </c>
      <c r="I13">
        <v>1311.2938231999999</v>
      </c>
      <c r="J13">
        <v>1302.2581786999999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3.4061000000000001E-2</v>
      </c>
      <c r="B14" s="1">
        <f>DATE(2010,5,1) + TIME(0,49,2)</f>
        <v>40299.034050925926</v>
      </c>
      <c r="C14">
        <v>80</v>
      </c>
      <c r="D14">
        <v>17.796859740999999</v>
      </c>
      <c r="E14">
        <v>50</v>
      </c>
      <c r="F14">
        <v>14.998153687</v>
      </c>
      <c r="G14">
        <v>1356.1430664</v>
      </c>
      <c r="H14">
        <v>1347.7115478999999</v>
      </c>
      <c r="I14">
        <v>1311.2076416</v>
      </c>
      <c r="J14">
        <v>1302.171875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4.6397000000000001E-2</v>
      </c>
      <c r="B15" s="1">
        <f>DATE(2010,5,1) + TIME(1,6,48)</f>
        <v>40299.046388888892</v>
      </c>
      <c r="C15">
        <v>80</v>
      </c>
      <c r="D15">
        <v>18.784952164</v>
      </c>
      <c r="E15">
        <v>50</v>
      </c>
      <c r="F15">
        <v>14.998160362</v>
      </c>
      <c r="G15">
        <v>1355.9163818</v>
      </c>
      <c r="H15">
        <v>1347.6746826000001</v>
      </c>
      <c r="I15">
        <v>1311.1971435999999</v>
      </c>
      <c r="J15">
        <v>1302.1612548999999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5.8881999999999997E-2</v>
      </c>
      <c r="B16" s="1">
        <f>DATE(2010,5,1) + TIME(1,24,47)</f>
        <v>40299.058877314812</v>
      </c>
      <c r="C16">
        <v>80</v>
      </c>
      <c r="D16">
        <v>19.772932053000002</v>
      </c>
      <c r="E16">
        <v>50</v>
      </c>
      <c r="F16">
        <v>14.998167992000001</v>
      </c>
      <c r="G16">
        <v>1355.6726074000001</v>
      </c>
      <c r="H16">
        <v>1347.6119385</v>
      </c>
      <c r="I16">
        <v>1311.1986084</v>
      </c>
      <c r="J16">
        <v>1302.1627197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7.1517999999999998E-2</v>
      </c>
      <c r="B17" s="1">
        <f>DATE(2010,5,1) + TIME(1,42,59)</f>
        <v>40299.071516203701</v>
      </c>
      <c r="C17">
        <v>80</v>
      </c>
      <c r="D17">
        <v>20.761461258000001</v>
      </c>
      <c r="E17">
        <v>50</v>
      </c>
      <c r="F17">
        <v>14.998175621</v>
      </c>
      <c r="G17">
        <v>1355.4331055</v>
      </c>
      <c r="H17">
        <v>1347.5451660000001</v>
      </c>
      <c r="I17">
        <v>1311.2008057</v>
      </c>
      <c r="J17">
        <v>1302.1649170000001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8.4302000000000002E-2</v>
      </c>
      <c r="B18" s="1">
        <f>DATE(2010,5,1) + TIME(2,1,23)</f>
        <v>40299.084293981483</v>
      </c>
      <c r="C18">
        <v>80</v>
      </c>
      <c r="D18">
        <v>21.749406815</v>
      </c>
      <c r="E18">
        <v>50</v>
      </c>
      <c r="F18">
        <v>14.99818325</v>
      </c>
      <c r="G18">
        <v>1355.2039795000001</v>
      </c>
      <c r="H18">
        <v>1347.4805908000001</v>
      </c>
      <c r="I18">
        <v>1311.2022704999999</v>
      </c>
      <c r="J18">
        <v>1302.1663818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9.7240999999999994E-2</v>
      </c>
      <c r="B19" s="1">
        <f>DATE(2010,5,1) + TIME(2,20,1)</f>
        <v>40299.097233796296</v>
      </c>
      <c r="C19">
        <v>80</v>
      </c>
      <c r="D19">
        <v>22.737010955999999</v>
      </c>
      <c r="E19">
        <v>50</v>
      </c>
      <c r="F19">
        <v>14.998190879999999</v>
      </c>
      <c r="G19">
        <v>1354.9864502</v>
      </c>
      <c r="H19">
        <v>1347.4200439000001</v>
      </c>
      <c r="I19">
        <v>1311.2033690999999</v>
      </c>
      <c r="J19">
        <v>1302.1674805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0.110343</v>
      </c>
      <c r="B20" s="1">
        <f>DATE(2010,5,1) + TIME(2,38,53)</f>
        <v>40299.110335648147</v>
      </c>
      <c r="C20">
        <v>80</v>
      </c>
      <c r="D20">
        <v>23.724458693999999</v>
      </c>
      <c r="E20">
        <v>50</v>
      </c>
      <c r="F20">
        <v>14.998198509</v>
      </c>
      <c r="G20">
        <v>1354.7805175999999</v>
      </c>
      <c r="H20">
        <v>1347.3638916</v>
      </c>
      <c r="I20">
        <v>1311.2042236</v>
      </c>
      <c r="J20">
        <v>1302.1682129000001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0.123611</v>
      </c>
      <c r="B21" s="1">
        <f>DATE(2010,5,1) + TIME(2,57,59)</f>
        <v>40299.123599537037</v>
      </c>
      <c r="C21">
        <v>80</v>
      </c>
      <c r="D21">
        <v>24.711740494000001</v>
      </c>
      <c r="E21">
        <v>50</v>
      </c>
      <c r="F21">
        <v>14.998206139000001</v>
      </c>
      <c r="G21">
        <v>1354.5859375</v>
      </c>
      <c r="H21">
        <v>1347.3122559000001</v>
      </c>
      <c r="I21">
        <v>1311.2049560999999</v>
      </c>
      <c r="J21">
        <v>1302.1689452999999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0.13705000000000001</v>
      </c>
      <c r="B22" s="1">
        <f>DATE(2010,5,1) + TIME(3,17,21)</f>
        <v>40299.137048611112</v>
      </c>
      <c r="C22">
        <v>80</v>
      </c>
      <c r="D22">
        <v>25.699321746999999</v>
      </c>
      <c r="E22">
        <v>50</v>
      </c>
      <c r="F22">
        <v>14.998213767999999</v>
      </c>
      <c r="G22">
        <v>1354.4019774999999</v>
      </c>
      <c r="H22">
        <v>1347.2650146000001</v>
      </c>
      <c r="I22">
        <v>1311.2055664</v>
      </c>
      <c r="J22">
        <v>1302.1695557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0.15065799999999999</v>
      </c>
      <c r="B23" s="1">
        <f>DATE(2010,5,1) + TIME(3,36,56)</f>
        <v>40299.150648148148</v>
      </c>
      <c r="C23">
        <v>80</v>
      </c>
      <c r="D23">
        <v>26.686454773000001</v>
      </c>
      <c r="E23">
        <v>50</v>
      </c>
      <c r="F23">
        <v>14.998221397</v>
      </c>
      <c r="G23">
        <v>1354.2285156</v>
      </c>
      <c r="H23">
        <v>1347.2220459</v>
      </c>
      <c r="I23">
        <v>1311.2061768000001</v>
      </c>
      <c r="J23">
        <v>1302.1700439000001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0.16444400000000001</v>
      </c>
      <c r="B24" s="1">
        <f>DATE(2010,5,1) + TIME(3,56,47)</f>
        <v>40299.16443287037</v>
      </c>
      <c r="C24">
        <v>80</v>
      </c>
      <c r="D24">
        <v>27.673200606999998</v>
      </c>
      <c r="E24">
        <v>50</v>
      </c>
      <c r="F24">
        <v>14.998229027000001</v>
      </c>
      <c r="G24">
        <v>1354.0648193</v>
      </c>
      <c r="H24">
        <v>1347.1831055</v>
      </c>
      <c r="I24">
        <v>1311.2066649999999</v>
      </c>
      <c r="J24">
        <v>1302.1705322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0.17841399999999999</v>
      </c>
      <c r="B25" s="1">
        <f>DATE(2010,5,1) + TIME(4,16,54)</f>
        <v>40299.178402777776</v>
      </c>
      <c r="C25">
        <v>80</v>
      </c>
      <c r="D25">
        <v>28.659732818999998</v>
      </c>
      <c r="E25">
        <v>50</v>
      </c>
      <c r="F25">
        <v>14.998236656</v>
      </c>
      <c r="G25">
        <v>1353.9106445</v>
      </c>
      <c r="H25">
        <v>1347.1479492000001</v>
      </c>
      <c r="I25">
        <v>1311.2071533000001</v>
      </c>
      <c r="J25">
        <v>1302.1710204999999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0.192576</v>
      </c>
      <c r="B26" s="1">
        <f>DATE(2010,5,1) + TIME(4,37,18)</f>
        <v>40299.192569444444</v>
      </c>
      <c r="C26">
        <v>80</v>
      </c>
      <c r="D26">
        <v>29.646034240999999</v>
      </c>
      <c r="E26">
        <v>50</v>
      </c>
      <c r="F26">
        <v>14.998244286</v>
      </c>
      <c r="G26">
        <v>1353.7652588000001</v>
      </c>
      <c r="H26">
        <v>1347.1165771000001</v>
      </c>
      <c r="I26">
        <v>1311.2077637</v>
      </c>
      <c r="J26">
        <v>1302.1715088000001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0.20693400000000001</v>
      </c>
      <c r="B27" s="1">
        <f>DATE(2010,5,1) + TIME(4,57,59)</f>
        <v>40299.206932870373</v>
      </c>
      <c r="C27">
        <v>80</v>
      </c>
      <c r="D27">
        <v>30.632234573000002</v>
      </c>
      <c r="E27">
        <v>50</v>
      </c>
      <c r="F27">
        <v>14.998251915000001</v>
      </c>
      <c r="G27">
        <v>1353.628418</v>
      </c>
      <c r="H27">
        <v>1347.0887451000001</v>
      </c>
      <c r="I27">
        <v>1311.2082519999999</v>
      </c>
      <c r="J27">
        <v>1302.171875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0.221493</v>
      </c>
      <c r="B28" s="1">
        <f>DATE(2010,5,1) + TIME(5,18,56)</f>
        <v>40299.22148148148</v>
      </c>
      <c r="C28">
        <v>80</v>
      </c>
      <c r="D28">
        <v>31.618118286000001</v>
      </c>
      <c r="E28">
        <v>50</v>
      </c>
      <c r="F28">
        <v>14.998259544</v>
      </c>
      <c r="G28">
        <v>1353.4998779</v>
      </c>
      <c r="H28">
        <v>1347.0643310999999</v>
      </c>
      <c r="I28">
        <v>1311.2086182</v>
      </c>
      <c r="J28">
        <v>1302.1723632999999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0.23626</v>
      </c>
      <c r="B29" s="1">
        <f>DATE(2010,5,1) + TIME(5,40,12)</f>
        <v>40299.236250000002</v>
      </c>
      <c r="C29">
        <v>80</v>
      </c>
      <c r="D29">
        <v>32.603645325000002</v>
      </c>
      <c r="E29">
        <v>50</v>
      </c>
      <c r="F29">
        <v>14.998267174</v>
      </c>
      <c r="G29">
        <v>1353.3789062000001</v>
      </c>
      <c r="H29">
        <v>1347.0432129000001</v>
      </c>
      <c r="I29">
        <v>1311.2091064000001</v>
      </c>
      <c r="J29">
        <v>1302.1727295000001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0.251245</v>
      </c>
      <c r="B30" s="1">
        <f>DATE(2010,5,1) + TIME(6,1,47)</f>
        <v>40299.251238425924</v>
      </c>
      <c r="C30">
        <v>80</v>
      </c>
      <c r="D30">
        <v>33.588874816999997</v>
      </c>
      <c r="E30">
        <v>50</v>
      </c>
      <c r="F30">
        <v>14.998274802999999</v>
      </c>
      <c r="G30">
        <v>1353.2653809000001</v>
      </c>
      <c r="H30">
        <v>1347.0251464999999</v>
      </c>
      <c r="I30">
        <v>1311.2094727000001</v>
      </c>
      <c r="J30">
        <v>1302.1730957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0.26645400000000002</v>
      </c>
      <c r="B31" s="1">
        <f>DATE(2010,5,1) + TIME(6,23,41)</f>
        <v>40299.266446759262</v>
      </c>
      <c r="C31">
        <v>80</v>
      </c>
      <c r="D31">
        <v>34.573787689</v>
      </c>
      <c r="E31">
        <v>50</v>
      </c>
      <c r="F31">
        <v>14.998282433</v>
      </c>
      <c r="G31">
        <v>1353.1589355000001</v>
      </c>
      <c r="H31">
        <v>1347.0101318</v>
      </c>
      <c r="I31">
        <v>1311.2099608999999</v>
      </c>
      <c r="J31">
        <v>1302.1733397999999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0.28189599999999998</v>
      </c>
      <c r="B32" s="1">
        <f>DATE(2010,5,1) + TIME(6,45,55)</f>
        <v>40299.281886574077</v>
      </c>
      <c r="C32">
        <v>80</v>
      </c>
      <c r="D32">
        <v>35.558361052999999</v>
      </c>
      <c r="E32">
        <v>50</v>
      </c>
      <c r="F32">
        <v>14.998290062000001</v>
      </c>
      <c r="G32">
        <v>1353.0592041</v>
      </c>
      <c r="H32">
        <v>1346.9979248</v>
      </c>
      <c r="I32">
        <v>1311.2103271000001</v>
      </c>
      <c r="J32">
        <v>1302.1737060999999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0.29758000000000001</v>
      </c>
      <c r="B33" s="1">
        <f>DATE(2010,5,1) + TIME(7,8,30)</f>
        <v>40299.297569444447</v>
      </c>
      <c r="C33">
        <v>80</v>
      </c>
      <c r="D33">
        <v>36.542575835999997</v>
      </c>
      <c r="E33">
        <v>50</v>
      </c>
      <c r="F33">
        <v>14.998297690999999</v>
      </c>
      <c r="G33">
        <v>1352.9658202999999</v>
      </c>
      <c r="H33">
        <v>1346.9884033000001</v>
      </c>
      <c r="I33">
        <v>1311.2106934000001</v>
      </c>
      <c r="J33">
        <v>1302.1739502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0.31351499999999999</v>
      </c>
      <c r="B34" s="1">
        <f>DATE(2010,5,1) + TIME(7,31,27)</f>
        <v>40299.313506944447</v>
      </c>
      <c r="C34">
        <v>80</v>
      </c>
      <c r="D34">
        <v>37.526405334000003</v>
      </c>
      <c r="E34">
        <v>50</v>
      </c>
      <c r="F34">
        <v>14.998305321</v>
      </c>
      <c r="G34">
        <v>1352.8786620999999</v>
      </c>
      <c r="H34">
        <v>1346.9814452999999</v>
      </c>
      <c r="I34">
        <v>1311.2110596</v>
      </c>
      <c r="J34">
        <v>1302.1743164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0.32971200000000001</v>
      </c>
      <c r="B35" s="1">
        <f>DATE(2010,5,1) + TIME(7,54,47)</f>
        <v>40299.329710648148</v>
      </c>
      <c r="C35">
        <v>80</v>
      </c>
      <c r="D35">
        <v>38.509826660000002</v>
      </c>
      <c r="E35">
        <v>50</v>
      </c>
      <c r="F35">
        <v>14.998312950000001</v>
      </c>
      <c r="G35">
        <v>1352.7972411999999</v>
      </c>
      <c r="H35">
        <v>1346.9770507999999</v>
      </c>
      <c r="I35">
        <v>1311.2114257999999</v>
      </c>
      <c r="J35">
        <v>1302.1745605000001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0.34618300000000002</v>
      </c>
      <c r="B36" s="1">
        <f>DATE(2010,5,1) + TIME(8,18,30)</f>
        <v>40299.346180555556</v>
      </c>
      <c r="C36">
        <v>80</v>
      </c>
      <c r="D36">
        <v>39.492809295999997</v>
      </c>
      <c r="E36">
        <v>50</v>
      </c>
      <c r="F36">
        <v>14.99832058</v>
      </c>
      <c r="G36">
        <v>1352.7214355000001</v>
      </c>
      <c r="H36">
        <v>1346.9749756000001</v>
      </c>
      <c r="I36">
        <v>1311.2116699000001</v>
      </c>
      <c r="J36">
        <v>1302.1748047000001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0.36293799999999998</v>
      </c>
      <c r="B37" s="1">
        <f>DATE(2010,5,1) + TIME(8,42,37)</f>
        <v>40299.362928240742</v>
      </c>
      <c r="C37">
        <v>80</v>
      </c>
      <c r="D37">
        <v>40.475444793999998</v>
      </c>
      <c r="E37">
        <v>50</v>
      </c>
      <c r="F37">
        <v>14.998327255</v>
      </c>
      <c r="G37">
        <v>1352.651001</v>
      </c>
      <c r="H37">
        <v>1346.9752197</v>
      </c>
      <c r="I37">
        <v>1311.2120361</v>
      </c>
      <c r="J37">
        <v>1302.1750488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0.37998999999999999</v>
      </c>
      <c r="B38" s="1">
        <f>DATE(2010,5,1) + TIME(9,7,11)</f>
        <v>40299.379988425928</v>
      </c>
      <c r="C38">
        <v>80</v>
      </c>
      <c r="D38">
        <v>41.457595824999999</v>
      </c>
      <c r="E38">
        <v>50</v>
      </c>
      <c r="F38">
        <v>14.998334885</v>
      </c>
      <c r="G38">
        <v>1352.5855713000001</v>
      </c>
      <c r="H38">
        <v>1346.9775391000001</v>
      </c>
      <c r="I38">
        <v>1311.2122803</v>
      </c>
      <c r="J38">
        <v>1302.1751709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0.39735199999999998</v>
      </c>
      <c r="B39" s="1">
        <f>DATE(2010,5,1) + TIME(9,32,11)</f>
        <v>40299.397349537037</v>
      </c>
      <c r="C39">
        <v>80</v>
      </c>
      <c r="D39">
        <v>42.439109801999997</v>
      </c>
      <c r="E39">
        <v>50</v>
      </c>
      <c r="F39">
        <v>14.998342514000001</v>
      </c>
      <c r="G39">
        <v>1352.5250243999999</v>
      </c>
      <c r="H39">
        <v>1346.9819336</v>
      </c>
      <c r="I39">
        <v>1311.2126464999999</v>
      </c>
      <c r="J39">
        <v>1302.1754149999999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0.41504000000000002</v>
      </c>
      <c r="B40" s="1">
        <f>DATE(2010,5,1) + TIME(9,57,39)</f>
        <v>40299.415034722224</v>
      </c>
      <c r="C40">
        <v>80</v>
      </c>
      <c r="D40">
        <v>43.420066833</v>
      </c>
      <c r="E40">
        <v>50</v>
      </c>
      <c r="F40">
        <v>14.998350143</v>
      </c>
      <c r="G40">
        <v>1352.4689940999999</v>
      </c>
      <c r="H40">
        <v>1346.9882812000001</v>
      </c>
      <c r="I40">
        <v>1311.2128906</v>
      </c>
      <c r="J40">
        <v>1302.1756591999999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0.43307200000000001</v>
      </c>
      <c r="B41" s="1">
        <f>DATE(2010,5,1) + TIME(10,23,37)</f>
        <v>40299.433067129627</v>
      </c>
      <c r="C41">
        <v>80</v>
      </c>
      <c r="D41">
        <v>44.400424956999998</v>
      </c>
      <c r="E41">
        <v>50</v>
      </c>
      <c r="F41">
        <v>14.998357773</v>
      </c>
      <c r="G41">
        <v>1352.4174805</v>
      </c>
      <c r="H41">
        <v>1346.9964600000001</v>
      </c>
      <c r="I41">
        <v>1311.2131348</v>
      </c>
      <c r="J41">
        <v>1302.1757812000001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0.45146500000000001</v>
      </c>
      <c r="B42" s="1">
        <f>DATE(2010,5,1) + TIME(10,50,6)</f>
        <v>40299.451458333337</v>
      </c>
      <c r="C42">
        <v>80</v>
      </c>
      <c r="D42">
        <v>45.380149840999998</v>
      </c>
      <c r="E42">
        <v>50</v>
      </c>
      <c r="F42">
        <v>14.998365401999999</v>
      </c>
      <c r="G42">
        <v>1352.3701172000001</v>
      </c>
      <c r="H42">
        <v>1347.0063477000001</v>
      </c>
      <c r="I42">
        <v>1311.2133789</v>
      </c>
      <c r="J42">
        <v>1302.1759033000001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0.47023900000000002</v>
      </c>
      <c r="B43" s="1">
        <f>DATE(2010,5,1) + TIME(11,17,8)</f>
        <v>40299.470231481479</v>
      </c>
      <c r="C43">
        <v>80</v>
      </c>
      <c r="D43">
        <v>46.359199523999997</v>
      </c>
      <c r="E43">
        <v>50</v>
      </c>
      <c r="F43">
        <v>14.998373032</v>
      </c>
      <c r="G43">
        <v>1352.3267822</v>
      </c>
      <c r="H43">
        <v>1347.0179443</v>
      </c>
      <c r="I43">
        <v>1311.2136230000001</v>
      </c>
      <c r="J43">
        <v>1302.1761475000001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0.48941499999999999</v>
      </c>
      <c r="B44" s="1">
        <f>DATE(2010,5,1) + TIME(11,44,45)</f>
        <v>40299.48940972222</v>
      </c>
      <c r="C44">
        <v>80</v>
      </c>
      <c r="D44">
        <v>47.337524414000001</v>
      </c>
      <c r="E44">
        <v>50</v>
      </c>
      <c r="F44">
        <v>14.998380661000001</v>
      </c>
      <c r="G44">
        <v>1352.2872314000001</v>
      </c>
      <c r="H44">
        <v>1347.0310059000001</v>
      </c>
      <c r="I44">
        <v>1311.2138672000001</v>
      </c>
      <c r="J44">
        <v>1302.1762695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0.509015</v>
      </c>
      <c r="B45" s="1">
        <f>DATE(2010,5,1) + TIME(12,12,58)</f>
        <v>40299.509004629632</v>
      </c>
      <c r="C45">
        <v>80</v>
      </c>
      <c r="D45">
        <v>48.31508255</v>
      </c>
      <c r="E45">
        <v>50</v>
      </c>
      <c r="F45">
        <v>14.998388289999999</v>
      </c>
      <c r="G45">
        <v>1352.2513428</v>
      </c>
      <c r="H45">
        <v>1347.0456543</v>
      </c>
      <c r="I45">
        <v>1311.2141113</v>
      </c>
      <c r="J45">
        <v>1302.1763916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0.52906600000000004</v>
      </c>
      <c r="B46" s="1">
        <f>DATE(2010,5,1) + TIME(12,41,51)</f>
        <v>40299.529062499998</v>
      </c>
      <c r="C46">
        <v>80</v>
      </c>
      <c r="D46">
        <v>49.291812897</v>
      </c>
      <c r="E46">
        <v>50</v>
      </c>
      <c r="F46">
        <v>14.99839592</v>
      </c>
      <c r="G46">
        <v>1352.2189940999999</v>
      </c>
      <c r="H46">
        <v>1347.0616454999999</v>
      </c>
      <c r="I46">
        <v>1311.2143555</v>
      </c>
      <c r="J46">
        <v>1302.1765137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0.54959400000000003</v>
      </c>
      <c r="B47" s="1">
        <f>DATE(2010,5,1) + TIME(13,11,24)</f>
        <v>40299.549583333333</v>
      </c>
      <c r="C47">
        <v>80</v>
      </c>
      <c r="D47">
        <v>50.267539978000002</v>
      </c>
      <c r="E47">
        <v>50</v>
      </c>
      <c r="F47">
        <v>14.998403549000001</v>
      </c>
      <c r="G47">
        <v>1352.1899414</v>
      </c>
      <c r="H47">
        <v>1347.0788574000001</v>
      </c>
      <c r="I47">
        <v>1311.2145995999999</v>
      </c>
      <c r="J47">
        <v>1302.1766356999999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0.57063200000000003</v>
      </c>
      <c r="B48" s="1">
        <f>DATE(2010,5,1) + TIME(13,41,42)</f>
        <v>40299.570625</v>
      </c>
      <c r="C48">
        <v>80</v>
      </c>
      <c r="D48">
        <v>51.242103577000002</v>
      </c>
      <c r="E48">
        <v>50</v>
      </c>
      <c r="F48">
        <v>14.998411179</v>
      </c>
      <c r="G48">
        <v>1352.1639404</v>
      </c>
      <c r="H48">
        <v>1347.0974120999999</v>
      </c>
      <c r="I48">
        <v>1311.2148437999999</v>
      </c>
      <c r="J48">
        <v>1302.1767577999999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0.59221999999999997</v>
      </c>
      <c r="B49" s="1">
        <f>DATE(2010,5,1) + TIME(14,12,47)</f>
        <v>40299.592210648145</v>
      </c>
      <c r="C49">
        <v>80</v>
      </c>
      <c r="D49">
        <v>52.215969086000001</v>
      </c>
      <c r="E49">
        <v>50</v>
      </c>
      <c r="F49">
        <v>14.998418808</v>
      </c>
      <c r="G49">
        <v>1352.1409911999999</v>
      </c>
      <c r="H49">
        <v>1347.1170654</v>
      </c>
      <c r="I49">
        <v>1311.2150879000001</v>
      </c>
      <c r="J49">
        <v>1302.1768798999999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0.61438800000000005</v>
      </c>
      <c r="B50" s="1">
        <f>DATE(2010,5,1) + TIME(14,44,43)</f>
        <v>40299.614386574074</v>
      </c>
      <c r="C50">
        <v>80</v>
      </c>
      <c r="D50">
        <v>53.188747405999997</v>
      </c>
      <c r="E50">
        <v>50</v>
      </c>
      <c r="F50">
        <v>14.998426436999999</v>
      </c>
      <c r="G50">
        <v>1352.1209716999999</v>
      </c>
      <c r="H50">
        <v>1347.1376952999999</v>
      </c>
      <c r="I50">
        <v>1311.215332</v>
      </c>
      <c r="J50">
        <v>1302.1770019999999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0.63717500000000005</v>
      </c>
      <c r="B51" s="1">
        <f>DATE(2010,5,1) + TIME(15,17,31)</f>
        <v>40299.637164351851</v>
      </c>
      <c r="C51">
        <v>80</v>
      </c>
      <c r="D51">
        <v>54.160362243999998</v>
      </c>
      <c r="E51">
        <v>50</v>
      </c>
      <c r="F51">
        <v>14.998434067</v>
      </c>
      <c r="G51">
        <v>1352.1036377</v>
      </c>
      <c r="H51">
        <v>1347.1594238</v>
      </c>
      <c r="I51">
        <v>1311.2154541</v>
      </c>
      <c r="J51">
        <v>1302.177124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0.66062799999999999</v>
      </c>
      <c r="B52" s="1">
        <f>DATE(2010,5,1) + TIME(15,51,18)</f>
        <v>40299.660624999997</v>
      </c>
      <c r="C52">
        <v>80</v>
      </c>
      <c r="D52">
        <v>55.130718231000003</v>
      </c>
      <c r="E52">
        <v>50</v>
      </c>
      <c r="F52">
        <v>14.998441696</v>
      </c>
      <c r="G52">
        <v>1352.0888672000001</v>
      </c>
      <c r="H52">
        <v>1347.1820068</v>
      </c>
      <c r="I52">
        <v>1311.2156981999999</v>
      </c>
      <c r="J52">
        <v>1302.1772461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0.68479800000000002</v>
      </c>
      <c r="B53" s="1">
        <f>DATE(2010,5,1) + TIME(16,26,6)</f>
        <v>40299.684791666667</v>
      </c>
      <c r="C53">
        <v>80</v>
      </c>
      <c r="D53">
        <v>56.099712371999999</v>
      </c>
      <c r="E53">
        <v>50</v>
      </c>
      <c r="F53">
        <v>14.998450279</v>
      </c>
      <c r="G53">
        <v>1352.0765381000001</v>
      </c>
      <c r="H53">
        <v>1347.2053223</v>
      </c>
      <c r="I53">
        <v>1311.2159423999999</v>
      </c>
      <c r="J53">
        <v>1302.1772461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0.70974099999999996</v>
      </c>
      <c r="B54" s="1">
        <f>DATE(2010,5,1) + TIME(17,2,1)</f>
        <v>40299.709733796299</v>
      </c>
      <c r="C54">
        <v>80</v>
      </c>
      <c r="D54">
        <v>57.067241668999998</v>
      </c>
      <c r="E54">
        <v>50</v>
      </c>
      <c r="F54">
        <v>14.998457909000001</v>
      </c>
      <c r="G54">
        <v>1352.0666504000001</v>
      </c>
      <c r="H54">
        <v>1347.2294922000001</v>
      </c>
      <c r="I54">
        <v>1311.2161865</v>
      </c>
      <c r="J54">
        <v>1302.1773682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0.73552099999999998</v>
      </c>
      <c r="B55" s="1">
        <f>DATE(2010,5,1) + TIME(17,39,9)</f>
        <v>40299.735520833332</v>
      </c>
      <c r="C55">
        <v>80</v>
      </c>
      <c r="D55">
        <v>58.033180237000003</v>
      </c>
      <c r="E55">
        <v>50</v>
      </c>
      <c r="F55">
        <v>14.998465538</v>
      </c>
      <c r="G55">
        <v>1352.0588379000001</v>
      </c>
      <c r="H55">
        <v>1347.2542725000001</v>
      </c>
      <c r="I55">
        <v>1311.2163086</v>
      </c>
      <c r="J55">
        <v>1302.1774902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0.76221099999999997</v>
      </c>
      <c r="B56" s="1">
        <f>DATE(2010,5,1) + TIME(18,17,34)</f>
        <v>40299.762199074074</v>
      </c>
      <c r="C56">
        <v>80</v>
      </c>
      <c r="D56">
        <v>58.997383118000002</v>
      </c>
      <c r="E56">
        <v>50</v>
      </c>
      <c r="F56">
        <v>14.998474120999999</v>
      </c>
      <c r="G56">
        <v>1352.0531006000001</v>
      </c>
      <c r="H56">
        <v>1347.2796631000001</v>
      </c>
      <c r="I56">
        <v>1311.2165527</v>
      </c>
      <c r="J56">
        <v>1302.1776123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0.78989100000000001</v>
      </c>
      <c r="B57" s="1">
        <f>DATE(2010,5,1) + TIME(18,57,26)</f>
        <v>40299.789884259262</v>
      </c>
      <c r="C57">
        <v>80</v>
      </c>
      <c r="D57">
        <v>59.959705352999997</v>
      </c>
      <c r="E57">
        <v>50</v>
      </c>
      <c r="F57">
        <v>14.99848175</v>
      </c>
      <c r="G57">
        <v>1352.0493164</v>
      </c>
      <c r="H57">
        <v>1347.3054199000001</v>
      </c>
      <c r="I57">
        <v>1311.2167969</v>
      </c>
      <c r="J57">
        <v>1302.1777344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0.81865500000000002</v>
      </c>
      <c r="B58" s="1">
        <f>DATE(2010,5,1) + TIME(19,38,51)</f>
        <v>40299.818645833337</v>
      </c>
      <c r="C58">
        <v>80</v>
      </c>
      <c r="D58">
        <v>60.91929245</v>
      </c>
      <c r="E58">
        <v>50</v>
      </c>
      <c r="F58">
        <v>14.998490334</v>
      </c>
      <c r="G58">
        <v>1352.0473632999999</v>
      </c>
      <c r="H58">
        <v>1347.3316649999999</v>
      </c>
      <c r="I58">
        <v>1311.2170410000001</v>
      </c>
      <c r="J58">
        <v>1302.1777344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0.84863</v>
      </c>
      <c r="B59" s="1">
        <f>DATE(2010,5,1) + TIME(20,22,1)</f>
        <v>40299.848622685182</v>
      </c>
      <c r="C59">
        <v>80</v>
      </c>
      <c r="D59">
        <v>61.877185822000001</v>
      </c>
      <c r="E59">
        <v>50</v>
      </c>
      <c r="F59">
        <v>14.998498916999999</v>
      </c>
      <c r="G59">
        <v>1352.0471190999999</v>
      </c>
      <c r="H59">
        <v>1347.3581543</v>
      </c>
      <c r="I59">
        <v>1311.2172852000001</v>
      </c>
      <c r="J59">
        <v>1302.1778564000001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0.87992300000000001</v>
      </c>
      <c r="B60" s="1">
        <f>DATE(2010,5,1) + TIME(21,7,5)</f>
        <v>40299.879918981482</v>
      </c>
      <c r="C60">
        <v>80</v>
      </c>
      <c r="D60">
        <v>62.832618713000002</v>
      </c>
      <c r="E60">
        <v>50</v>
      </c>
      <c r="F60">
        <v>14.998507500000001</v>
      </c>
      <c r="G60">
        <v>1352.0484618999999</v>
      </c>
      <c r="H60">
        <v>1347.3847656</v>
      </c>
      <c r="I60">
        <v>1311.2175293</v>
      </c>
      <c r="J60">
        <v>1302.1779785000001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0.91267600000000004</v>
      </c>
      <c r="B61" s="1">
        <f>DATE(2010,5,1) + TIME(21,54,15)</f>
        <v>40299.912673611114</v>
      </c>
      <c r="C61">
        <v>80</v>
      </c>
      <c r="D61">
        <v>63.785285950000002</v>
      </c>
      <c r="E61">
        <v>50</v>
      </c>
      <c r="F61">
        <v>14.998516083</v>
      </c>
      <c r="G61">
        <v>1352.0512695</v>
      </c>
      <c r="H61">
        <v>1347.411499</v>
      </c>
      <c r="I61">
        <v>1311.2177733999999</v>
      </c>
      <c r="J61">
        <v>1302.1781006000001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0.94705499999999998</v>
      </c>
      <c r="B62" s="1">
        <f>DATE(2010,5,1) + TIME(22,43,45)</f>
        <v>40299.947048611109</v>
      </c>
      <c r="C62">
        <v>80</v>
      </c>
      <c r="D62">
        <v>64.734886169000006</v>
      </c>
      <c r="E62">
        <v>50</v>
      </c>
      <c r="F62">
        <v>14.998524666</v>
      </c>
      <c r="G62">
        <v>1352.0552978999999</v>
      </c>
      <c r="H62">
        <v>1347.4382324000001</v>
      </c>
      <c r="I62">
        <v>1311.2180175999999</v>
      </c>
      <c r="J62">
        <v>1302.1782227000001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0.98326000000000002</v>
      </c>
      <c r="B63" s="1">
        <f>DATE(2010,5,1) + TIME(23,35,53)</f>
        <v>40299.983252314814</v>
      </c>
      <c r="C63">
        <v>80</v>
      </c>
      <c r="D63">
        <v>65.681236267000003</v>
      </c>
      <c r="E63">
        <v>50</v>
      </c>
      <c r="F63">
        <v>14.998534203</v>
      </c>
      <c r="G63">
        <v>1352.0606689000001</v>
      </c>
      <c r="H63">
        <v>1347.4648437999999</v>
      </c>
      <c r="I63">
        <v>1311.2182617000001</v>
      </c>
      <c r="J63">
        <v>1302.1783447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1.021517</v>
      </c>
      <c r="B64" s="1">
        <f>DATE(2010,5,2) + TIME(0,30,59)</f>
        <v>40300.021516203706</v>
      </c>
      <c r="C64">
        <v>80</v>
      </c>
      <c r="D64">
        <v>66.623657226999995</v>
      </c>
      <c r="E64">
        <v>50</v>
      </c>
      <c r="F64">
        <v>14.998542786</v>
      </c>
      <c r="G64">
        <v>1352.0668945</v>
      </c>
      <c r="H64">
        <v>1347.4910889</v>
      </c>
      <c r="I64">
        <v>1311.2185059000001</v>
      </c>
      <c r="J64">
        <v>1302.1784668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1.041361</v>
      </c>
      <c r="B65" s="1">
        <f>DATE(2010,5,2) + TIME(0,59,33)</f>
        <v>40300.041354166664</v>
      </c>
      <c r="C65">
        <v>80</v>
      </c>
      <c r="D65">
        <v>67.099349975999999</v>
      </c>
      <c r="E65">
        <v>50</v>
      </c>
      <c r="F65">
        <v>14.998547554</v>
      </c>
      <c r="G65">
        <v>1352.1069336</v>
      </c>
      <c r="H65">
        <v>1347.5212402</v>
      </c>
      <c r="I65">
        <v>1311.21875</v>
      </c>
      <c r="J65">
        <v>1302.1785889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1.061205</v>
      </c>
      <c r="B66" s="1">
        <f>DATE(2010,5,2) + TIME(1,28,8)</f>
        <v>40300.061203703706</v>
      </c>
      <c r="C66">
        <v>80</v>
      </c>
      <c r="D66">
        <v>67.560081482000001</v>
      </c>
      <c r="E66">
        <v>50</v>
      </c>
      <c r="F66">
        <v>14.998552322</v>
      </c>
      <c r="G66">
        <v>1352.1118164</v>
      </c>
      <c r="H66">
        <v>1347.534668</v>
      </c>
      <c r="I66">
        <v>1311.2189940999999</v>
      </c>
      <c r="J66">
        <v>1302.1787108999999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1.0810489999999999</v>
      </c>
      <c r="B67" s="1">
        <f>DATE(2010,5,2) + TIME(1,56,42)</f>
        <v>40300.081041666665</v>
      </c>
      <c r="C67">
        <v>80</v>
      </c>
      <c r="D67">
        <v>68.006202697999996</v>
      </c>
      <c r="E67">
        <v>50</v>
      </c>
      <c r="F67">
        <v>14.998557091</v>
      </c>
      <c r="G67">
        <v>1352.1168213000001</v>
      </c>
      <c r="H67">
        <v>1347.5474853999999</v>
      </c>
      <c r="I67">
        <v>1311.2191161999999</v>
      </c>
      <c r="J67">
        <v>1302.1787108999999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1.1008929999999999</v>
      </c>
      <c r="B68" s="1">
        <f>DATE(2010,5,2) + TIME(2,25,17)</f>
        <v>40300.100891203707</v>
      </c>
      <c r="C68">
        <v>80</v>
      </c>
      <c r="D68">
        <v>68.438056946000003</v>
      </c>
      <c r="E68">
        <v>50</v>
      </c>
      <c r="F68">
        <v>14.998561859</v>
      </c>
      <c r="G68">
        <v>1352.1217041</v>
      </c>
      <c r="H68">
        <v>1347.5596923999999</v>
      </c>
      <c r="I68">
        <v>1311.2192382999999</v>
      </c>
      <c r="J68">
        <v>1302.1788329999999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1.1207370000000001</v>
      </c>
      <c r="B69" s="1">
        <f>DATE(2010,5,2) + TIME(2,53,51)</f>
        <v>40300.120729166665</v>
      </c>
      <c r="C69">
        <v>80</v>
      </c>
      <c r="D69">
        <v>68.855995178000001</v>
      </c>
      <c r="E69">
        <v>50</v>
      </c>
      <c r="F69">
        <v>14.998565674</v>
      </c>
      <c r="G69">
        <v>1352.1265868999999</v>
      </c>
      <c r="H69">
        <v>1347.5714111</v>
      </c>
      <c r="I69">
        <v>1311.2193603999999</v>
      </c>
      <c r="J69">
        <v>1302.1789550999999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1.1405799999999999</v>
      </c>
      <c r="B70" s="1">
        <f>DATE(2010,5,2) + TIME(3,22,26)</f>
        <v>40300.1405787037</v>
      </c>
      <c r="C70">
        <v>80</v>
      </c>
      <c r="D70">
        <v>69.260360718000001</v>
      </c>
      <c r="E70">
        <v>50</v>
      </c>
      <c r="F70">
        <v>14.998570442</v>
      </c>
      <c r="G70">
        <v>1352.1314697</v>
      </c>
      <c r="H70">
        <v>1347.5825195</v>
      </c>
      <c r="I70">
        <v>1311.2196045000001</v>
      </c>
      <c r="J70">
        <v>1302.1789550999999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1.1604239999999999</v>
      </c>
      <c r="B71" s="1">
        <f>DATE(2010,5,2) + TIME(3,51,0)</f>
        <v>40300.160416666666</v>
      </c>
      <c r="C71">
        <v>80</v>
      </c>
      <c r="D71">
        <v>69.651481627999999</v>
      </c>
      <c r="E71">
        <v>50</v>
      </c>
      <c r="F71">
        <v>14.998574257</v>
      </c>
      <c r="G71">
        <v>1352.1361084</v>
      </c>
      <c r="H71">
        <v>1347.5931396000001</v>
      </c>
      <c r="I71">
        <v>1311.2197266000001</v>
      </c>
      <c r="J71">
        <v>1302.1790771000001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1.180248</v>
      </c>
      <c r="B72" s="1">
        <f>DATE(2010,5,2) + TIME(4,19,33)</f>
        <v>40300.180243055554</v>
      </c>
      <c r="C72">
        <v>80</v>
      </c>
      <c r="D72">
        <v>70.029304503999995</v>
      </c>
      <c r="E72">
        <v>50</v>
      </c>
      <c r="F72">
        <v>14.998579025</v>
      </c>
      <c r="G72">
        <v>1352.1407471</v>
      </c>
      <c r="H72">
        <v>1347.6031493999999</v>
      </c>
      <c r="I72">
        <v>1311.2198486</v>
      </c>
      <c r="J72">
        <v>1302.1790771000001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1.200053</v>
      </c>
      <c r="B73" s="1">
        <f>DATE(2010,5,2) + TIME(4,48,4)</f>
        <v>40300.200046296297</v>
      </c>
      <c r="C73">
        <v>80</v>
      </c>
      <c r="D73">
        <v>70.394012450999995</v>
      </c>
      <c r="E73">
        <v>50</v>
      </c>
      <c r="F73">
        <v>14.998582839999999</v>
      </c>
      <c r="G73">
        <v>1352.1452637</v>
      </c>
      <c r="H73">
        <v>1347.6126709</v>
      </c>
      <c r="I73">
        <v>1311.2199707</v>
      </c>
      <c r="J73">
        <v>1302.1791992000001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1.219849</v>
      </c>
      <c r="B74" s="1">
        <f>DATE(2010,5,2) + TIME(5,16,34)</f>
        <v>40300.219837962963</v>
      </c>
      <c r="C74">
        <v>80</v>
      </c>
      <c r="D74">
        <v>70.746383667000003</v>
      </c>
      <c r="E74">
        <v>50</v>
      </c>
      <c r="F74">
        <v>14.998587607999999</v>
      </c>
      <c r="G74">
        <v>1352.1495361</v>
      </c>
      <c r="H74">
        <v>1347.621582</v>
      </c>
      <c r="I74">
        <v>1311.2200928</v>
      </c>
      <c r="J74">
        <v>1302.1793213000001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1.2396450000000001</v>
      </c>
      <c r="B75" s="1">
        <f>DATE(2010,5,2) + TIME(5,45,5)</f>
        <v>40300.239641203705</v>
      </c>
      <c r="C75">
        <v>80</v>
      </c>
      <c r="D75">
        <v>71.086891174000002</v>
      </c>
      <c r="E75">
        <v>50</v>
      </c>
      <c r="F75">
        <v>14.998591423000001</v>
      </c>
      <c r="G75">
        <v>1352.1536865</v>
      </c>
      <c r="H75">
        <v>1347.6300048999999</v>
      </c>
      <c r="I75">
        <v>1311.2202147999999</v>
      </c>
      <c r="J75">
        <v>1302.1793213000001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1.259441</v>
      </c>
      <c r="B76" s="1">
        <f>DATE(2010,5,2) + TIME(6,13,35)</f>
        <v>40300.259432870371</v>
      </c>
      <c r="C76">
        <v>80</v>
      </c>
      <c r="D76">
        <v>71.415870666999993</v>
      </c>
      <c r="E76">
        <v>50</v>
      </c>
      <c r="F76">
        <v>14.998595238</v>
      </c>
      <c r="G76">
        <v>1352.1577147999999</v>
      </c>
      <c r="H76">
        <v>1347.6379394999999</v>
      </c>
      <c r="I76">
        <v>1311.2204589999999</v>
      </c>
      <c r="J76">
        <v>1302.1794434000001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1.279237</v>
      </c>
      <c r="B77" s="1">
        <f>DATE(2010,5,2) + TIME(6,42,6)</f>
        <v>40300.279236111113</v>
      </c>
      <c r="C77">
        <v>80</v>
      </c>
      <c r="D77">
        <v>71.733634949000006</v>
      </c>
      <c r="E77">
        <v>50</v>
      </c>
      <c r="F77">
        <v>14.998599051999999</v>
      </c>
      <c r="G77">
        <v>1352.1613769999999</v>
      </c>
      <c r="H77">
        <v>1347.6453856999999</v>
      </c>
      <c r="I77">
        <v>1311.2205810999999</v>
      </c>
      <c r="J77">
        <v>1302.1794434000001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1.2990330000000001</v>
      </c>
      <c r="B78" s="1">
        <f>DATE(2010,5,2) + TIME(7,10,36)</f>
        <v>40300.299027777779</v>
      </c>
      <c r="C78">
        <v>80</v>
      </c>
      <c r="D78">
        <v>72.040496825999995</v>
      </c>
      <c r="E78">
        <v>50</v>
      </c>
      <c r="F78">
        <v>14.998602867000001</v>
      </c>
      <c r="G78">
        <v>1352.1650391000001</v>
      </c>
      <c r="H78">
        <v>1347.6522216999999</v>
      </c>
      <c r="I78">
        <v>1311.2207031</v>
      </c>
      <c r="J78">
        <v>1302.1795654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1.318829</v>
      </c>
      <c r="B79" s="1">
        <f>DATE(2010,5,2) + TIME(7,39,6)</f>
        <v>40300.318819444445</v>
      </c>
      <c r="C79">
        <v>80</v>
      </c>
      <c r="D79">
        <v>72.336776732999994</v>
      </c>
      <c r="E79">
        <v>50</v>
      </c>
      <c r="F79">
        <v>14.998606682</v>
      </c>
      <c r="G79">
        <v>1352.1683350000001</v>
      </c>
      <c r="H79">
        <v>1347.6586914</v>
      </c>
      <c r="I79">
        <v>1311.2208252</v>
      </c>
      <c r="J79">
        <v>1302.1796875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1.3386260000000001</v>
      </c>
      <c r="B80" s="1">
        <f>DATE(2010,5,2) + TIME(8,7,37)</f>
        <v>40300.338622685187</v>
      </c>
      <c r="C80">
        <v>80</v>
      </c>
      <c r="D80">
        <v>72.622764587000006</v>
      </c>
      <c r="E80">
        <v>50</v>
      </c>
      <c r="F80">
        <v>14.998610497</v>
      </c>
      <c r="G80">
        <v>1352.1715088000001</v>
      </c>
      <c r="H80">
        <v>1347.6645507999999</v>
      </c>
      <c r="I80">
        <v>1311.2209473</v>
      </c>
      <c r="J80">
        <v>1302.1796875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1.358422</v>
      </c>
      <c r="B81" s="1">
        <f>DATE(2010,5,2) + TIME(8,36,7)</f>
        <v>40300.358414351853</v>
      </c>
      <c r="C81">
        <v>80</v>
      </c>
      <c r="D81">
        <v>72.898773192999997</v>
      </c>
      <c r="E81">
        <v>50</v>
      </c>
      <c r="F81">
        <v>14.998614311000001</v>
      </c>
      <c r="G81">
        <v>1352.1744385</v>
      </c>
      <c r="H81">
        <v>1347.6700439000001</v>
      </c>
      <c r="I81">
        <v>1311.2210693</v>
      </c>
      <c r="J81">
        <v>1302.1798096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1.3782179999999999</v>
      </c>
      <c r="B82" s="1">
        <f>DATE(2010,5,2) + TIME(9,4,38)</f>
        <v>40300.378217592595</v>
      </c>
      <c r="C82">
        <v>80</v>
      </c>
      <c r="D82">
        <v>73.165092467999997</v>
      </c>
      <c r="E82">
        <v>50</v>
      </c>
      <c r="F82">
        <v>14.998617171999999</v>
      </c>
      <c r="G82">
        <v>1352.177124</v>
      </c>
      <c r="H82">
        <v>1347.6750488</v>
      </c>
      <c r="I82">
        <v>1311.2211914</v>
      </c>
      <c r="J82">
        <v>1302.1798096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1.3980140000000001</v>
      </c>
      <c r="B83" s="1">
        <f>DATE(2010,5,2) + TIME(9,33,8)</f>
        <v>40300.398009259261</v>
      </c>
      <c r="C83">
        <v>80</v>
      </c>
      <c r="D83">
        <v>73.422012328999998</v>
      </c>
      <c r="E83">
        <v>50</v>
      </c>
      <c r="F83">
        <v>14.998620987000001</v>
      </c>
      <c r="G83">
        <v>1352.1795654</v>
      </c>
      <c r="H83">
        <v>1347.6795654</v>
      </c>
      <c r="I83">
        <v>1311.2213135</v>
      </c>
      <c r="J83">
        <v>1302.1799315999999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1.4376059999999999</v>
      </c>
      <c r="B84" s="1">
        <f>DATE(2010,5,2) + TIME(10,30,9)</f>
        <v>40300.437604166669</v>
      </c>
      <c r="C84">
        <v>80</v>
      </c>
      <c r="D84">
        <v>73.899269103999998</v>
      </c>
      <c r="E84">
        <v>50</v>
      </c>
      <c r="F84">
        <v>14.998627663000001</v>
      </c>
      <c r="G84">
        <v>1352.1663818</v>
      </c>
      <c r="H84">
        <v>1347.682251</v>
      </c>
      <c r="I84">
        <v>1311.2214355000001</v>
      </c>
      <c r="J84">
        <v>1302.1800536999999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1.477328</v>
      </c>
      <c r="B85" s="1">
        <f>DATE(2010,5,2) + TIME(11,27,21)</f>
        <v>40300.477326388886</v>
      </c>
      <c r="C85">
        <v>80</v>
      </c>
      <c r="D85">
        <v>74.344947814999998</v>
      </c>
      <c r="E85">
        <v>50</v>
      </c>
      <c r="F85">
        <v>14.998634338</v>
      </c>
      <c r="G85">
        <v>1352.1705322</v>
      </c>
      <c r="H85">
        <v>1347.6885986</v>
      </c>
      <c r="I85">
        <v>1311.2218018000001</v>
      </c>
      <c r="J85">
        <v>1302.1801757999999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1.517474</v>
      </c>
      <c r="B86" s="1">
        <f>DATE(2010,5,2) + TIME(12,25,9)</f>
        <v>40300.517465277779</v>
      </c>
      <c r="C86">
        <v>80</v>
      </c>
      <c r="D86">
        <v>74.763618468999994</v>
      </c>
      <c r="E86">
        <v>50</v>
      </c>
      <c r="F86">
        <v>14.998641014</v>
      </c>
      <c r="G86">
        <v>1352.1735839999999</v>
      </c>
      <c r="H86">
        <v>1347.6932373</v>
      </c>
      <c r="I86">
        <v>1311.2220459</v>
      </c>
      <c r="J86">
        <v>1302.1802978999999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1.558098</v>
      </c>
      <c r="B87" s="1">
        <f>DATE(2010,5,2) + TIME(13,23,39)</f>
        <v>40300.55809027778</v>
      </c>
      <c r="C87">
        <v>80</v>
      </c>
      <c r="D87">
        <v>75.156684874999996</v>
      </c>
      <c r="E87">
        <v>50</v>
      </c>
      <c r="F87">
        <v>14.99864769</v>
      </c>
      <c r="G87">
        <v>1352.1755370999999</v>
      </c>
      <c r="H87">
        <v>1347.6965332</v>
      </c>
      <c r="I87">
        <v>1311.2222899999999</v>
      </c>
      <c r="J87">
        <v>1302.1805420000001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1.5992630000000001</v>
      </c>
      <c r="B88" s="1">
        <f>DATE(2010,5,2) + TIME(14,22,56)</f>
        <v>40300.599259259259</v>
      </c>
      <c r="C88">
        <v>80</v>
      </c>
      <c r="D88">
        <v>75.525566100999995</v>
      </c>
      <c r="E88">
        <v>50</v>
      </c>
      <c r="F88">
        <v>14.998654366</v>
      </c>
      <c r="G88">
        <v>1352.1766356999999</v>
      </c>
      <c r="H88">
        <v>1347.6982422000001</v>
      </c>
      <c r="I88">
        <v>1311.2225341999999</v>
      </c>
      <c r="J88">
        <v>1302.1806641000001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1.641032</v>
      </c>
      <c r="B89" s="1">
        <f>DATE(2010,5,2) + TIME(15,23,5)</f>
        <v>40300.641030092593</v>
      </c>
      <c r="C89">
        <v>80</v>
      </c>
      <c r="D89">
        <v>75.871780396000005</v>
      </c>
      <c r="E89">
        <v>50</v>
      </c>
      <c r="F89">
        <v>14.998660087999999</v>
      </c>
      <c r="G89">
        <v>1352.1767577999999</v>
      </c>
      <c r="H89">
        <v>1347.6986084</v>
      </c>
      <c r="I89">
        <v>1311.2227783000001</v>
      </c>
      <c r="J89">
        <v>1302.1807861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1.6834720000000001</v>
      </c>
      <c r="B90" s="1">
        <f>DATE(2010,5,2) + TIME(16,24,11)</f>
        <v>40300.68346064815</v>
      </c>
      <c r="C90">
        <v>80</v>
      </c>
      <c r="D90">
        <v>76.196578978999995</v>
      </c>
      <c r="E90">
        <v>50</v>
      </c>
      <c r="F90">
        <v>14.998666762999999</v>
      </c>
      <c r="G90">
        <v>1352.1757812000001</v>
      </c>
      <c r="H90">
        <v>1347.6975098</v>
      </c>
      <c r="I90">
        <v>1311.2230225000001</v>
      </c>
      <c r="J90">
        <v>1302.1810303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1.7266509999999999</v>
      </c>
      <c r="B91" s="1">
        <f>DATE(2010,5,2) + TIME(17,26,22)</f>
        <v>40300.726643518516</v>
      </c>
      <c r="C91">
        <v>80</v>
      </c>
      <c r="D91">
        <v>76.501121521000002</v>
      </c>
      <c r="E91">
        <v>50</v>
      </c>
      <c r="F91">
        <v>14.998672485</v>
      </c>
      <c r="G91">
        <v>1352.1738281</v>
      </c>
      <c r="H91">
        <v>1347.6951904</v>
      </c>
      <c r="I91">
        <v>1311.2232666</v>
      </c>
      <c r="J91">
        <v>1302.1811522999999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1.7706440000000001</v>
      </c>
      <c r="B92" s="1">
        <f>DATE(2010,5,2) + TIME(18,29,43)</f>
        <v>40300.770636574074</v>
      </c>
      <c r="C92">
        <v>80</v>
      </c>
      <c r="D92">
        <v>76.786499023000005</v>
      </c>
      <c r="E92">
        <v>50</v>
      </c>
      <c r="F92">
        <v>14.998679161</v>
      </c>
      <c r="G92">
        <v>1352.1708983999999</v>
      </c>
      <c r="H92">
        <v>1347.6914062000001</v>
      </c>
      <c r="I92">
        <v>1311.2235106999999</v>
      </c>
      <c r="J92">
        <v>1302.1813964999999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1.8155289999999999</v>
      </c>
      <c r="B93" s="1">
        <f>DATE(2010,5,2) + TIME(19,34,21)</f>
        <v>40300.815520833334</v>
      </c>
      <c r="C93">
        <v>80</v>
      </c>
      <c r="D93">
        <v>77.053703307999996</v>
      </c>
      <c r="E93">
        <v>50</v>
      </c>
      <c r="F93">
        <v>14.998684882999999</v>
      </c>
      <c r="G93">
        <v>1352.1669922000001</v>
      </c>
      <c r="H93">
        <v>1347.6864014</v>
      </c>
      <c r="I93">
        <v>1311.2237548999999</v>
      </c>
      <c r="J93">
        <v>1302.1815185999999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1.861394</v>
      </c>
      <c r="B94" s="1">
        <f>DATE(2010,5,2) + TIME(20,40,24)</f>
        <v>40300.861388888887</v>
      </c>
      <c r="C94">
        <v>80</v>
      </c>
      <c r="D94">
        <v>77.303695679</v>
      </c>
      <c r="E94">
        <v>50</v>
      </c>
      <c r="F94">
        <v>14.998690605</v>
      </c>
      <c r="G94">
        <v>1352.1619873</v>
      </c>
      <c r="H94">
        <v>1347.6800536999999</v>
      </c>
      <c r="I94">
        <v>1311.223999</v>
      </c>
      <c r="J94">
        <v>1302.1816406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1.9083410000000001</v>
      </c>
      <c r="B95" s="1">
        <f>DATE(2010,5,2) + TIME(21,48,0)</f>
        <v>40300.908333333333</v>
      </c>
      <c r="C95">
        <v>80</v>
      </c>
      <c r="D95">
        <v>77.537406920999999</v>
      </c>
      <c r="E95">
        <v>50</v>
      </c>
      <c r="F95">
        <v>14.998696326999999</v>
      </c>
      <c r="G95">
        <v>1352.1558838000001</v>
      </c>
      <c r="H95">
        <v>1347.6723632999999</v>
      </c>
      <c r="I95">
        <v>1311.2243652</v>
      </c>
      <c r="J95">
        <v>1302.1818848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1.9564520000000001</v>
      </c>
      <c r="B96" s="1">
        <f>DATE(2010,5,2) + TIME(22,57,17)</f>
        <v>40300.956446759257</v>
      </c>
      <c r="C96">
        <v>80</v>
      </c>
      <c r="D96">
        <v>77.755584717000005</v>
      </c>
      <c r="E96">
        <v>50</v>
      </c>
      <c r="F96">
        <v>14.998703002999999</v>
      </c>
      <c r="G96">
        <v>1352.1488036999999</v>
      </c>
      <c r="H96">
        <v>1347.6634521000001</v>
      </c>
      <c r="I96">
        <v>1311.2246094</v>
      </c>
      <c r="J96">
        <v>1302.1820068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2.0058319999999998</v>
      </c>
      <c r="B97" s="1">
        <f>DATE(2010,5,3) + TIME(0,8,23)</f>
        <v>40301.00582175926</v>
      </c>
      <c r="C97">
        <v>80</v>
      </c>
      <c r="D97">
        <v>77.959007263000004</v>
      </c>
      <c r="E97">
        <v>50</v>
      </c>
      <c r="F97">
        <v>14.998708725</v>
      </c>
      <c r="G97">
        <v>1352.140625</v>
      </c>
      <c r="H97">
        <v>1347.6533202999999</v>
      </c>
      <c r="I97">
        <v>1311.2248535000001</v>
      </c>
      <c r="J97">
        <v>1302.182251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2.0565980000000001</v>
      </c>
      <c r="B98" s="1">
        <f>DATE(2010,5,3) + TIME(1,21,30)</f>
        <v>40301.056597222225</v>
      </c>
      <c r="C98">
        <v>80</v>
      </c>
      <c r="D98">
        <v>78.148406981999997</v>
      </c>
      <c r="E98">
        <v>50</v>
      </c>
      <c r="F98">
        <v>14.998714446999999</v>
      </c>
      <c r="G98">
        <v>1352.1313477000001</v>
      </c>
      <c r="H98">
        <v>1347.6418457</v>
      </c>
      <c r="I98">
        <v>1311.2250977000001</v>
      </c>
      <c r="J98">
        <v>1302.1823730000001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2.1088770000000001</v>
      </c>
      <c r="B99" s="1">
        <f>DATE(2010,5,3) + TIME(2,36,46)</f>
        <v>40301.108865740738</v>
      </c>
      <c r="C99">
        <v>80</v>
      </c>
      <c r="D99">
        <v>78.324478149000001</v>
      </c>
      <c r="E99">
        <v>50</v>
      </c>
      <c r="F99">
        <v>14.998720169</v>
      </c>
      <c r="G99">
        <v>1352.1208495999999</v>
      </c>
      <c r="H99">
        <v>1347.6290283000001</v>
      </c>
      <c r="I99">
        <v>1311.2253418</v>
      </c>
      <c r="J99">
        <v>1302.1826172000001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2.162814</v>
      </c>
      <c r="B100" s="1">
        <f>DATE(2010,5,3) + TIME(3,54,27)</f>
        <v>40301.162812499999</v>
      </c>
      <c r="C100">
        <v>80</v>
      </c>
      <c r="D100">
        <v>78.487899780000006</v>
      </c>
      <c r="E100">
        <v>50</v>
      </c>
      <c r="F100">
        <v>14.998725890999999</v>
      </c>
      <c r="G100">
        <v>1352.1092529</v>
      </c>
      <c r="H100">
        <v>1347.6148682</v>
      </c>
      <c r="I100">
        <v>1311.2255858999999</v>
      </c>
      <c r="J100">
        <v>1302.1827393000001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2.2185649999999999</v>
      </c>
      <c r="B101" s="1">
        <f>DATE(2010,5,3) + TIME(5,14,44)</f>
        <v>40301.218564814815</v>
      </c>
      <c r="C101">
        <v>80</v>
      </c>
      <c r="D101">
        <v>78.639274596999996</v>
      </c>
      <c r="E101">
        <v>50</v>
      </c>
      <c r="F101">
        <v>14.998732566999999</v>
      </c>
      <c r="G101">
        <v>1352.0964355000001</v>
      </c>
      <c r="H101">
        <v>1347.5994873</v>
      </c>
      <c r="I101">
        <v>1311.2259521000001</v>
      </c>
      <c r="J101">
        <v>1302.1829834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2.276278</v>
      </c>
      <c r="B102" s="1">
        <f>DATE(2010,5,3) + TIME(6,37,50)</f>
        <v>40301.276273148149</v>
      </c>
      <c r="C102">
        <v>80</v>
      </c>
      <c r="D102">
        <v>78.779159546000002</v>
      </c>
      <c r="E102">
        <v>50</v>
      </c>
      <c r="F102">
        <v>14.998738289</v>
      </c>
      <c r="G102">
        <v>1352.0825195</v>
      </c>
      <c r="H102">
        <v>1347.5827637</v>
      </c>
      <c r="I102">
        <v>1311.2261963000001</v>
      </c>
      <c r="J102">
        <v>1302.1832274999999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2.335718</v>
      </c>
      <c r="B103" s="1">
        <f>DATE(2010,5,3) + TIME(8,3,26)</f>
        <v>40301.335717592592</v>
      </c>
      <c r="C103">
        <v>80</v>
      </c>
      <c r="D103">
        <v>78.907302856000001</v>
      </c>
      <c r="E103">
        <v>50</v>
      </c>
      <c r="F103">
        <v>14.998744010999999</v>
      </c>
      <c r="G103">
        <v>1352.0672606999999</v>
      </c>
      <c r="H103">
        <v>1347.5646973</v>
      </c>
      <c r="I103">
        <v>1311.2264404</v>
      </c>
      <c r="J103">
        <v>1302.1834716999999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2.3970560000000001</v>
      </c>
      <c r="B104" s="1">
        <f>DATE(2010,5,3) + TIME(9,31,45)</f>
        <v>40301.397048611114</v>
      </c>
      <c r="C104">
        <v>80</v>
      </c>
      <c r="D104">
        <v>79.024467467999997</v>
      </c>
      <c r="E104">
        <v>50</v>
      </c>
      <c r="F104">
        <v>14.998749733</v>
      </c>
      <c r="G104">
        <v>1352.0509033000001</v>
      </c>
      <c r="H104">
        <v>1347.5454102000001</v>
      </c>
      <c r="I104">
        <v>1311.2268065999999</v>
      </c>
      <c r="J104">
        <v>1302.1835937999999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2.4604680000000001</v>
      </c>
      <c r="B105" s="1">
        <f>DATE(2010,5,3) + TIME(11,3,4)</f>
        <v>40301.460462962961</v>
      </c>
      <c r="C105">
        <v>80</v>
      </c>
      <c r="D105">
        <v>79.131347656000003</v>
      </c>
      <c r="E105">
        <v>50</v>
      </c>
      <c r="F105">
        <v>14.998756409</v>
      </c>
      <c r="G105">
        <v>1352.0333252</v>
      </c>
      <c r="H105">
        <v>1347.5249022999999</v>
      </c>
      <c r="I105">
        <v>1311.2270507999999</v>
      </c>
      <c r="J105">
        <v>1302.1838379000001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2.5261130000000001</v>
      </c>
      <c r="B106" s="1">
        <f>DATE(2010,5,3) + TIME(12,37,36)</f>
        <v>40301.52611111111</v>
      </c>
      <c r="C106">
        <v>80</v>
      </c>
      <c r="D106">
        <v>79.228561400999993</v>
      </c>
      <c r="E106">
        <v>50</v>
      </c>
      <c r="F106">
        <v>14.998762130999999</v>
      </c>
      <c r="G106">
        <v>1352.0145264</v>
      </c>
      <c r="H106">
        <v>1347.5030518000001</v>
      </c>
      <c r="I106">
        <v>1311.2272949000001</v>
      </c>
      <c r="J106">
        <v>1302.184082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2.5940850000000002</v>
      </c>
      <c r="B107" s="1">
        <f>DATE(2010,5,3) + TIME(14,15,28)</f>
        <v>40301.594074074077</v>
      </c>
      <c r="C107">
        <v>80</v>
      </c>
      <c r="D107">
        <v>79.316589355000005</v>
      </c>
      <c r="E107">
        <v>50</v>
      </c>
      <c r="F107">
        <v>14.998767853</v>
      </c>
      <c r="G107">
        <v>1351.9945068</v>
      </c>
      <c r="H107">
        <v>1347.4799805</v>
      </c>
      <c r="I107">
        <v>1311.2276611</v>
      </c>
      <c r="J107">
        <v>1302.1843262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2.6646230000000002</v>
      </c>
      <c r="B108" s="1">
        <f>DATE(2010,5,3) + TIME(15,57,3)</f>
        <v>40301.664618055554</v>
      </c>
      <c r="C108">
        <v>80</v>
      </c>
      <c r="D108">
        <v>79.396087645999998</v>
      </c>
      <c r="E108">
        <v>50</v>
      </c>
      <c r="F108">
        <v>14.998774529</v>
      </c>
      <c r="G108">
        <v>1351.9732666</v>
      </c>
      <c r="H108">
        <v>1347.4555664</v>
      </c>
      <c r="I108">
        <v>1311.2279053</v>
      </c>
      <c r="J108">
        <v>1302.1845702999999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2.7376879999999999</v>
      </c>
      <c r="B109" s="1">
        <f>DATE(2010,5,3) + TIME(17,42,16)</f>
        <v>40301.737685185188</v>
      </c>
      <c r="C109">
        <v>80</v>
      </c>
      <c r="D109">
        <v>79.467422485</v>
      </c>
      <c r="E109">
        <v>50</v>
      </c>
      <c r="F109">
        <v>14.998780250999999</v>
      </c>
      <c r="G109">
        <v>1351.9506836</v>
      </c>
      <c r="H109">
        <v>1347.4299315999999</v>
      </c>
      <c r="I109">
        <v>1311.2282714999999</v>
      </c>
      <c r="J109">
        <v>1302.1848144999999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2.8115190000000001</v>
      </c>
      <c r="B110" s="1">
        <f>DATE(2010,5,3) + TIME(19,28,35)</f>
        <v>40301.811516203707</v>
      </c>
      <c r="C110">
        <v>80</v>
      </c>
      <c r="D110">
        <v>79.529754639000004</v>
      </c>
      <c r="E110">
        <v>50</v>
      </c>
      <c r="F110">
        <v>14.998785973</v>
      </c>
      <c r="G110">
        <v>1351.9270019999999</v>
      </c>
      <c r="H110">
        <v>1347.4031981999999</v>
      </c>
      <c r="I110">
        <v>1311.2285156</v>
      </c>
      <c r="J110">
        <v>1302.1850586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2.8853569999999999</v>
      </c>
      <c r="B111" s="1">
        <f>DATE(2010,5,3) + TIME(21,14,54)</f>
        <v>40301.885347222225</v>
      </c>
      <c r="C111">
        <v>80</v>
      </c>
      <c r="D111">
        <v>79.583671570000007</v>
      </c>
      <c r="E111">
        <v>50</v>
      </c>
      <c r="F111">
        <v>14.998791695</v>
      </c>
      <c r="G111">
        <v>1351.902832</v>
      </c>
      <c r="H111">
        <v>1347.3760986</v>
      </c>
      <c r="I111">
        <v>1311.2288818</v>
      </c>
      <c r="J111">
        <v>1302.1853027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2.959349</v>
      </c>
      <c r="B112" s="1">
        <f>DATE(2010,5,3) + TIME(23,1,27)</f>
        <v>40301.959340277775</v>
      </c>
      <c r="C112">
        <v>80</v>
      </c>
      <c r="D112">
        <v>79.630386353000006</v>
      </c>
      <c r="E112">
        <v>50</v>
      </c>
      <c r="F112">
        <v>14.998797417</v>
      </c>
      <c r="G112">
        <v>1351.878418</v>
      </c>
      <c r="H112">
        <v>1347.3487548999999</v>
      </c>
      <c r="I112">
        <v>1311.229126</v>
      </c>
      <c r="J112">
        <v>1302.1855469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3.033636</v>
      </c>
      <c r="B113" s="1">
        <f>DATE(2010,5,4) + TIME(0,48,26)</f>
        <v>40302.033634259256</v>
      </c>
      <c r="C113">
        <v>80</v>
      </c>
      <c r="D113">
        <v>79.670913696</v>
      </c>
      <c r="E113">
        <v>50</v>
      </c>
      <c r="F113">
        <v>14.998803139</v>
      </c>
      <c r="G113">
        <v>1351.8536377</v>
      </c>
      <c r="H113">
        <v>1347.3214111</v>
      </c>
      <c r="I113">
        <v>1311.2294922000001</v>
      </c>
      <c r="J113">
        <v>1302.1857910000001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3.1083479999999999</v>
      </c>
      <c r="B114" s="1">
        <f>DATE(2010,5,4) + TIME(2,36,1)</f>
        <v>40302.108344907407</v>
      </c>
      <c r="C114">
        <v>80</v>
      </c>
      <c r="D114">
        <v>79.706115722999996</v>
      </c>
      <c r="E114">
        <v>50</v>
      </c>
      <c r="F114">
        <v>14.998808861000001</v>
      </c>
      <c r="G114">
        <v>1351.8286132999999</v>
      </c>
      <c r="H114">
        <v>1347.2939452999999</v>
      </c>
      <c r="I114">
        <v>1311.2297363</v>
      </c>
      <c r="J114">
        <v>1302.1860352000001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3.1834210000000001</v>
      </c>
      <c r="B115" s="1">
        <f>DATE(2010,5,4) + TIME(4,24,7)</f>
        <v>40302.18341435185</v>
      </c>
      <c r="C115">
        <v>80</v>
      </c>
      <c r="D115">
        <v>79.736648560000006</v>
      </c>
      <c r="E115">
        <v>50</v>
      </c>
      <c r="F115">
        <v>14.998814583</v>
      </c>
      <c r="G115">
        <v>1351.8034668</v>
      </c>
      <c r="H115">
        <v>1347.2664795000001</v>
      </c>
      <c r="I115">
        <v>1311.2301024999999</v>
      </c>
      <c r="J115">
        <v>1302.1862793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3.2589100000000002</v>
      </c>
      <c r="B116" s="1">
        <f>DATE(2010,5,4) + TIME(6,12,49)</f>
        <v>40302.258900462963</v>
      </c>
      <c r="C116">
        <v>80</v>
      </c>
      <c r="D116">
        <v>79.763130188000005</v>
      </c>
      <c r="E116">
        <v>50</v>
      </c>
      <c r="F116">
        <v>14.998819351</v>
      </c>
      <c r="G116">
        <v>1351.7780762</v>
      </c>
      <c r="H116">
        <v>1347.2390137</v>
      </c>
      <c r="I116">
        <v>1311.2303466999999</v>
      </c>
      <c r="J116">
        <v>1302.1865233999999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3.3349329999999999</v>
      </c>
      <c r="B117" s="1">
        <f>DATE(2010,5,4) + TIME(8,2,18)</f>
        <v>40302.334930555553</v>
      </c>
      <c r="C117">
        <v>80</v>
      </c>
      <c r="D117">
        <v>79.786125182999996</v>
      </c>
      <c r="E117">
        <v>50</v>
      </c>
      <c r="F117">
        <v>14.998825073000001</v>
      </c>
      <c r="G117">
        <v>1351.7525635</v>
      </c>
      <c r="H117">
        <v>1347.2114257999999</v>
      </c>
      <c r="I117">
        <v>1311.2307129000001</v>
      </c>
      <c r="J117">
        <v>1302.1867675999999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3.4116070000000001</v>
      </c>
      <c r="B118" s="1">
        <f>DATE(2010,5,4) + TIME(9,52,42)</f>
        <v>40302.411597222221</v>
      </c>
      <c r="C118">
        <v>80</v>
      </c>
      <c r="D118">
        <v>79.806106567</v>
      </c>
      <c r="E118">
        <v>50</v>
      </c>
      <c r="F118">
        <v>14.998829841999999</v>
      </c>
      <c r="G118">
        <v>1351.7268065999999</v>
      </c>
      <c r="H118">
        <v>1347.1839600000001</v>
      </c>
      <c r="I118">
        <v>1311.230957</v>
      </c>
      <c r="J118">
        <v>1302.1870117000001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3.4890439999999998</v>
      </c>
      <c r="B119" s="1">
        <f>DATE(2010,5,4) + TIME(11,44,13)</f>
        <v>40302.489039351851</v>
      </c>
      <c r="C119">
        <v>80</v>
      </c>
      <c r="D119">
        <v>79.823463439999998</v>
      </c>
      <c r="E119">
        <v>50</v>
      </c>
      <c r="F119">
        <v>14.998834609999999</v>
      </c>
      <c r="G119">
        <v>1351.7010498</v>
      </c>
      <c r="H119">
        <v>1347.1564940999999</v>
      </c>
      <c r="I119">
        <v>1311.2313231999999</v>
      </c>
      <c r="J119">
        <v>1302.1872559000001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3.5673569999999999</v>
      </c>
      <c r="B120" s="1">
        <f>DATE(2010,5,4) + TIME(13,36,59)</f>
        <v>40302.567349537036</v>
      </c>
      <c r="C120">
        <v>80</v>
      </c>
      <c r="D120">
        <v>79.838554381999998</v>
      </c>
      <c r="E120">
        <v>50</v>
      </c>
      <c r="F120">
        <v>14.998840332</v>
      </c>
      <c r="G120">
        <v>1351.6751709</v>
      </c>
      <c r="H120">
        <v>1347.1290283000001</v>
      </c>
      <c r="I120">
        <v>1311.2315673999999</v>
      </c>
      <c r="J120">
        <v>1302.1875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3.6466630000000002</v>
      </c>
      <c r="B121" s="1">
        <f>DATE(2010,5,4) + TIME(15,31,11)</f>
        <v>40302.646655092591</v>
      </c>
      <c r="C121">
        <v>80</v>
      </c>
      <c r="D121">
        <v>79.851676940999994</v>
      </c>
      <c r="E121">
        <v>50</v>
      </c>
      <c r="F121">
        <v>14.9988451</v>
      </c>
      <c r="G121">
        <v>1351.6490478999999</v>
      </c>
      <c r="H121">
        <v>1347.1014404</v>
      </c>
      <c r="I121">
        <v>1311.2318115</v>
      </c>
      <c r="J121">
        <v>1302.1877440999999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3.7270819999999998</v>
      </c>
      <c r="B122" s="1">
        <f>DATE(2010,5,4) + TIME(17,26,59)</f>
        <v>40302.727071759262</v>
      </c>
      <c r="C122">
        <v>80</v>
      </c>
      <c r="D122">
        <v>79.863090514999996</v>
      </c>
      <c r="E122">
        <v>50</v>
      </c>
      <c r="F122">
        <v>14.998849869000001</v>
      </c>
      <c r="G122">
        <v>1351.6228027</v>
      </c>
      <c r="H122">
        <v>1347.0739745999999</v>
      </c>
      <c r="I122">
        <v>1311.2321777</v>
      </c>
      <c r="J122">
        <v>1302.1879882999999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3.8087390000000001</v>
      </c>
      <c r="B123" s="1">
        <f>DATE(2010,5,4) + TIME(19,24,35)</f>
        <v>40302.808738425927</v>
      </c>
      <c r="C123">
        <v>80</v>
      </c>
      <c r="D123">
        <v>79.873008728000002</v>
      </c>
      <c r="E123">
        <v>50</v>
      </c>
      <c r="F123">
        <v>14.998854637000001</v>
      </c>
      <c r="G123">
        <v>1351.5964355000001</v>
      </c>
      <c r="H123">
        <v>1347.0463867000001</v>
      </c>
      <c r="I123">
        <v>1311.2324219</v>
      </c>
      <c r="J123">
        <v>1302.1882324000001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3.8917649999999999</v>
      </c>
      <c r="B124" s="1">
        <f>DATE(2010,5,4) + TIME(21,24,8)</f>
        <v>40302.891759259262</v>
      </c>
      <c r="C124">
        <v>80</v>
      </c>
      <c r="D124">
        <v>79.881629943999997</v>
      </c>
      <c r="E124">
        <v>50</v>
      </c>
      <c r="F124">
        <v>14.998859405999999</v>
      </c>
      <c r="G124">
        <v>1351.5698242000001</v>
      </c>
      <c r="H124">
        <v>1347.0186768000001</v>
      </c>
      <c r="I124">
        <v>1311.2327881000001</v>
      </c>
      <c r="J124">
        <v>1302.1884766000001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3.9762979999999999</v>
      </c>
      <c r="B125" s="1">
        <f>DATE(2010,5,4) + TIME(23,25,52)</f>
        <v>40302.9762962963</v>
      </c>
      <c r="C125">
        <v>80</v>
      </c>
      <c r="D125">
        <v>79.889114379999995</v>
      </c>
      <c r="E125">
        <v>50</v>
      </c>
      <c r="F125">
        <v>14.998864173999999</v>
      </c>
      <c r="G125">
        <v>1351.5430908000001</v>
      </c>
      <c r="H125">
        <v>1346.9909668</v>
      </c>
      <c r="I125">
        <v>1311.2330322</v>
      </c>
      <c r="J125">
        <v>1302.1887207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4.0625109999999998</v>
      </c>
      <c r="B126" s="1">
        <f>DATE(2010,5,5) + TIME(1,30,0)</f>
        <v>40303.0625</v>
      </c>
      <c r="C126">
        <v>80</v>
      </c>
      <c r="D126">
        <v>79.895622252999999</v>
      </c>
      <c r="E126">
        <v>50</v>
      </c>
      <c r="F126">
        <v>14.998868942</v>
      </c>
      <c r="G126">
        <v>1351.5161132999999</v>
      </c>
      <c r="H126">
        <v>1346.9632568</v>
      </c>
      <c r="I126">
        <v>1311.2333983999999</v>
      </c>
      <c r="J126">
        <v>1302.1889647999999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4.1505570000000001</v>
      </c>
      <c r="B127" s="1">
        <f>DATE(2010,5,5) + TIME(3,36,48)</f>
        <v>40303.150555555556</v>
      </c>
      <c r="C127">
        <v>80</v>
      </c>
      <c r="D127">
        <v>79.901275635000005</v>
      </c>
      <c r="E127">
        <v>50</v>
      </c>
      <c r="F127">
        <v>14.998873711</v>
      </c>
      <c r="G127">
        <v>1351.4888916</v>
      </c>
      <c r="H127">
        <v>1346.9353027</v>
      </c>
      <c r="I127">
        <v>1311.2336425999999</v>
      </c>
      <c r="J127">
        <v>1302.1893310999999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4.2405929999999996</v>
      </c>
      <c r="B128" s="1">
        <f>DATE(2010,5,5) + TIME(5,46,27)</f>
        <v>40303.240590277775</v>
      </c>
      <c r="C128">
        <v>80</v>
      </c>
      <c r="D128">
        <v>79.906181334999999</v>
      </c>
      <c r="E128">
        <v>50</v>
      </c>
      <c r="F128">
        <v>14.998879433000001</v>
      </c>
      <c r="G128">
        <v>1351.4615478999999</v>
      </c>
      <c r="H128">
        <v>1346.9071045000001</v>
      </c>
      <c r="I128">
        <v>1311.2340088000001</v>
      </c>
      <c r="J128">
        <v>1302.1895752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4.3328059999999997</v>
      </c>
      <c r="B129" s="1">
        <f>DATE(2010,5,5) + TIME(7,59,14)</f>
        <v>40303.332800925928</v>
      </c>
      <c r="C129">
        <v>80</v>
      </c>
      <c r="D129">
        <v>79.910438537999994</v>
      </c>
      <c r="E129">
        <v>50</v>
      </c>
      <c r="F129">
        <v>14.998884200999999</v>
      </c>
      <c r="G129">
        <v>1351.4337158000001</v>
      </c>
      <c r="H129">
        <v>1346.8789062000001</v>
      </c>
      <c r="I129">
        <v>1311.234375</v>
      </c>
      <c r="J129">
        <v>1302.1898193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4.4273990000000003</v>
      </c>
      <c r="B130" s="1">
        <f>DATE(2010,5,5) + TIME(10,15,27)</f>
        <v>40303.427395833336</v>
      </c>
      <c r="C130">
        <v>80</v>
      </c>
      <c r="D130">
        <v>79.914123535000002</v>
      </c>
      <c r="E130">
        <v>50</v>
      </c>
      <c r="F130">
        <v>14.998888968999999</v>
      </c>
      <c r="G130">
        <v>1351.4057617000001</v>
      </c>
      <c r="H130">
        <v>1346.8504639</v>
      </c>
      <c r="I130">
        <v>1311.2346190999999</v>
      </c>
      <c r="J130">
        <v>1302.1900635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4.5245949999999997</v>
      </c>
      <c r="B131" s="1">
        <f>DATE(2010,5,5) + TIME(12,35,25)</f>
        <v>40303.524594907409</v>
      </c>
      <c r="C131">
        <v>80</v>
      </c>
      <c r="D131">
        <v>79.917320251000007</v>
      </c>
      <c r="E131">
        <v>50</v>
      </c>
      <c r="F131">
        <v>14.998893738</v>
      </c>
      <c r="G131">
        <v>1351.3773193</v>
      </c>
      <c r="H131">
        <v>1346.8217772999999</v>
      </c>
      <c r="I131">
        <v>1311.2349853999999</v>
      </c>
      <c r="J131">
        <v>1302.1904297000001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4.6246419999999997</v>
      </c>
      <c r="B132" s="1">
        <f>DATE(2010,5,5) + TIME(14,59,29)</f>
        <v>40303.624641203707</v>
      </c>
      <c r="C132">
        <v>80</v>
      </c>
      <c r="D132">
        <v>79.920089722</v>
      </c>
      <c r="E132">
        <v>50</v>
      </c>
      <c r="F132">
        <v>14.998898506</v>
      </c>
      <c r="G132">
        <v>1351.3486327999999</v>
      </c>
      <c r="H132">
        <v>1346.7927245999999</v>
      </c>
      <c r="I132">
        <v>1311.2353516000001</v>
      </c>
      <c r="J132">
        <v>1302.1906738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4.7271799999999997</v>
      </c>
      <c r="B133" s="1">
        <f>DATE(2010,5,5) + TIME(17,27,8)</f>
        <v>40303.727175925924</v>
      </c>
      <c r="C133">
        <v>80</v>
      </c>
      <c r="D133">
        <v>79.922477721999996</v>
      </c>
      <c r="E133">
        <v>50</v>
      </c>
      <c r="F133">
        <v>14.998903275</v>
      </c>
      <c r="G133">
        <v>1351.3194579999999</v>
      </c>
      <c r="H133">
        <v>1346.7634277</v>
      </c>
      <c r="I133">
        <v>1311.2357178</v>
      </c>
      <c r="J133">
        <v>1302.1910399999999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4.8322089999999998</v>
      </c>
      <c r="B134" s="1">
        <f>DATE(2010,5,5) + TIME(19,58,22)</f>
        <v>40303.832199074073</v>
      </c>
      <c r="C134">
        <v>80</v>
      </c>
      <c r="D134">
        <v>79.924530028999996</v>
      </c>
      <c r="E134">
        <v>50</v>
      </c>
      <c r="F134">
        <v>14.998908996999999</v>
      </c>
      <c r="G134">
        <v>1351.2900391000001</v>
      </c>
      <c r="H134">
        <v>1346.7340088000001</v>
      </c>
      <c r="I134">
        <v>1311.2360839999999</v>
      </c>
      <c r="J134">
        <v>1302.1912841999999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4.9399649999999999</v>
      </c>
      <c r="B135" s="1">
        <f>DATE(2010,5,5) + TIME(22,33,32)</f>
        <v>40303.939953703702</v>
      </c>
      <c r="C135">
        <v>80</v>
      </c>
      <c r="D135">
        <v>79.926300049000005</v>
      </c>
      <c r="E135">
        <v>50</v>
      </c>
      <c r="F135">
        <v>14.998913764999999</v>
      </c>
      <c r="G135">
        <v>1351.260376</v>
      </c>
      <c r="H135">
        <v>1346.7043457</v>
      </c>
      <c r="I135">
        <v>1311.2364502</v>
      </c>
      <c r="J135">
        <v>1302.1916504000001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5.0507</v>
      </c>
      <c r="B136" s="1">
        <f>DATE(2010,5,6) + TIME(1,13,0)</f>
        <v>40304.050694444442</v>
      </c>
      <c r="C136">
        <v>80</v>
      </c>
      <c r="D136">
        <v>79.927825928000004</v>
      </c>
      <c r="E136">
        <v>50</v>
      </c>
      <c r="F136">
        <v>14.998918532999999</v>
      </c>
      <c r="G136">
        <v>1351.2304687999999</v>
      </c>
      <c r="H136">
        <v>1346.6745605000001</v>
      </c>
      <c r="I136">
        <v>1311.2368164</v>
      </c>
      <c r="J136">
        <v>1302.1920166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5.1646939999999999</v>
      </c>
      <c r="B137" s="1">
        <f>DATE(2010,5,6) + TIME(3,57,9)</f>
        <v>40304.164687500001</v>
      </c>
      <c r="C137">
        <v>80</v>
      </c>
      <c r="D137">
        <v>79.929138183999996</v>
      </c>
      <c r="E137">
        <v>50</v>
      </c>
      <c r="F137">
        <v>14.998924255</v>
      </c>
      <c r="G137">
        <v>1351.2003173999999</v>
      </c>
      <c r="H137">
        <v>1346.6446533000001</v>
      </c>
      <c r="I137">
        <v>1311.2371826000001</v>
      </c>
      <c r="J137">
        <v>1302.1922606999999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5.2217849999999997</v>
      </c>
      <c r="B138" s="1">
        <f>DATE(2010,5,6) + TIME(5,19,22)</f>
        <v>40304.221782407411</v>
      </c>
      <c r="C138">
        <v>80</v>
      </c>
      <c r="D138">
        <v>79.929733275999993</v>
      </c>
      <c r="E138">
        <v>50</v>
      </c>
      <c r="F138">
        <v>14.998927116000001</v>
      </c>
      <c r="G138">
        <v>1351.1694336</v>
      </c>
      <c r="H138">
        <v>1346.6137695</v>
      </c>
      <c r="I138">
        <v>1311.2375488</v>
      </c>
      <c r="J138">
        <v>1302.1925048999999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5.2788760000000003</v>
      </c>
      <c r="B139" s="1">
        <f>DATE(2010,5,6) + TIME(6,41,34)</f>
        <v>40304.278865740744</v>
      </c>
      <c r="C139">
        <v>80</v>
      </c>
      <c r="D139">
        <v>79.930282593000001</v>
      </c>
      <c r="E139">
        <v>50</v>
      </c>
      <c r="F139">
        <v>14.998929024000001</v>
      </c>
      <c r="G139">
        <v>1351.1542969</v>
      </c>
      <c r="H139">
        <v>1346.5987548999999</v>
      </c>
      <c r="I139">
        <v>1311.2376709</v>
      </c>
      <c r="J139">
        <v>1302.192749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5.335966</v>
      </c>
      <c r="B140" s="1">
        <f>DATE(2010,5,6) + TIME(8,3,47)</f>
        <v>40304.335960648146</v>
      </c>
      <c r="C140">
        <v>80</v>
      </c>
      <c r="D140">
        <v>79.930786132999998</v>
      </c>
      <c r="E140">
        <v>50</v>
      </c>
      <c r="F140">
        <v>14.998931884999999</v>
      </c>
      <c r="G140">
        <v>1351.1392822</v>
      </c>
      <c r="H140">
        <v>1346.5839844</v>
      </c>
      <c r="I140">
        <v>1311.2379149999999</v>
      </c>
      <c r="J140">
        <v>1302.1928711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5.3930569999999998</v>
      </c>
      <c r="B141" s="1">
        <f>DATE(2010,5,6) + TIME(9,26,0)</f>
        <v>40304.393055555556</v>
      </c>
      <c r="C141">
        <v>80</v>
      </c>
      <c r="D141">
        <v>79.931243895999998</v>
      </c>
      <c r="E141">
        <v>50</v>
      </c>
      <c r="F141">
        <v>14.998934746</v>
      </c>
      <c r="G141">
        <v>1351.1243896000001</v>
      </c>
      <c r="H141">
        <v>1346.5693358999999</v>
      </c>
      <c r="I141">
        <v>1311.2381591999999</v>
      </c>
      <c r="J141">
        <v>1302.1931152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5.5072390000000002</v>
      </c>
      <c r="B142" s="1">
        <f>DATE(2010,5,6) + TIME(12,10,25)</f>
        <v>40304.507233796299</v>
      </c>
      <c r="C142">
        <v>80</v>
      </c>
      <c r="D142">
        <v>79.932029724000003</v>
      </c>
      <c r="E142">
        <v>50</v>
      </c>
      <c r="F142">
        <v>14.998939514</v>
      </c>
      <c r="G142">
        <v>1351.1099853999999</v>
      </c>
      <c r="H142">
        <v>1346.5555420000001</v>
      </c>
      <c r="I142">
        <v>1311.2384033000001</v>
      </c>
      <c r="J142">
        <v>1302.1933594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5.6215010000000003</v>
      </c>
      <c r="B143" s="1">
        <f>DATE(2010,5,6) + TIME(14,54,57)</f>
        <v>40304.621493055558</v>
      </c>
      <c r="C143">
        <v>80</v>
      </c>
      <c r="D143">
        <v>79.932693481000001</v>
      </c>
      <c r="E143">
        <v>50</v>
      </c>
      <c r="F143">
        <v>14.998944283</v>
      </c>
      <c r="G143">
        <v>1351.0809326000001</v>
      </c>
      <c r="H143">
        <v>1346.5270995999999</v>
      </c>
      <c r="I143">
        <v>1311.2387695</v>
      </c>
      <c r="J143">
        <v>1302.1936035000001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5.7361690000000003</v>
      </c>
      <c r="B144" s="1">
        <f>DATE(2010,5,6) + TIME(17,40,4)</f>
        <v>40304.736157407409</v>
      </c>
      <c r="C144">
        <v>80</v>
      </c>
      <c r="D144">
        <v>79.933265685999999</v>
      </c>
      <c r="E144">
        <v>50</v>
      </c>
      <c r="F144">
        <v>14.998949051</v>
      </c>
      <c r="G144">
        <v>1351.0523682</v>
      </c>
      <c r="H144">
        <v>1346.4991454999999</v>
      </c>
      <c r="I144">
        <v>1311.2391356999999</v>
      </c>
      <c r="J144">
        <v>1302.1939697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5.8514419999999996</v>
      </c>
      <c r="B145" s="1">
        <f>DATE(2010,5,6) + TIME(20,26,4)</f>
        <v>40304.851435185185</v>
      </c>
      <c r="C145">
        <v>80</v>
      </c>
      <c r="D145">
        <v>79.933761597</v>
      </c>
      <c r="E145">
        <v>50</v>
      </c>
      <c r="F145">
        <v>14.998953819</v>
      </c>
      <c r="G145">
        <v>1351.0240478999999</v>
      </c>
      <c r="H145">
        <v>1346.4716797000001</v>
      </c>
      <c r="I145">
        <v>1311.2395019999999</v>
      </c>
      <c r="J145">
        <v>1302.1943358999999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5.967498</v>
      </c>
      <c r="B146" s="1">
        <f>DATE(2010,5,6) + TIME(23,13,11)</f>
        <v>40304.967488425929</v>
      </c>
      <c r="C146">
        <v>80</v>
      </c>
      <c r="D146">
        <v>79.934196471999996</v>
      </c>
      <c r="E146">
        <v>50</v>
      </c>
      <c r="F146">
        <v>14.998957634</v>
      </c>
      <c r="G146">
        <v>1350.9962158000001</v>
      </c>
      <c r="H146">
        <v>1346.4445800999999</v>
      </c>
      <c r="I146">
        <v>1311.2399902</v>
      </c>
      <c r="J146">
        <v>1302.1947021000001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6.0845140000000004</v>
      </c>
      <c r="B147" s="1">
        <f>DATE(2010,5,7) + TIME(2,1,42)</f>
        <v>40305.084513888891</v>
      </c>
      <c r="C147">
        <v>80</v>
      </c>
      <c r="D147">
        <v>79.934570312000005</v>
      </c>
      <c r="E147">
        <v>50</v>
      </c>
      <c r="F147">
        <v>14.998962402</v>
      </c>
      <c r="G147">
        <v>1350.9686279</v>
      </c>
      <c r="H147">
        <v>1346.4178466999999</v>
      </c>
      <c r="I147">
        <v>1311.2403564000001</v>
      </c>
      <c r="J147">
        <v>1302.1949463000001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6.2026669999999999</v>
      </c>
      <c r="B148" s="1">
        <f>DATE(2010,5,7) + TIME(4,51,50)</f>
        <v>40305.202662037038</v>
      </c>
      <c r="C148">
        <v>80</v>
      </c>
      <c r="D148">
        <v>79.934898376000007</v>
      </c>
      <c r="E148">
        <v>50</v>
      </c>
      <c r="F148">
        <v>14.998967171</v>
      </c>
      <c r="G148">
        <v>1350.9411620999999</v>
      </c>
      <c r="H148">
        <v>1346.3913574000001</v>
      </c>
      <c r="I148">
        <v>1311.2407227000001</v>
      </c>
      <c r="J148">
        <v>1302.1953125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6.3221400000000001</v>
      </c>
      <c r="B149" s="1">
        <f>DATE(2010,5,7) + TIME(7,43,52)</f>
        <v>40305.322129629632</v>
      </c>
      <c r="C149">
        <v>80</v>
      </c>
      <c r="D149">
        <v>79.935188292999996</v>
      </c>
      <c r="E149">
        <v>50</v>
      </c>
      <c r="F149">
        <v>14.998971939</v>
      </c>
      <c r="G149">
        <v>1350.9140625</v>
      </c>
      <c r="H149">
        <v>1346.3652344</v>
      </c>
      <c r="I149">
        <v>1311.2410889</v>
      </c>
      <c r="J149">
        <v>1302.1956786999999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6.4431190000000003</v>
      </c>
      <c r="B150" s="1">
        <f>DATE(2010,5,7) + TIME(10,38,5)</f>
        <v>40305.443113425928</v>
      </c>
      <c r="C150">
        <v>80</v>
      </c>
      <c r="D150">
        <v>79.935447693</v>
      </c>
      <c r="E150">
        <v>50</v>
      </c>
      <c r="F150">
        <v>14.998975754</v>
      </c>
      <c r="G150">
        <v>1350.8869629000001</v>
      </c>
      <c r="H150">
        <v>1346.3392334</v>
      </c>
      <c r="I150">
        <v>1311.2414550999999</v>
      </c>
      <c r="J150">
        <v>1302.1960449000001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6.5658000000000003</v>
      </c>
      <c r="B151" s="1">
        <f>DATE(2010,5,7) + TIME(13,34,45)</f>
        <v>40305.565798611111</v>
      </c>
      <c r="C151">
        <v>80</v>
      </c>
      <c r="D151">
        <v>79.935676575000002</v>
      </c>
      <c r="E151">
        <v>50</v>
      </c>
      <c r="F151">
        <v>14.998980522</v>
      </c>
      <c r="G151">
        <v>1350.8601074000001</v>
      </c>
      <c r="H151">
        <v>1346.3134766000001</v>
      </c>
      <c r="I151">
        <v>1311.2419434000001</v>
      </c>
      <c r="J151">
        <v>1302.1964111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6.6903870000000003</v>
      </c>
      <c r="B152" s="1">
        <f>DATE(2010,5,7) + TIME(16,34,9)</f>
        <v>40305.690381944441</v>
      </c>
      <c r="C152">
        <v>80</v>
      </c>
      <c r="D152">
        <v>79.935882567999997</v>
      </c>
      <c r="E152">
        <v>50</v>
      </c>
      <c r="F152">
        <v>14.998985291</v>
      </c>
      <c r="G152">
        <v>1350.8332519999999</v>
      </c>
      <c r="H152">
        <v>1346.2878418</v>
      </c>
      <c r="I152">
        <v>1311.2423096</v>
      </c>
      <c r="J152">
        <v>1302.1967772999999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6.817094</v>
      </c>
      <c r="B153" s="1">
        <f>DATE(2010,5,7) + TIME(19,36,36)</f>
        <v>40305.817083333335</v>
      </c>
      <c r="C153">
        <v>80</v>
      </c>
      <c r="D153">
        <v>79.936058044000006</v>
      </c>
      <c r="E153">
        <v>50</v>
      </c>
      <c r="F153">
        <v>14.998989105</v>
      </c>
      <c r="G153">
        <v>1350.8063964999999</v>
      </c>
      <c r="H153">
        <v>1346.2623291</v>
      </c>
      <c r="I153">
        <v>1311.2427978999999</v>
      </c>
      <c r="J153">
        <v>1302.1971435999999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6.9462080000000004</v>
      </c>
      <c r="B154" s="1">
        <f>DATE(2010,5,7) + TIME(22,42,32)</f>
        <v>40305.946203703701</v>
      </c>
      <c r="C154">
        <v>80</v>
      </c>
      <c r="D154">
        <v>79.936218261999997</v>
      </c>
      <c r="E154">
        <v>50</v>
      </c>
      <c r="F154">
        <v>14.998993874</v>
      </c>
      <c r="G154">
        <v>1350.7796631000001</v>
      </c>
      <c r="H154">
        <v>1346.2369385</v>
      </c>
      <c r="I154">
        <v>1311.2431641000001</v>
      </c>
      <c r="J154">
        <v>1302.1975098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7.0779209999999999</v>
      </c>
      <c r="B155" s="1">
        <f>DATE(2010,5,8) + TIME(1,52,12)</f>
        <v>40306.077916666669</v>
      </c>
      <c r="C155">
        <v>80</v>
      </c>
      <c r="D155">
        <v>79.936363220000004</v>
      </c>
      <c r="E155">
        <v>50</v>
      </c>
      <c r="F155">
        <v>14.998998642</v>
      </c>
      <c r="G155">
        <v>1350.7526855000001</v>
      </c>
      <c r="H155">
        <v>1346.2115478999999</v>
      </c>
      <c r="I155">
        <v>1311.2436522999999</v>
      </c>
      <c r="J155">
        <v>1302.197876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7.2125000000000004</v>
      </c>
      <c r="B156" s="1">
        <f>DATE(2010,5,8) + TIME(5,6,0)</f>
        <v>40306.212500000001</v>
      </c>
      <c r="C156">
        <v>80</v>
      </c>
      <c r="D156">
        <v>79.936492920000006</v>
      </c>
      <c r="E156">
        <v>50</v>
      </c>
      <c r="F156">
        <v>14.99900341</v>
      </c>
      <c r="G156">
        <v>1350.7258300999999</v>
      </c>
      <c r="H156">
        <v>1346.1860352000001</v>
      </c>
      <c r="I156">
        <v>1311.2440185999999</v>
      </c>
      <c r="J156">
        <v>1302.1982422000001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7.3502340000000004</v>
      </c>
      <c r="B157" s="1">
        <f>DATE(2010,5,8) + TIME(8,24,20)</f>
        <v>40306.350231481483</v>
      </c>
      <c r="C157">
        <v>80</v>
      </c>
      <c r="D157">
        <v>79.936614989999995</v>
      </c>
      <c r="E157">
        <v>50</v>
      </c>
      <c r="F157">
        <v>14.999007225</v>
      </c>
      <c r="G157">
        <v>1350.6987305</v>
      </c>
      <c r="H157">
        <v>1346.1606445</v>
      </c>
      <c r="I157">
        <v>1311.2445068</v>
      </c>
      <c r="J157">
        <v>1302.1986084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7.4914360000000002</v>
      </c>
      <c r="B158" s="1">
        <f>DATE(2010,5,8) + TIME(11,47,40)</f>
        <v>40306.491435185184</v>
      </c>
      <c r="C158">
        <v>80</v>
      </c>
      <c r="D158">
        <v>79.936714171999995</v>
      </c>
      <c r="E158">
        <v>50</v>
      </c>
      <c r="F158">
        <v>14.999011993</v>
      </c>
      <c r="G158">
        <v>1350.6715088000001</v>
      </c>
      <c r="H158">
        <v>1346.1350098</v>
      </c>
      <c r="I158">
        <v>1311.2449951000001</v>
      </c>
      <c r="J158">
        <v>1302.1989745999999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7.6361739999999996</v>
      </c>
      <c r="B159" s="1">
        <f>DATE(2010,5,8) + TIME(15,16,5)</f>
        <v>40306.63616898148</v>
      </c>
      <c r="C159">
        <v>80</v>
      </c>
      <c r="D159">
        <v>79.936813353999995</v>
      </c>
      <c r="E159">
        <v>50</v>
      </c>
      <c r="F159">
        <v>14.999016762</v>
      </c>
      <c r="G159">
        <v>1350.644043</v>
      </c>
      <c r="H159">
        <v>1346.109375</v>
      </c>
      <c r="I159">
        <v>1311.2453613</v>
      </c>
      <c r="J159">
        <v>1302.1994629000001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7.783849</v>
      </c>
      <c r="B160" s="1">
        <f>DATE(2010,5,8) + TIME(18,48,44)</f>
        <v>40306.783842592595</v>
      </c>
      <c r="C160">
        <v>80</v>
      </c>
      <c r="D160">
        <v>79.936889648000005</v>
      </c>
      <c r="E160">
        <v>50</v>
      </c>
      <c r="F160">
        <v>14.99902153</v>
      </c>
      <c r="G160">
        <v>1350.6164550999999</v>
      </c>
      <c r="H160">
        <v>1346.0834961</v>
      </c>
      <c r="I160">
        <v>1311.2458495999999</v>
      </c>
      <c r="J160">
        <v>1302.1998291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7.9343250000000003</v>
      </c>
      <c r="B161" s="1">
        <f>DATE(2010,5,8) + TIME(22,25,25)</f>
        <v>40306.934317129628</v>
      </c>
      <c r="C161">
        <v>80</v>
      </c>
      <c r="D161">
        <v>79.936965942</v>
      </c>
      <c r="E161">
        <v>50</v>
      </c>
      <c r="F161">
        <v>14.999026299000001</v>
      </c>
      <c r="G161">
        <v>1350.5887451000001</v>
      </c>
      <c r="H161">
        <v>1346.0577393000001</v>
      </c>
      <c r="I161">
        <v>1311.2463379000001</v>
      </c>
      <c r="J161">
        <v>1302.2003173999999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8.0107590000000002</v>
      </c>
      <c r="B162" s="1">
        <f>DATE(2010,5,9) + TIME(0,15,29)</f>
        <v>40307.010752314818</v>
      </c>
      <c r="C162">
        <v>80</v>
      </c>
      <c r="D162">
        <v>79.936996460000003</v>
      </c>
      <c r="E162">
        <v>50</v>
      </c>
      <c r="F162">
        <v>14.999028206</v>
      </c>
      <c r="G162">
        <v>1350.5606689000001</v>
      </c>
      <c r="H162">
        <v>1346.03125</v>
      </c>
      <c r="I162">
        <v>1311.2468262</v>
      </c>
      <c r="J162">
        <v>1302.2006836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8.0871919999999999</v>
      </c>
      <c r="B163" s="1">
        <f>DATE(2010,5,9) + TIME(2,5,33)</f>
        <v>40307.087187500001</v>
      </c>
      <c r="C163">
        <v>80</v>
      </c>
      <c r="D163">
        <v>79.937026978000006</v>
      </c>
      <c r="E163">
        <v>50</v>
      </c>
      <c r="F163">
        <v>14.999031067000001</v>
      </c>
      <c r="G163">
        <v>1350.5466309000001</v>
      </c>
      <c r="H163">
        <v>1346.0183105000001</v>
      </c>
      <c r="I163">
        <v>1311.2470702999999</v>
      </c>
      <c r="J163">
        <v>1302.2008057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8.1636260000000007</v>
      </c>
      <c r="B164" s="1">
        <f>DATE(2010,5,9) + TIME(3,55,37)</f>
        <v>40307.163622685184</v>
      </c>
      <c r="C164">
        <v>80</v>
      </c>
      <c r="D164">
        <v>79.937057495000005</v>
      </c>
      <c r="E164">
        <v>50</v>
      </c>
      <c r="F164">
        <v>14.999032974</v>
      </c>
      <c r="G164">
        <v>1350.5328368999999</v>
      </c>
      <c r="H164">
        <v>1346.0054932</v>
      </c>
      <c r="I164">
        <v>1311.2473144999999</v>
      </c>
      <c r="J164">
        <v>1302.2010498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8.2400599999999997</v>
      </c>
      <c r="B165" s="1">
        <f>DATE(2010,5,9) + TIME(5,45,41)</f>
        <v>40307.240057870367</v>
      </c>
      <c r="C165">
        <v>80</v>
      </c>
      <c r="D165">
        <v>79.937080382999994</v>
      </c>
      <c r="E165">
        <v>50</v>
      </c>
      <c r="F165">
        <v>14.999035835000001</v>
      </c>
      <c r="G165">
        <v>1350.5191649999999</v>
      </c>
      <c r="H165">
        <v>1345.9927978999999</v>
      </c>
      <c r="I165">
        <v>1311.2475586</v>
      </c>
      <c r="J165">
        <v>1302.2012939000001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8.3164929999999995</v>
      </c>
      <c r="B166" s="1">
        <f>DATE(2010,5,9) + TIME(7,35,45)</f>
        <v>40307.316493055558</v>
      </c>
      <c r="C166">
        <v>80</v>
      </c>
      <c r="D166">
        <v>79.937103270999998</v>
      </c>
      <c r="E166">
        <v>50</v>
      </c>
      <c r="F166">
        <v>14.999037743000001</v>
      </c>
      <c r="G166">
        <v>1350.5056152</v>
      </c>
      <c r="H166">
        <v>1345.9802245999999</v>
      </c>
      <c r="I166">
        <v>1311.2478027</v>
      </c>
      <c r="J166">
        <v>1302.2015381000001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8.3929270000000002</v>
      </c>
      <c r="B167" s="1">
        <f>DATE(2010,5,9) + TIME(9,25,48)</f>
        <v>40307.392916666664</v>
      </c>
      <c r="C167">
        <v>80</v>
      </c>
      <c r="D167">
        <v>79.937126160000005</v>
      </c>
      <c r="E167">
        <v>50</v>
      </c>
      <c r="F167">
        <v>14.999040603999999</v>
      </c>
      <c r="G167">
        <v>1350.4923096</v>
      </c>
      <c r="H167">
        <v>1345.9677733999999</v>
      </c>
      <c r="I167">
        <v>1311.2480469</v>
      </c>
      <c r="J167">
        <v>1302.2016602000001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8.46936</v>
      </c>
      <c r="B168" s="1">
        <f>DATE(2010,5,9) + TIME(11,15,52)</f>
        <v>40307.469351851854</v>
      </c>
      <c r="C168">
        <v>80</v>
      </c>
      <c r="D168">
        <v>79.937149047999995</v>
      </c>
      <c r="E168">
        <v>50</v>
      </c>
      <c r="F168">
        <v>14.999042511000001</v>
      </c>
      <c r="G168">
        <v>1350.4788818</v>
      </c>
      <c r="H168">
        <v>1345.9555664</v>
      </c>
      <c r="I168">
        <v>1311.2482910000001</v>
      </c>
      <c r="J168">
        <v>1302.2019043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8.6222279999999998</v>
      </c>
      <c r="B169" s="1">
        <f>DATE(2010,5,9) + TIME(14,56,0)</f>
        <v>40307.62222222222</v>
      </c>
      <c r="C169">
        <v>80</v>
      </c>
      <c r="D169">
        <v>79.937187195000007</v>
      </c>
      <c r="E169">
        <v>50</v>
      </c>
      <c r="F169">
        <v>14.999047278999999</v>
      </c>
      <c r="G169">
        <v>1350.4661865</v>
      </c>
      <c r="H169">
        <v>1345.9438477000001</v>
      </c>
      <c r="I169">
        <v>1311.2486572</v>
      </c>
      <c r="J169">
        <v>1302.2022704999999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8.7751669999999997</v>
      </c>
      <c r="B170" s="1">
        <f>DATE(2010,5,9) + TIME(18,36,14)</f>
        <v>40307.77516203704</v>
      </c>
      <c r="C170">
        <v>80</v>
      </c>
      <c r="D170">
        <v>79.937217712000006</v>
      </c>
      <c r="E170">
        <v>50</v>
      </c>
      <c r="F170">
        <v>14.999051094</v>
      </c>
      <c r="G170">
        <v>1350.4400635</v>
      </c>
      <c r="H170">
        <v>1345.9199219</v>
      </c>
      <c r="I170">
        <v>1311.2491454999999</v>
      </c>
      <c r="J170">
        <v>1302.2026367000001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8.9289009999999998</v>
      </c>
      <c r="B171" s="1">
        <f>DATE(2010,5,9) + TIME(22,17,37)</f>
        <v>40307.928900462961</v>
      </c>
      <c r="C171">
        <v>80</v>
      </c>
      <c r="D171">
        <v>79.937248229999994</v>
      </c>
      <c r="E171">
        <v>50</v>
      </c>
      <c r="F171">
        <v>14.999054909</v>
      </c>
      <c r="G171">
        <v>1350.4144286999999</v>
      </c>
      <c r="H171">
        <v>1345.8963623</v>
      </c>
      <c r="I171">
        <v>1311.2496338000001</v>
      </c>
      <c r="J171">
        <v>1302.203125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9.0836729999999992</v>
      </c>
      <c r="B172" s="1">
        <f>DATE(2010,5,10) + TIME(2,0,29)</f>
        <v>40308.083668981482</v>
      </c>
      <c r="C172">
        <v>80</v>
      </c>
      <c r="D172">
        <v>79.937271117999998</v>
      </c>
      <c r="E172">
        <v>50</v>
      </c>
      <c r="F172">
        <v>14.999059677</v>
      </c>
      <c r="G172">
        <v>1350.3890381000001</v>
      </c>
      <c r="H172">
        <v>1345.8730469</v>
      </c>
      <c r="I172">
        <v>1311.2501221</v>
      </c>
      <c r="J172">
        <v>1302.2034911999999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9.2397310000000008</v>
      </c>
      <c r="B173" s="1">
        <f>DATE(2010,5,10) + TIME(5,45,12)</f>
        <v>40308.239722222221</v>
      </c>
      <c r="C173">
        <v>80</v>
      </c>
      <c r="D173">
        <v>79.937294006000002</v>
      </c>
      <c r="E173">
        <v>50</v>
      </c>
      <c r="F173">
        <v>14.999063491999999</v>
      </c>
      <c r="G173">
        <v>1350.3638916</v>
      </c>
      <c r="H173">
        <v>1345.8500977000001</v>
      </c>
      <c r="I173">
        <v>1311.2506103999999</v>
      </c>
      <c r="J173">
        <v>1302.2039795000001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9.3973230000000001</v>
      </c>
      <c r="B174" s="1">
        <f>DATE(2010,5,10) + TIME(9,32,8)</f>
        <v>40308.397314814814</v>
      </c>
      <c r="C174">
        <v>80</v>
      </c>
      <c r="D174">
        <v>79.937301636000001</v>
      </c>
      <c r="E174">
        <v>50</v>
      </c>
      <c r="F174">
        <v>14.999067307000001</v>
      </c>
      <c r="G174">
        <v>1350.3388672000001</v>
      </c>
      <c r="H174">
        <v>1345.8272704999999</v>
      </c>
      <c r="I174">
        <v>1311.2510986</v>
      </c>
      <c r="J174">
        <v>1302.2044678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9.5567089999999997</v>
      </c>
      <c r="B175" s="1">
        <f>DATE(2010,5,10) + TIME(13,21,39)</f>
        <v>40308.556701388887</v>
      </c>
      <c r="C175">
        <v>80</v>
      </c>
      <c r="D175">
        <v>79.937316894999995</v>
      </c>
      <c r="E175">
        <v>50</v>
      </c>
      <c r="F175">
        <v>14.999072075000001</v>
      </c>
      <c r="G175">
        <v>1350.3140868999999</v>
      </c>
      <c r="H175">
        <v>1345.8046875</v>
      </c>
      <c r="I175">
        <v>1311.2517089999999</v>
      </c>
      <c r="J175">
        <v>1302.2048339999999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9.7181519999999999</v>
      </c>
      <c r="B176" s="1">
        <f>DATE(2010,5,10) + TIME(17,14,8)</f>
        <v>40308.718148148146</v>
      </c>
      <c r="C176">
        <v>80</v>
      </c>
      <c r="D176">
        <v>79.937324524000005</v>
      </c>
      <c r="E176">
        <v>50</v>
      </c>
      <c r="F176">
        <v>14.99907589</v>
      </c>
      <c r="G176">
        <v>1350.2894286999999</v>
      </c>
      <c r="H176">
        <v>1345.7822266000001</v>
      </c>
      <c r="I176">
        <v>1311.2521973</v>
      </c>
      <c r="J176">
        <v>1302.2053223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9.8819300000000005</v>
      </c>
      <c r="B177" s="1">
        <f>DATE(2010,5,10) + TIME(21,9,58)</f>
        <v>40308.881921296299</v>
      </c>
      <c r="C177">
        <v>80</v>
      </c>
      <c r="D177">
        <v>79.937332153</v>
      </c>
      <c r="E177">
        <v>50</v>
      </c>
      <c r="F177">
        <v>14.999079704</v>
      </c>
      <c r="G177">
        <v>1350.2647704999999</v>
      </c>
      <c r="H177">
        <v>1345.7598877</v>
      </c>
      <c r="I177">
        <v>1311.2526855000001</v>
      </c>
      <c r="J177">
        <v>1302.2058105000001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10.048341000000001</v>
      </c>
      <c r="B178" s="1">
        <f>DATE(2010,5,11) + TIME(1,9,36)</f>
        <v>40309.048333333332</v>
      </c>
      <c r="C178">
        <v>80</v>
      </c>
      <c r="D178">
        <v>79.937332153</v>
      </c>
      <c r="E178">
        <v>50</v>
      </c>
      <c r="F178">
        <v>14.999084473</v>
      </c>
      <c r="G178">
        <v>1350.2401123</v>
      </c>
      <c r="H178">
        <v>1345.7376709</v>
      </c>
      <c r="I178">
        <v>1311.2532959</v>
      </c>
      <c r="J178">
        <v>1302.2062988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10.217758999999999</v>
      </c>
      <c r="B179" s="1">
        <f>DATE(2010,5,11) + TIME(5,13,34)</f>
        <v>40309.21775462963</v>
      </c>
      <c r="C179">
        <v>80</v>
      </c>
      <c r="D179">
        <v>79.937339782999999</v>
      </c>
      <c r="E179">
        <v>50</v>
      </c>
      <c r="F179">
        <v>14.999088286999999</v>
      </c>
      <c r="G179">
        <v>1350.2154541</v>
      </c>
      <c r="H179">
        <v>1345.7154541</v>
      </c>
      <c r="I179">
        <v>1311.2537841999999</v>
      </c>
      <c r="J179">
        <v>1302.2067870999999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10.390451000000001</v>
      </c>
      <c r="B180" s="1">
        <f>DATE(2010,5,11) + TIME(9,22,14)</f>
        <v>40309.390439814815</v>
      </c>
      <c r="C180">
        <v>80</v>
      </c>
      <c r="D180">
        <v>79.937339782999999</v>
      </c>
      <c r="E180">
        <v>50</v>
      </c>
      <c r="F180">
        <v>14.999092102000001</v>
      </c>
      <c r="G180">
        <v>1350.1907959</v>
      </c>
      <c r="H180">
        <v>1345.6932373</v>
      </c>
      <c r="I180">
        <v>1311.2543945</v>
      </c>
      <c r="J180">
        <v>1302.2071533000001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10.566775</v>
      </c>
      <c r="B181" s="1">
        <f>DATE(2010,5,11) + TIME(13,36,9)</f>
        <v>40309.566770833335</v>
      </c>
      <c r="C181">
        <v>80</v>
      </c>
      <c r="D181">
        <v>79.937332153</v>
      </c>
      <c r="E181">
        <v>50</v>
      </c>
      <c r="F181">
        <v>14.999096870000001</v>
      </c>
      <c r="G181">
        <v>1350.1661377</v>
      </c>
      <c r="H181">
        <v>1345.6710204999999</v>
      </c>
      <c r="I181">
        <v>1311.2548827999999</v>
      </c>
      <c r="J181">
        <v>1302.2077637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10.747120000000001</v>
      </c>
      <c r="B182" s="1">
        <f>DATE(2010,5,11) + TIME(17,55,51)</f>
        <v>40309.747118055559</v>
      </c>
      <c r="C182">
        <v>80</v>
      </c>
      <c r="D182">
        <v>79.937332153</v>
      </c>
      <c r="E182">
        <v>50</v>
      </c>
      <c r="F182">
        <v>14.999100685</v>
      </c>
      <c r="G182">
        <v>1350.1412353999999</v>
      </c>
      <c r="H182">
        <v>1345.6486815999999</v>
      </c>
      <c r="I182">
        <v>1311.2554932</v>
      </c>
      <c r="J182">
        <v>1302.2082519999999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10.931585</v>
      </c>
      <c r="B183" s="1">
        <f>DATE(2010,5,11) + TIME(22,21,28)</f>
        <v>40309.931574074071</v>
      </c>
      <c r="C183">
        <v>80</v>
      </c>
      <c r="D183">
        <v>79.937324524000005</v>
      </c>
      <c r="E183">
        <v>50</v>
      </c>
      <c r="F183">
        <v>14.999105453</v>
      </c>
      <c r="G183">
        <v>1350.1160889</v>
      </c>
      <c r="H183">
        <v>1345.6263428</v>
      </c>
      <c r="I183">
        <v>1311.2561035000001</v>
      </c>
      <c r="J183">
        <v>1302.2087402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11.119553</v>
      </c>
      <c r="B184" s="1">
        <f>DATE(2010,5,12) + TIME(2,52,9)</f>
        <v>40310.11954861111</v>
      </c>
      <c r="C184">
        <v>80</v>
      </c>
      <c r="D184">
        <v>79.937316894999995</v>
      </c>
      <c r="E184">
        <v>50</v>
      </c>
      <c r="F184">
        <v>14.999109268</v>
      </c>
      <c r="G184">
        <v>1350.0909423999999</v>
      </c>
      <c r="H184">
        <v>1345.6037598</v>
      </c>
      <c r="I184">
        <v>1311.2567139</v>
      </c>
      <c r="J184">
        <v>1302.2092285000001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11.311407000000001</v>
      </c>
      <c r="B185" s="1">
        <f>DATE(2010,5,12) + TIME(7,28,25)</f>
        <v>40310.311400462961</v>
      </c>
      <c r="C185">
        <v>80</v>
      </c>
      <c r="D185">
        <v>79.937301636000001</v>
      </c>
      <c r="E185">
        <v>50</v>
      </c>
      <c r="F185">
        <v>14.999113082999999</v>
      </c>
      <c r="G185">
        <v>1350.0655518000001</v>
      </c>
      <c r="H185">
        <v>1345.5812988</v>
      </c>
      <c r="I185">
        <v>1311.2573242000001</v>
      </c>
      <c r="J185">
        <v>1302.2098389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11.407795999999999</v>
      </c>
      <c r="B186" s="1">
        <f>DATE(2010,5,12) + TIME(9,47,13)</f>
        <v>40310.407789351855</v>
      </c>
      <c r="C186">
        <v>80</v>
      </c>
      <c r="D186">
        <v>79.937294006000002</v>
      </c>
      <c r="E186">
        <v>50</v>
      </c>
      <c r="F186">
        <v>14.999115944</v>
      </c>
      <c r="G186">
        <v>1350.0397949000001</v>
      </c>
      <c r="H186">
        <v>1345.5582274999999</v>
      </c>
      <c r="I186">
        <v>1311.2579346</v>
      </c>
      <c r="J186">
        <v>1302.2103271000001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11.504185</v>
      </c>
      <c r="B187" s="1">
        <f>DATE(2010,5,12) + TIME(12,6,1)</f>
        <v>40310.504178240742</v>
      </c>
      <c r="C187">
        <v>80</v>
      </c>
      <c r="D187">
        <v>79.937286377000007</v>
      </c>
      <c r="E187">
        <v>50</v>
      </c>
      <c r="F187">
        <v>14.999117850999999</v>
      </c>
      <c r="G187">
        <v>1350.0270995999999</v>
      </c>
      <c r="H187">
        <v>1345.5469971</v>
      </c>
      <c r="I187">
        <v>1311.2581786999999</v>
      </c>
      <c r="J187">
        <v>1302.2105713000001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11.600573000000001</v>
      </c>
      <c r="B188" s="1">
        <f>DATE(2010,5,12) + TIME(14,24,49)</f>
        <v>40310.60056712963</v>
      </c>
      <c r="C188">
        <v>80</v>
      </c>
      <c r="D188">
        <v>79.937278747999997</v>
      </c>
      <c r="E188">
        <v>50</v>
      </c>
      <c r="F188">
        <v>14.999120712</v>
      </c>
      <c r="G188">
        <v>1350.0145264</v>
      </c>
      <c r="H188">
        <v>1345.5358887</v>
      </c>
      <c r="I188">
        <v>1311.2585449000001</v>
      </c>
      <c r="J188">
        <v>1302.2108154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11.696961999999999</v>
      </c>
      <c r="B189" s="1">
        <f>DATE(2010,5,12) + TIME(16,43,37)</f>
        <v>40310.696956018517</v>
      </c>
      <c r="C189">
        <v>80</v>
      </c>
      <c r="D189">
        <v>79.937271117999998</v>
      </c>
      <c r="E189">
        <v>50</v>
      </c>
      <c r="F189">
        <v>14.99912262</v>
      </c>
      <c r="G189">
        <v>1350.0021973</v>
      </c>
      <c r="H189">
        <v>1345.5247803</v>
      </c>
      <c r="I189">
        <v>1311.2587891000001</v>
      </c>
      <c r="J189">
        <v>1302.2110596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11.793350999999999</v>
      </c>
      <c r="B190" s="1">
        <f>DATE(2010,5,12) + TIME(19,2,25)</f>
        <v>40310.793344907404</v>
      </c>
      <c r="C190">
        <v>80</v>
      </c>
      <c r="D190">
        <v>79.937255859000004</v>
      </c>
      <c r="E190">
        <v>50</v>
      </c>
      <c r="F190">
        <v>14.999124526999999</v>
      </c>
      <c r="G190">
        <v>1349.9898682</v>
      </c>
      <c r="H190">
        <v>1345.5139160000001</v>
      </c>
      <c r="I190">
        <v>1311.2591553</v>
      </c>
      <c r="J190">
        <v>1302.2113036999999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11.88974</v>
      </c>
      <c r="B191" s="1">
        <f>DATE(2010,5,12) + TIME(21,21,13)</f>
        <v>40310.889733796299</v>
      </c>
      <c r="C191">
        <v>80</v>
      </c>
      <c r="D191">
        <v>79.937248229999994</v>
      </c>
      <c r="E191">
        <v>50</v>
      </c>
      <c r="F191">
        <v>14.999127388</v>
      </c>
      <c r="G191">
        <v>1349.9775391000001</v>
      </c>
      <c r="H191">
        <v>1345.5030518000001</v>
      </c>
      <c r="I191">
        <v>1311.2593993999999</v>
      </c>
      <c r="J191">
        <v>1302.2116699000001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11.986128000000001</v>
      </c>
      <c r="B192" s="1">
        <f>DATE(2010,5,12) + TIME(23,40,1)</f>
        <v>40310.986122685186</v>
      </c>
      <c r="C192">
        <v>80</v>
      </c>
      <c r="D192">
        <v>79.937240600999999</v>
      </c>
      <c r="E192">
        <v>50</v>
      </c>
      <c r="F192">
        <v>14.999129294999999</v>
      </c>
      <c r="G192">
        <v>1349.9654541</v>
      </c>
      <c r="H192">
        <v>1345.4923096</v>
      </c>
      <c r="I192">
        <v>1311.2597656</v>
      </c>
      <c r="J192">
        <v>1302.2119141000001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12.082516999999999</v>
      </c>
      <c r="B193" s="1">
        <f>DATE(2010,5,13) + TIME(1,58,49)</f>
        <v>40311.082511574074</v>
      </c>
      <c r="C193">
        <v>80</v>
      </c>
      <c r="D193">
        <v>79.937232971</v>
      </c>
      <c r="E193">
        <v>50</v>
      </c>
      <c r="F193">
        <v>14.999131202999999</v>
      </c>
      <c r="G193">
        <v>1349.9533690999999</v>
      </c>
      <c r="H193">
        <v>1345.4816894999999</v>
      </c>
      <c r="I193">
        <v>1311.2601318</v>
      </c>
      <c r="J193">
        <v>1302.2121582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12.178906</v>
      </c>
      <c r="B194" s="1">
        <f>DATE(2010,5,13) + TIME(4,17,37)</f>
        <v>40311.178900462961</v>
      </c>
      <c r="C194">
        <v>80</v>
      </c>
      <c r="D194">
        <v>79.937225342000005</v>
      </c>
      <c r="E194">
        <v>50</v>
      </c>
      <c r="F194">
        <v>14.999133110000001</v>
      </c>
      <c r="G194">
        <v>1349.9414062000001</v>
      </c>
      <c r="H194">
        <v>1345.4711914</v>
      </c>
      <c r="I194">
        <v>1311.260376</v>
      </c>
      <c r="J194">
        <v>1302.2125243999999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12.371683000000001</v>
      </c>
      <c r="B195" s="1">
        <f>DATE(2010,5,13) + TIME(8,55,13)</f>
        <v>40311.371678240743</v>
      </c>
      <c r="C195">
        <v>80</v>
      </c>
      <c r="D195">
        <v>79.937217712000006</v>
      </c>
      <c r="E195">
        <v>50</v>
      </c>
      <c r="F195">
        <v>14.999136925</v>
      </c>
      <c r="G195">
        <v>1349.9299315999999</v>
      </c>
      <c r="H195">
        <v>1345.4611815999999</v>
      </c>
      <c r="I195">
        <v>1311.2607422000001</v>
      </c>
      <c r="J195">
        <v>1302.2127685999999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12.564888</v>
      </c>
      <c r="B196" s="1">
        <f>DATE(2010,5,13) + TIME(13,33,26)</f>
        <v>40311.564884259256</v>
      </c>
      <c r="C196">
        <v>80</v>
      </c>
      <c r="D196">
        <v>79.937202454000001</v>
      </c>
      <c r="E196">
        <v>50</v>
      </c>
      <c r="F196">
        <v>14.999140739</v>
      </c>
      <c r="G196">
        <v>1349.9064940999999</v>
      </c>
      <c r="H196">
        <v>1345.4405518000001</v>
      </c>
      <c r="I196">
        <v>1311.2614745999999</v>
      </c>
      <c r="J196">
        <v>1302.2133789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12.759406</v>
      </c>
      <c r="B197" s="1">
        <f>DATE(2010,5,13) + TIME(18,13,32)</f>
        <v>40311.759398148148</v>
      </c>
      <c r="C197">
        <v>80</v>
      </c>
      <c r="D197">
        <v>79.937187195000007</v>
      </c>
      <c r="E197">
        <v>50</v>
      </c>
      <c r="F197">
        <v>14.999144554000001</v>
      </c>
      <c r="G197">
        <v>1349.8833007999999</v>
      </c>
      <c r="H197">
        <v>1345.4202881000001</v>
      </c>
      <c r="I197">
        <v>1311.2620850000001</v>
      </c>
      <c r="J197">
        <v>1302.2138672000001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12.95556</v>
      </c>
      <c r="B198" s="1">
        <f>DATE(2010,5,13) + TIME(22,56,0)</f>
        <v>40311.955555555556</v>
      </c>
      <c r="C198">
        <v>80</v>
      </c>
      <c r="D198">
        <v>79.937171935999999</v>
      </c>
      <c r="E198">
        <v>50</v>
      </c>
      <c r="F198">
        <v>14.999148369</v>
      </c>
      <c r="G198">
        <v>1349.8602295000001</v>
      </c>
      <c r="H198">
        <v>1345.4000243999999</v>
      </c>
      <c r="I198">
        <v>1311.2626952999999</v>
      </c>
      <c r="J198">
        <v>1302.2144774999999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13.153679</v>
      </c>
      <c r="B199" s="1">
        <f>DATE(2010,5,14) + TIME(3,41,17)</f>
        <v>40312.153668981482</v>
      </c>
      <c r="C199">
        <v>80</v>
      </c>
      <c r="D199">
        <v>79.937156677000004</v>
      </c>
      <c r="E199">
        <v>50</v>
      </c>
      <c r="F199">
        <v>14.999152184</v>
      </c>
      <c r="G199">
        <v>1349.8374022999999</v>
      </c>
      <c r="H199">
        <v>1345.3801269999999</v>
      </c>
      <c r="I199">
        <v>1311.2633057</v>
      </c>
      <c r="J199">
        <v>1302.2149658000001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13.354104</v>
      </c>
      <c r="B200" s="1">
        <f>DATE(2010,5,14) + TIME(8,29,54)</f>
        <v>40312.354097222225</v>
      </c>
      <c r="C200">
        <v>80</v>
      </c>
      <c r="D200">
        <v>79.937141417999996</v>
      </c>
      <c r="E200">
        <v>50</v>
      </c>
      <c r="F200">
        <v>14.999155998000001</v>
      </c>
      <c r="G200">
        <v>1349.8145752</v>
      </c>
      <c r="H200">
        <v>1345.3602295000001</v>
      </c>
      <c r="I200">
        <v>1311.2640381000001</v>
      </c>
      <c r="J200">
        <v>1302.2155762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13.557188</v>
      </c>
      <c r="B201" s="1">
        <f>DATE(2010,5,14) + TIME(13,22,21)</f>
        <v>40312.557187500002</v>
      </c>
      <c r="C201">
        <v>80</v>
      </c>
      <c r="D201">
        <v>79.937126160000005</v>
      </c>
      <c r="E201">
        <v>50</v>
      </c>
      <c r="F201">
        <v>14.999159813</v>
      </c>
      <c r="G201">
        <v>1349.7917480000001</v>
      </c>
      <c r="H201">
        <v>1345.3404541</v>
      </c>
      <c r="I201">
        <v>1311.2646483999999</v>
      </c>
      <c r="J201">
        <v>1302.2161865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13.763299</v>
      </c>
      <c r="B202" s="1">
        <f>DATE(2010,5,14) + TIME(18,19,9)</f>
        <v>40312.763298611113</v>
      </c>
      <c r="C202">
        <v>80</v>
      </c>
      <c r="D202">
        <v>79.937103270999998</v>
      </c>
      <c r="E202">
        <v>50</v>
      </c>
      <c r="F202">
        <v>14.999163628</v>
      </c>
      <c r="G202">
        <v>1349.769043</v>
      </c>
      <c r="H202">
        <v>1345.3206786999999</v>
      </c>
      <c r="I202">
        <v>1311.2653809000001</v>
      </c>
      <c r="J202">
        <v>1302.2167969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13.972882</v>
      </c>
      <c r="B203" s="1">
        <f>DATE(2010,5,14) + TIME(23,20,57)</f>
        <v>40312.972881944443</v>
      </c>
      <c r="C203">
        <v>80</v>
      </c>
      <c r="D203">
        <v>79.937088012999993</v>
      </c>
      <c r="E203">
        <v>50</v>
      </c>
      <c r="F203">
        <v>14.999167441999999</v>
      </c>
      <c r="G203">
        <v>1349.7463379000001</v>
      </c>
      <c r="H203">
        <v>1345.3010254000001</v>
      </c>
      <c r="I203">
        <v>1311.2659911999999</v>
      </c>
      <c r="J203">
        <v>1302.2172852000001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14.186344</v>
      </c>
      <c r="B204" s="1">
        <f>DATE(2010,5,15) + TIME(4,28,20)</f>
        <v>40313.186342592591</v>
      </c>
      <c r="C204">
        <v>80</v>
      </c>
      <c r="D204">
        <v>79.937065125000004</v>
      </c>
      <c r="E204">
        <v>50</v>
      </c>
      <c r="F204">
        <v>14.999171257</v>
      </c>
      <c r="G204">
        <v>1349.7235106999999</v>
      </c>
      <c r="H204">
        <v>1345.28125</v>
      </c>
      <c r="I204">
        <v>1311.2667236</v>
      </c>
      <c r="J204">
        <v>1302.2178954999999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14.404093</v>
      </c>
      <c r="B205" s="1">
        <f>DATE(2010,5,15) + TIME(9,41,53)</f>
        <v>40313.404085648152</v>
      </c>
      <c r="C205">
        <v>80</v>
      </c>
      <c r="D205">
        <v>79.937042235999996</v>
      </c>
      <c r="E205">
        <v>50</v>
      </c>
      <c r="F205">
        <v>14.999175072</v>
      </c>
      <c r="G205">
        <v>1349.7006836</v>
      </c>
      <c r="H205">
        <v>1345.2614745999999</v>
      </c>
      <c r="I205">
        <v>1311.2674560999999</v>
      </c>
      <c r="J205">
        <v>1302.2185059000001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14.626614</v>
      </c>
      <c r="B206" s="1">
        <f>DATE(2010,5,15) + TIME(15,2,19)</f>
        <v>40313.626608796294</v>
      </c>
      <c r="C206">
        <v>80</v>
      </c>
      <c r="D206">
        <v>79.937026978000006</v>
      </c>
      <c r="E206">
        <v>50</v>
      </c>
      <c r="F206">
        <v>14.999178885999999</v>
      </c>
      <c r="G206">
        <v>1349.6776123</v>
      </c>
      <c r="H206">
        <v>1345.2416992000001</v>
      </c>
      <c r="I206">
        <v>1311.2680664</v>
      </c>
      <c r="J206">
        <v>1302.2191161999999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14.854126000000001</v>
      </c>
      <c r="B207" s="1">
        <f>DATE(2010,5,15) + TIME(20,29,56)</f>
        <v>40313.854120370372</v>
      </c>
      <c r="C207">
        <v>80</v>
      </c>
      <c r="D207">
        <v>79.937004088999998</v>
      </c>
      <c r="E207">
        <v>50</v>
      </c>
      <c r="F207">
        <v>14.999182701000001</v>
      </c>
      <c r="G207">
        <v>1349.6544189000001</v>
      </c>
      <c r="H207">
        <v>1345.2216797000001</v>
      </c>
      <c r="I207">
        <v>1311.2689209</v>
      </c>
      <c r="J207">
        <v>1302.2198486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15.085058999999999</v>
      </c>
      <c r="B208" s="1">
        <f>DATE(2010,5,16) + TIME(2,2,29)</f>
        <v>40314.085057870368</v>
      </c>
      <c r="C208">
        <v>80</v>
      </c>
      <c r="D208">
        <v>79.936981200999995</v>
      </c>
      <c r="E208">
        <v>50</v>
      </c>
      <c r="F208">
        <v>14.999186516</v>
      </c>
      <c r="G208">
        <v>1349.6309814000001</v>
      </c>
      <c r="H208">
        <v>1345.2016602000001</v>
      </c>
      <c r="I208">
        <v>1311.2696533000001</v>
      </c>
      <c r="J208">
        <v>1302.2204589999999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15.201362</v>
      </c>
      <c r="B209" s="1">
        <f>DATE(2010,5,16) + TIME(4,49,57)</f>
        <v>40314.201354166667</v>
      </c>
      <c r="C209">
        <v>80</v>
      </c>
      <c r="D209">
        <v>79.936965942</v>
      </c>
      <c r="E209">
        <v>50</v>
      </c>
      <c r="F209">
        <v>14.999189377</v>
      </c>
      <c r="G209">
        <v>1349.6072998</v>
      </c>
      <c r="H209">
        <v>1345.1811522999999</v>
      </c>
      <c r="I209">
        <v>1311.2702637</v>
      </c>
      <c r="J209">
        <v>1302.2210693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15.317664000000001</v>
      </c>
      <c r="B210" s="1">
        <f>DATE(2010,5,16) + TIME(7,37,26)</f>
        <v>40314.317662037036</v>
      </c>
      <c r="C210">
        <v>80</v>
      </c>
      <c r="D210">
        <v>79.936950683999996</v>
      </c>
      <c r="E210">
        <v>50</v>
      </c>
      <c r="F210">
        <v>14.999191284</v>
      </c>
      <c r="G210">
        <v>1349.5955810999999</v>
      </c>
      <c r="H210">
        <v>1345.1711425999999</v>
      </c>
      <c r="I210">
        <v>1311.2707519999999</v>
      </c>
      <c r="J210">
        <v>1302.2214355000001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15.433966</v>
      </c>
      <c r="B211" s="1">
        <f>DATE(2010,5,16) + TIME(10,24,54)</f>
        <v>40314.433958333335</v>
      </c>
      <c r="C211">
        <v>80</v>
      </c>
      <c r="D211">
        <v>79.936935425000001</v>
      </c>
      <c r="E211">
        <v>50</v>
      </c>
      <c r="F211">
        <v>14.999193192</v>
      </c>
      <c r="G211">
        <v>1349.5839844</v>
      </c>
      <c r="H211">
        <v>1345.1611327999999</v>
      </c>
      <c r="I211">
        <v>1311.2711182</v>
      </c>
      <c r="J211">
        <v>1302.2216797000001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15.550269</v>
      </c>
      <c r="B212" s="1">
        <f>DATE(2010,5,16) + TIME(13,12,23)</f>
        <v>40314.550266203703</v>
      </c>
      <c r="C212">
        <v>80</v>
      </c>
      <c r="D212">
        <v>79.936920165999993</v>
      </c>
      <c r="E212">
        <v>50</v>
      </c>
      <c r="F212">
        <v>14.999195099</v>
      </c>
      <c r="G212">
        <v>1349.5725098</v>
      </c>
      <c r="H212">
        <v>1345.1513672000001</v>
      </c>
      <c r="I212">
        <v>1311.2714844</v>
      </c>
      <c r="J212">
        <v>1302.2220459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15.666570999999999</v>
      </c>
      <c r="B213" s="1">
        <f>DATE(2010,5,16) + TIME(15,59,51)</f>
        <v>40314.666562500002</v>
      </c>
      <c r="C213">
        <v>80</v>
      </c>
      <c r="D213">
        <v>79.936912536999998</v>
      </c>
      <c r="E213">
        <v>50</v>
      </c>
      <c r="F213">
        <v>14.999197005999999</v>
      </c>
      <c r="G213">
        <v>1349.5610352000001</v>
      </c>
      <c r="H213">
        <v>1345.1416016000001</v>
      </c>
      <c r="I213">
        <v>1311.2718506000001</v>
      </c>
      <c r="J213">
        <v>1302.2224120999999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15.782873</v>
      </c>
      <c r="B214" s="1">
        <f>DATE(2010,5,16) + TIME(18,47,20)</f>
        <v>40314.782870370371</v>
      </c>
      <c r="C214">
        <v>80</v>
      </c>
      <c r="D214">
        <v>79.936897278000004</v>
      </c>
      <c r="E214">
        <v>50</v>
      </c>
      <c r="F214">
        <v>14.999199867</v>
      </c>
      <c r="G214">
        <v>1349.5496826000001</v>
      </c>
      <c r="H214">
        <v>1345.1318358999999</v>
      </c>
      <c r="I214">
        <v>1311.2722168</v>
      </c>
      <c r="J214">
        <v>1302.2227783000001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15.899176000000001</v>
      </c>
      <c r="B215" s="1">
        <f>DATE(2010,5,16) + TIME(21,34,48)</f>
        <v>40314.89916666667</v>
      </c>
      <c r="C215">
        <v>80</v>
      </c>
      <c r="D215">
        <v>79.936882018999995</v>
      </c>
      <c r="E215">
        <v>50</v>
      </c>
      <c r="F215">
        <v>14.999201775</v>
      </c>
      <c r="G215">
        <v>1349.5384521000001</v>
      </c>
      <c r="H215">
        <v>1345.1223144999999</v>
      </c>
      <c r="I215">
        <v>1311.2725829999999</v>
      </c>
      <c r="J215">
        <v>1302.2230225000001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16.015478000000002</v>
      </c>
      <c r="B216" s="1">
        <f>DATE(2010,5,17) + TIME(0,22,17)</f>
        <v>40315.015474537038</v>
      </c>
      <c r="C216">
        <v>80</v>
      </c>
      <c r="D216">
        <v>79.93687439</v>
      </c>
      <c r="E216">
        <v>50</v>
      </c>
      <c r="F216">
        <v>14.999203681999999</v>
      </c>
      <c r="G216">
        <v>1349.5272216999999</v>
      </c>
      <c r="H216">
        <v>1345.1126709</v>
      </c>
      <c r="I216">
        <v>1311.2730713000001</v>
      </c>
      <c r="J216">
        <v>1302.2233887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16.131779999999999</v>
      </c>
      <c r="B217" s="1">
        <f>DATE(2010,5,17) + TIME(3,9,45)</f>
        <v>40315.13177083333</v>
      </c>
      <c r="C217">
        <v>80</v>
      </c>
      <c r="D217">
        <v>79.936859131000006</v>
      </c>
      <c r="E217">
        <v>50</v>
      </c>
      <c r="F217">
        <v>14.999205589000001</v>
      </c>
      <c r="G217">
        <v>1349.5161132999999</v>
      </c>
      <c r="H217">
        <v>1345.1032714999999</v>
      </c>
      <c r="I217">
        <v>1311.2734375</v>
      </c>
      <c r="J217">
        <v>1302.2237548999999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16.248083000000001</v>
      </c>
      <c r="B218" s="1">
        <f>DATE(2010,5,17) + TIME(5,57,14)</f>
        <v>40315.248078703706</v>
      </c>
      <c r="C218">
        <v>80</v>
      </c>
      <c r="D218">
        <v>79.936851501000007</v>
      </c>
      <c r="E218">
        <v>50</v>
      </c>
      <c r="F218">
        <v>14.999207497</v>
      </c>
      <c r="G218">
        <v>1349.5051269999999</v>
      </c>
      <c r="H218">
        <v>1345.0938721</v>
      </c>
      <c r="I218">
        <v>1311.2738036999999</v>
      </c>
      <c r="J218">
        <v>1302.2241211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16.480687</v>
      </c>
      <c r="B219" s="1">
        <f>DATE(2010,5,17) + TIME(11,32,11)</f>
        <v>40315.480682870373</v>
      </c>
      <c r="C219">
        <v>80</v>
      </c>
      <c r="D219">
        <v>79.936836243000002</v>
      </c>
      <c r="E219">
        <v>50</v>
      </c>
      <c r="F219">
        <v>14.999210357999999</v>
      </c>
      <c r="G219">
        <v>1349.4945068</v>
      </c>
      <c r="H219">
        <v>1345.0849608999999</v>
      </c>
      <c r="I219">
        <v>1311.2742920000001</v>
      </c>
      <c r="J219">
        <v>1302.2244873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16.713708</v>
      </c>
      <c r="B220" s="1">
        <f>DATE(2010,5,17) + TIME(17,7,44)</f>
        <v>40315.713703703703</v>
      </c>
      <c r="C220">
        <v>80</v>
      </c>
      <c r="D220">
        <v>79.936820983999993</v>
      </c>
      <c r="E220">
        <v>50</v>
      </c>
      <c r="F220">
        <v>14.999214172</v>
      </c>
      <c r="G220">
        <v>1349.4727783000001</v>
      </c>
      <c r="H220">
        <v>1345.0665283000001</v>
      </c>
      <c r="I220">
        <v>1311.2750243999999</v>
      </c>
      <c r="J220">
        <v>1302.2250977000001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16.948512999999998</v>
      </c>
      <c r="B221" s="1">
        <f>DATE(2010,5,17) + TIME(22,45,51)</f>
        <v>40315.948506944442</v>
      </c>
      <c r="C221">
        <v>80</v>
      </c>
      <c r="D221">
        <v>79.936798096000004</v>
      </c>
      <c r="E221">
        <v>50</v>
      </c>
      <c r="F221">
        <v>14.999217033000001</v>
      </c>
      <c r="G221">
        <v>1349.4512939000001</v>
      </c>
      <c r="H221">
        <v>1345.0483397999999</v>
      </c>
      <c r="I221">
        <v>1311.2758789</v>
      </c>
      <c r="J221">
        <v>1302.2258300999999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17.185513</v>
      </c>
      <c r="B222" s="1">
        <f>DATE(2010,5,18) + TIME(4,27,8)</f>
        <v>40316.18550925926</v>
      </c>
      <c r="C222">
        <v>80</v>
      </c>
      <c r="D222">
        <v>79.936782836999996</v>
      </c>
      <c r="E222">
        <v>50</v>
      </c>
      <c r="F222">
        <v>14.999220848</v>
      </c>
      <c r="G222">
        <v>1349.4299315999999</v>
      </c>
      <c r="H222">
        <v>1345.0303954999999</v>
      </c>
      <c r="I222">
        <v>1311.2766113</v>
      </c>
      <c r="J222">
        <v>1302.2265625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17.425128999999998</v>
      </c>
      <c r="B223" s="1">
        <f>DATE(2010,5,18) + TIME(10,12,11)</f>
        <v>40316.425127314818</v>
      </c>
      <c r="C223">
        <v>80</v>
      </c>
      <c r="D223">
        <v>79.936759949000006</v>
      </c>
      <c r="E223">
        <v>50</v>
      </c>
      <c r="F223">
        <v>14.999224663</v>
      </c>
      <c r="G223">
        <v>1349.4086914</v>
      </c>
      <c r="H223">
        <v>1345.0124512</v>
      </c>
      <c r="I223">
        <v>1311.2774658000001</v>
      </c>
      <c r="J223">
        <v>1302.2271728999999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17.667801999999998</v>
      </c>
      <c r="B224" s="1">
        <f>DATE(2010,5,18) + TIME(16,1,38)</f>
        <v>40316.667800925927</v>
      </c>
      <c r="C224">
        <v>80</v>
      </c>
      <c r="D224">
        <v>79.936737061000002</v>
      </c>
      <c r="E224">
        <v>50</v>
      </c>
      <c r="F224">
        <v>14.999227524</v>
      </c>
      <c r="G224">
        <v>1349.3874512</v>
      </c>
      <c r="H224">
        <v>1344.9945068</v>
      </c>
      <c r="I224">
        <v>1311.2781981999999</v>
      </c>
      <c r="J224">
        <v>1302.2279053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17.913988</v>
      </c>
      <c r="B225" s="1">
        <f>DATE(2010,5,18) + TIME(21,56,8)</f>
        <v>40316.913981481484</v>
      </c>
      <c r="C225">
        <v>80</v>
      </c>
      <c r="D225">
        <v>79.936714171999995</v>
      </c>
      <c r="E225">
        <v>50</v>
      </c>
      <c r="F225">
        <v>14.999231339</v>
      </c>
      <c r="G225">
        <v>1349.3662108999999</v>
      </c>
      <c r="H225">
        <v>1344.9765625</v>
      </c>
      <c r="I225">
        <v>1311.2790527</v>
      </c>
      <c r="J225">
        <v>1302.2286377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18.164206</v>
      </c>
      <c r="B226" s="1">
        <f>DATE(2010,5,19) + TIME(3,56,27)</f>
        <v>40317.164201388892</v>
      </c>
      <c r="C226">
        <v>80</v>
      </c>
      <c r="D226">
        <v>79.936698914000004</v>
      </c>
      <c r="E226">
        <v>50</v>
      </c>
      <c r="F226">
        <v>14.999235153000001</v>
      </c>
      <c r="G226">
        <v>1349.3449707</v>
      </c>
      <c r="H226">
        <v>1344.9587402</v>
      </c>
      <c r="I226">
        <v>1311.2799072</v>
      </c>
      <c r="J226">
        <v>1302.2292480000001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18.419015999999999</v>
      </c>
      <c r="B227" s="1">
        <f>DATE(2010,5,19) + TIME(10,3,23)</f>
        <v>40317.419016203705</v>
      </c>
      <c r="C227">
        <v>80</v>
      </c>
      <c r="D227">
        <v>79.936676024999997</v>
      </c>
      <c r="E227">
        <v>50</v>
      </c>
      <c r="F227">
        <v>14.999238968</v>
      </c>
      <c r="G227">
        <v>1349.3236084</v>
      </c>
      <c r="H227">
        <v>1344.9407959</v>
      </c>
      <c r="I227">
        <v>1311.2807617000001</v>
      </c>
      <c r="J227">
        <v>1302.2299805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18.678898</v>
      </c>
      <c r="B228" s="1">
        <f>DATE(2010,5,19) + TIME(16,17,36)</f>
        <v>40317.678888888891</v>
      </c>
      <c r="C228">
        <v>80</v>
      </c>
      <c r="D228">
        <v>79.936653136999993</v>
      </c>
      <c r="E228">
        <v>50</v>
      </c>
      <c r="F228">
        <v>14.999242783</v>
      </c>
      <c r="G228">
        <v>1349.302124</v>
      </c>
      <c r="H228">
        <v>1344.9228516000001</v>
      </c>
      <c r="I228">
        <v>1311.2816161999999</v>
      </c>
      <c r="J228">
        <v>1302.2308350000001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18.944448000000001</v>
      </c>
      <c r="B229" s="1">
        <f>DATE(2010,5,19) + TIME(22,40,0)</f>
        <v>40317.944444444445</v>
      </c>
      <c r="C229">
        <v>80</v>
      </c>
      <c r="D229">
        <v>79.936630249000004</v>
      </c>
      <c r="E229">
        <v>50</v>
      </c>
      <c r="F229">
        <v>14.999245644</v>
      </c>
      <c r="G229">
        <v>1349.2805175999999</v>
      </c>
      <c r="H229">
        <v>1344.9047852000001</v>
      </c>
      <c r="I229">
        <v>1311.2824707</v>
      </c>
      <c r="J229">
        <v>1302.2315673999999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19.214089000000001</v>
      </c>
      <c r="B230" s="1">
        <f>DATE(2010,5,20) + TIME(5,8,17)</f>
        <v>40318.214085648149</v>
      </c>
      <c r="C230">
        <v>80</v>
      </c>
      <c r="D230">
        <v>79.936607361</v>
      </c>
      <c r="E230">
        <v>50</v>
      </c>
      <c r="F230">
        <v>14.999249458</v>
      </c>
      <c r="G230">
        <v>1349.2586670000001</v>
      </c>
      <c r="H230">
        <v>1344.8865966999999</v>
      </c>
      <c r="I230">
        <v>1311.2833252</v>
      </c>
      <c r="J230">
        <v>1302.2322998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19.349260999999998</v>
      </c>
      <c r="B231" s="1">
        <f>DATE(2010,5,20) + TIME(8,22,56)</f>
        <v>40318.349259259259</v>
      </c>
      <c r="C231">
        <v>80</v>
      </c>
      <c r="D231">
        <v>79.936584472999996</v>
      </c>
      <c r="E231">
        <v>50</v>
      </c>
      <c r="F231">
        <v>14.999251365999999</v>
      </c>
      <c r="G231">
        <v>1349.2364502</v>
      </c>
      <c r="H231">
        <v>1344.8680420000001</v>
      </c>
      <c r="I231">
        <v>1311.2841797000001</v>
      </c>
      <c r="J231">
        <v>1302.2330322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19.484432999999999</v>
      </c>
      <c r="B232" s="1">
        <f>DATE(2010,5,20) + TIME(11,37,35)</f>
        <v>40318.484432870369</v>
      </c>
      <c r="C232">
        <v>80</v>
      </c>
      <c r="D232">
        <v>79.936569214000002</v>
      </c>
      <c r="E232">
        <v>50</v>
      </c>
      <c r="F232">
        <v>14.999254227</v>
      </c>
      <c r="G232">
        <v>1349.2255858999999</v>
      </c>
      <c r="H232">
        <v>1344.8588867000001</v>
      </c>
      <c r="I232">
        <v>1311.284668</v>
      </c>
      <c r="J232">
        <v>1302.2333983999999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19.619605</v>
      </c>
      <c r="B233" s="1">
        <f>DATE(2010,5,20) + TIME(14,52,13)</f>
        <v>40318.61959490741</v>
      </c>
      <c r="C233">
        <v>80</v>
      </c>
      <c r="D233">
        <v>79.936553954999994</v>
      </c>
      <c r="E233">
        <v>50</v>
      </c>
      <c r="F233">
        <v>14.999256133999999</v>
      </c>
      <c r="G233">
        <v>1349.2148437999999</v>
      </c>
      <c r="H233">
        <v>1344.8499756000001</v>
      </c>
      <c r="I233">
        <v>1311.2851562000001</v>
      </c>
      <c r="J233">
        <v>1302.2338867000001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19.754777000000001</v>
      </c>
      <c r="B234" s="1">
        <f>DATE(2010,5,20) + TIME(18,6,52)</f>
        <v>40318.75476851852</v>
      </c>
      <c r="C234">
        <v>80</v>
      </c>
      <c r="D234">
        <v>79.936546325999998</v>
      </c>
      <c r="E234">
        <v>50</v>
      </c>
      <c r="F234">
        <v>14.999258040999999</v>
      </c>
      <c r="G234">
        <v>1349.2041016000001</v>
      </c>
      <c r="H234">
        <v>1344.8410644999999</v>
      </c>
      <c r="I234">
        <v>1311.2856445</v>
      </c>
      <c r="J234">
        <v>1302.2342529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19.889949000000001</v>
      </c>
      <c r="B235" s="1">
        <f>DATE(2010,5,20) + TIME(21,21,31)</f>
        <v>40318.88994212963</v>
      </c>
      <c r="C235">
        <v>80</v>
      </c>
      <c r="D235">
        <v>79.936531067000004</v>
      </c>
      <c r="E235">
        <v>50</v>
      </c>
      <c r="F235">
        <v>14.999259949000001</v>
      </c>
      <c r="G235">
        <v>1349.1934814000001</v>
      </c>
      <c r="H235">
        <v>1344.8321533000001</v>
      </c>
      <c r="I235">
        <v>1311.2860106999999</v>
      </c>
      <c r="J235">
        <v>1302.2346190999999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20.025120000000001</v>
      </c>
      <c r="B236" s="1">
        <f>DATE(2010,5,21) + TIME(0,36,10)</f>
        <v>40319.02511574074</v>
      </c>
      <c r="C236">
        <v>80</v>
      </c>
      <c r="D236">
        <v>79.936515807999996</v>
      </c>
      <c r="E236">
        <v>50</v>
      </c>
      <c r="F236">
        <v>14.999261856</v>
      </c>
      <c r="G236">
        <v>1349.1828613</v>
      </c>
      <c r="H236">
        <v>1344.8233643000001</v>
      </c>
      <c r="I236">
        <v>1311.286499</v>
      </c>
      <c r="J236">
        <v>1302.2349853999999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20.160291999999998</v>
      </c>
      <c r="B237" s="1">
        <f>DATE(2010,5,21) + TIME(3,50,49)</f>
        <v>40319.16028935185</v>
      </c>
      <c r="C237">
        <v>80</v>
      </c>
      <c r="D237">
        <v>79.936500549000002</v>
      </c>
      <c r="E237">
        <v>50</v>
      </c>
      <c r="F237">
        <v>14.999263763</v>
      </c>
      <c r="G237">
        <v>1349.1723632999999</v>
      </c>
      <c r="H237">
        <v>1344.8145752</v>
      </c>
      <c r="I237">
        <v>1311.2869873</v>
      </c>
      <c r="J237">
        <v>1302.2354736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20.295463999999999</v>
      </c>
      <c r="B238" s="1">
        <f>DATE(2010,5,21) + TIME(7,5,28)</f>
        <v>40319.29546296296</v>
      </c>
      <c r="C238">
        <v>80</v>
      </c>
      <c r="D238">
        <v>79.936492920000006</v>
      </c>
      <c r="E238">
        <v>50</v>
      </c>
      <c r="F238">
        <v>14.999265671</v>
      </c>
      <c r="G238">
        <v>1349.1618652</v>
      </c>
      <c r="H238">
        <v>1344.8059082</v>
      </c>
      <c r="I238">
        <v>1311.2874756000001</v>
      </c>
      <c r="J238">
        <v>1302.2358397999999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20.430636</v>
      </c>
      <c r="B239" s="1">
        <f>DATE(2010,5,21) + TIME(10,20,6)</f>
        <v>40319.430625000001</v>
      </c>
      <c r="C239">
        <v>80</v>
      </c>
      <c r="D239">
        <v>79.936477660999998</v>
      </c>
      <c r="E239">
        <v>50</v>
      </c>
      <c r="F239">
        <v>14.999267578</v>
      </c>
      <c r="G239">
        <v>1349.1514893000001</v>
      </c>
      <c r="H239">
        <v>1344.7972411999999</v>
      </c>
      <c r="I239">
        <v>1311.2879639</v>
      </c>
      <c r="J239">
        <v>1302.2362060999999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20.565808000000001</v>
      </c>
      <c r="B240" s="1">
        <f>DATE(2010,5,21) + TIME(13,34,45)</f>
        <v>40319.565798611111</v>
      </c>
      <c r="C240">
        <v>80</v>
      </c>
      <c r="D240">
        <v>79.936470032000003</v>
      </c>
      <c r="E240">
        <v>50</v>
      </c>
      <c r="F240">
        <v>14.999269484999999</v>
      </c>
      <c r="G240">
        <v>1349.1412353999999</v>
      </c>
      <c r="H240">
        <v>1344.7886963000001</v>
      </c>
      <c r="I240">
        <v>1311.2883300999999</v>
      </c>
      <c r="J240">
        <v>1302.2365723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20.700980000000001</v>
      </c>
      <c r="B241" s="1">
        <f>DATE(2010,5,21) + TIME(16,49,24)</f>
        <v>40319.700972222221</v>
      </c>
      <c r="C241">
        <v>80</v>
      </c>
      <c r="D241">
        <v>79.936454772999994</v>
      </c>
      <c r="E241">
        <v>50</v>
      </c>
      <c r="F241">
        <v>14.999270439</v>
      </c>
      <c r="G241">
        <v>1349.1308594</v>
      </c>
      <c r="H241">
        <v>1344.7801514</v>
      </c>
      <c r="I241">
        <v>1311.2888184000001</v>
      </c>
      <c r="J241">
        <v>1302.2370605000001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20.971323999999999</v>
      </c>
      <c r="B242" s="1">
        <f>DATE(2010,5,21) + TIME(23,18,42)</f>
        <v>40319.971319444441</v>
      </c>
      <c r="C242">
        <v>80</v>
      </c>
      <c r="D242">
        <v>79.936447143999999</v>
      </c>
      <c r="E242">
        <v>50</v>
      </c>
      <c r="F242">
        <v>14.999274253999999</v>
      </c>
      <c r="G242">
        <v>1349.1209716999999</v>
      </c>
      <c r="H242">
        <v>1344.7720947</v>
      </c>
      <c r="I242">
        <v>1311.2894286999999</v>
      </c>
      <c r="J242">
        <v>1302.2374268000001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21.242132000000002</v>
      </c>
      <c r="B243" s="1">
        <f>DATE(2010,5,22) + TIME(5,48,40)</f>
        <v>40320.242129629631</v>
      </c>
      <c r="C243">
        <v>80</v>
      </c>
      <c r="D243">
        <v>79.936431885000005</v>
      </c>
      <c r="E243">
        <v>50</v>
      </c>
      <c r="F243">
        <v>14.999277115</v>
      </c>
      <c r="G243">
        <v>1349.1008300999999</v>
      </c>
      <c r="H243">
        <v>1344.7554932</v>
      </c>
      <c r="I243">
        <v>1311.2902832</v>
      </c>
      <c r="J243">
        <v>1302.2382812000001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21.515279</v>
      </c>
      <c r="B244" s="1">
        <f>DATE(2010,5,22) + TIME(12,22,0)</f>
        <v>40320.515277777777</v>
      </c>
      <c r="C244">
        <v>80</v>
      </c>
      <c r="D244">
        <v>79.936408997000001</v>
      </c>
      <c r="E244">
        <v>50</v>
      </c>
      <c r="F244">
        <v>14.999279976</v>
      </c>
      <c r="G244">
        <v>1349.0808105000001</v>
      </c>
      <c r="H244">
        <v>1344.7388916</v>
      </c>
      <c r="I244">
        <v>1311.2912598</v>
      </c>
      <c r="J244">
        <v>1302.2391356999999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21.791267000000001</v>
      </c>
      <c r="B245" s="1">
        <f>DATE(2010,5,22) + TIME(18,59,25)</f>
        <v>40320.791261574072</v>
      </c>
      <c r="C245">
        <v>80</v>
      </c>
      <c r="D245">
        <v>79.936393738000007</v>
      </c>
      <c r="E245">
        <v>50</v>
      </c>
      <c r="F245">
        <v>14.999283791</v>
      </c>
      <c r="G245">
        <v>1349.0609131000001</v>
      </c>
      <c r="H245">
        <v>1344.7225341999999</v>
      </c>
      <c r="I245">
        <v>1311.2922363</v>
      </c>
      <c r="J245">
        <v>1302.2398682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22.070623999999999</v>
      </c>
      <c r="B246" s="1">
        <f>DATE(2010,5,23) + TIME(1,41,41)</f>
        <v>40321.070613425924</v>
      </c>
      <c r="C246">
        <v>80</v>
      </c>
      <c r="D246">
        <v>79.936370850000003</v>
      </c>
      <c r="E246">
        <v>50</v>
      </c>
      <c r="F246">
        <v>14.999286652</v>
      </c>
      <c r="G246">
        <v>1349.0408935999999</v>
      </c>
      <c r="H246">
        <v>1344.7060547000001</v>
      </c>
      <c r="I246">
        <v>1311.2932129000001</v>
      </c>
      <c r="J246">
        <v>1302.2407227000001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22.353897</v>
      </c>
      <c r="B247" s="1">
        <f>DATE(2010,5,23) + TIME(8,29,36)</f>
        <v>40321.353888888887</v>
      </c>
      <c r="C247">
        <v>80</v>
      </c>
      <c r="D247">
        <v>79.936355590999995</v>
      </c>
      <c r="E247">
        <v>50</v>
      </c>
      <c r="F247">
        <v>14.999290466</v>
      </c>
      <c r="G247">
        <v>1349.0209961</v>
      </c>
      <c r="H247">
        <v>1344.6896973</v>
      </c>
      <c r="I247">
        <v>1311.2940673999999</v>
      </c>
      <c r="J247">
        <v>1302.2415771000001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22.641662</v>
      </c>
      <c r="B248" s="1">
        <f>DATE(2010,5,23) + TIME(15,23,59)</f>
        <v>40321.641655092593</v>
      </c>
      <c r="C248">
        <v>80</v>
      </c>
      <c r="D248">
        <v>79.936332703000005</v>
      </c>
      <c r="E248">
        <v>50</v>
      </c>
      <c r="F248">
        <v>14.999293327</v>
      </c>
      <c r="G248">
        <v>1349.0009766000001</v>
      </c>
      <c r="H248">
        <v>1344.6733397999999</v>
      </c>
      <c r="I248">
        <v>1311.2951660000001</v>
      </c>
      <c r="J248">
        <v>1302.2424315999999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22.934650000000001</v>
      </c>
      <c r="B249" s="1">
        <f>DATE(2010,5,23) + TIME(22,25,53)</f>
        <v>40321.934641203705</v>
      </c>
      <c r="C249">
        <v>80</v>
      </c>
      <c r="D249">
        <v>79.936309813999998</v>
      </c>
      <c r="E249">
        <v>50</v>
      </c>
      <c r="F249">
        <v>14.999297142</v>
      </c>
      <c r="G249">
        <v>1348.980957</v>
      </c>
      <c r="H249">
        <v>1344.6568603999999</v>
      </c>
      <c r="I249">
        <v>1311.2961425999999</v>
      </c>
      <c r="J249">
        <v>1302.2432861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23.233414</v>
      </c>
      <c r="B250" s="1">
        <f>DATE(2010,5,24) + TIME(5,36,6)</f>
        <v>40322.233402777776</v>
      </c>
      <c r="C250">
        <v>80</v>
      </c>
      <c r="D250">
        <v>79.936294556000007</v>
      </c>
      <c r="E250">
        <v>50</v>
      </c>
      <c r="F250">
        <v>14.999300003</v>
      </c>
      <c r="G250">
        <v>1348.9606934000001</v>
      </c>
      <c r="H250">
        <v>1344.6403809000001</v>
      </c>
      <c r="I250">
        <v>1311.2971190999999</v>
      </c>
      <c r="J250">
        <v>1302.2441406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23.538654000000001</v>
      </c>
      <c r="B251" s="1">
        <f>DATE(2010,5,24) + TIME(12,55,39)</f>
        <v>40322.538645833331</v>
      </c>
      <c r="C251">
        <v>80</v>
      </c>
      <c r="D251">
        <v>79.936271667</v>
      </c>
      <c r="E251">
        <v>50</v>
      </c>
      <c r="F251">
        <v>14.999303818</v>
      </c>
      <c r="G251">
        <v>1348.9404297000001</v>
      </c>
      <c r="H251">
        <v>1344.6237793</v>
      </c>
      <c r="I251">
        <v>1311.2982178</v>
      </c>
      <c r="J251">
        <v>1302.2449951000001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23.694300999999999</v>
      </c>
      <c r="B252" s="1">
        <f>DATE(2010,5,24) + TIME(16,39,47)</f>
        <v>40322.694293981483</v>
      </c>
      <c r="C252">
        <v>80</v>
      </c>
      <c r="D252">
        <v>79.936248778999996</v>
      </c>
      <c r="E252">
        <v>50</v>
      </c>
      <c r="F252">
        <v>14.999305724999999</v>
      </c>
      <c r="G252">
        <v>1348.9195557</v>
      </c>
      <c r="H252">
        <v>1344.6066894999999</v>
      </c>
      <c r="I252">
        <v>1311.2991943</v>
      </c>
      <c r="J252">
        <v>1302.2458495999999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23.84939</v>
      </c>
      <c r="B253" s="1">
        <f>DATE(2010,5,24) + TIME(20,23,7)</f>
        <v>40322.849386574075</v>
      </c>
      <c r="C253">
        <v>80</v>
      </c>
      <c r="D253">
        <v>79.936233521000005</v>
      </c>
      <c r="E253">
        <v>50</v>
      </c>
      <c r="F253">
        <v>14.999307632000001</v>
      </c>
      <c r="G253">
        <v>1348.9090576000001</v>
      </c>
      <c r="H253">
        <v>1344.5980225000001</v>
      </c>
      <c r="I253">
        <v>1311.2998047000001</v>
      </c>
      <c r="J253">
        <v>1302.2463379000001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24.004156999999999</v>
      </c>
      <c r="B254" s="1">
        <f>DATE(2010,5,25) + TIME(0,5,59)</f>
        <v>40323.004155092596</v>
      </c>
      <c r="C254">
        <v>80</v>
      </c>
      <c r="D254">
        <v>79.936218261999997</v>
      </c>
      <c r="E254">
        <v>50</v>
      </c>
      <c r="F254">
        <v>14.99930954</v>
      </c>
      <c r="G254">
        <v>1348.8988036999999</v>
      </c>
      <c r="H254">
        <v>1344.5895995999999</v>
      </c>
      <c r="I254">
        <v>1311.300293</v>
      </c>
      <c r="J254">
        <v>1302.2468262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24.158683</v>
      </c>
      <c r="B255" s="1">
        <f>DATE(2010,5,25) + TIME(3,48,30)</f>
        <v>40323.158680555556</v>
      </c>
      <c r="C255">
        <v>80</v>
      </c>
      <c r="D255">
        <v>79.936210631999998</v>
      </c>
      <c r="E255">
        <v>50</v>
      </c>
      <c r="F255">
        <v>14.999311447</v>
      </c>
      <c r="G255">
        <v>1348.8886719</v>
      </c>
      <c r="H255">
        <v>1344.5812988</v>
      </c>
      <c r="I255">
        <v>1311.3009033000001</v>
      </c>
      <c r="J255">
        <v>1302.2473144999999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24.313047000000001</v>
      </c>
      <c r="B256" s="1">
        <f>DATE(2010,5,25) + TIME(7,30,47)</f>
        <v>40323.313043981485</v>
      </c>
      <c r="C256">
        <v>80</v>
      </c>
      <c r="D256">
        <v>79.936195373999993</v>
      </c>
      <c r="E256">
        <v>50</v>
      </c>
      <c r="F256">
        <v>14.999313354</v>
      </c>
      <c r="G256">
        <v>1348.8785399999999</v>
      </c>
      <c r="H256">
        <v>1344.5729980000001</v>
      </c>
      <c r="I256">
        <v>1311.3013916</v>
      </c>
      <c r="J256">
        <v>1302.2478027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24.467309</v>
      </c>
      <c r="B257" s="1">
        <f>DATE(2010,5,25) + TIME(11,12,55)</f>
        <v>40323.467303240737</v>
      </c>
      <c r="C257">
        <v>80</v>
      </c>
      <c r="D257">
        <v>79.936180114999999</v>
      </c>
      <c r="E257">
        <v>50</v>
      </c>
      <c r="F257">
        <v>14.999315262</v>
      </c>
      <c r="G257">
        <v>1348.8684082</v>
      </c>
      <c r="H257">
        <v>1344.5648193</v>
      </c>
      <c r="I257">
        <v>1311.3020019999999</v>
      </c>
      <c r="J257">
        <v>1302.2481689000001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24.621545999999999</v>
      </c>
      <c r="B258" s="1">
        <f>DATE(2010,5,25) + TIME(14,55,1)</f>
        <v>40323.621539351851</v>
      </c>
      <c r="C258">
        <v>80</v>
      </c>
      <c r="D258">
        <v>79.936172485</v>
      </c>
      <c r="E258">
        <v>50</v>
      </c>
      <c r="F258">
        <v>14.999317168999999</v>
      </c>
      <c r="G258">
        <v>1348.8583983999999</v>
      </c>
      <c r="H258">
        <v>1344.5566406</v>
      </c>
      <c r="I258">
        <v>1311.3024902</v>
      </c>
      <c r="J258">
        <v>1302.2486572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24.775783000000001</v>
      </c>
      <c r="B259" s="1">
        <f>DATE(2010,5,25) + TIME(18,37,7)</f>
        <v>40323.775775462964</v>
      </c>
      <c r="C259">
        <v>80</v>
      </c>
      <c r="D259">
        <v>79.936164856000005</v>
      </c>
      <c r="E259">
        <v>50</v>
      </c>
      <c r="F259">
        <v>14.999319076999999</v>
      </c>
      <c r="G259">
        <v>1348.8485106999999</v>
      </c>
      <c r="H259">
        <v>1344.5485839999999</v>
      </c>
      <c r="I259">
        <v>1311.3031006000001</v>
      </c>
      <c r="J259">
        <v>1302.2491454999999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24.930019999999999</v>
      </c>
      <c r="B260" s="1">
        <f>DATE(2010,5,25) + TIME(22,19,13)</f>
        <v>40323.930011574077</v>
      </c>
      <c r="C260">
        <v>80</v>
      </c>
      <c r="D260">
        <v>79.936149596999996</v>
      </c>
      <c r="E260">
        <v>50</v>
      </c>
      <c r="F260">
        <v>14.999320984000001</v>
      </c>
      <c r="G260">
        <v>1348.8386230000001</v>
      </c>
      <c r="H260">
        <v>1344.5405272999999</v>
      </c>
      <c r="I260">
        <v>1311.3035889</v>
      </c>
      <c r="J260">
        <v>1302.2496338000001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25.084257000000001</v>
      </c>
      <c r="B261" s="1">
        <f>DATE(2010,5,26) + TIME(2,1,19)</f>
        <v>40324.084247685183</v>
      </c>
      <c r="C261">
        <v>80</v>
      </c>
      <c r="D261">
        <v>79.936141968000001</v>
      </c>
      <c r="E261">
        <v>50</v>
      </c>
      <c r="F261">
        <v>14.999321938</v>
      </c>
      <c r="G261">
        <v>1348.8287353999999</v>
      </c>
      <c r="H261">
        <v>1344.5324707</v>
      </c>
      <c r="I261">
        <v>1311.3041992000001</v>
      </c>
      <c r="J261">
        <v>1302.2501221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25.238493999999999</v>
      </c>
      <c r="B262" s="1">
        <f>DATE(2010,5,26) + TIME(5,43,25)</f>
        <v>40324.238483796296</v>
      </c>
      <c r="C262">
        <v>80</v>
      </c>
      <c r="D262">
        <v>79.936126709000007</v>
      </c>
      <c r="E262">
        <v>50</v>
      </c>
      <c r="F262">
        <v>14.999323844999999</v>
      </c>
      <c r="G262">
        <v>1348.8189697</v>
      </c>
      <c r="H262">
        <v>1344.5245361</v>
      </c>
      <c r="I262">
        <v>1311.3046875</v>
      </c>
      <c r="J262">
        <v>1302.2506103999999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25.392731999999999</v>
      </c>
      <c r="B263" s="1">
        <f>DATE(2010,5,26) + TIME(9,25,32)</f>
        <v>40324.392731481479</v>
      </c>
      <c r="C263">
        <v>80</v>
      </c>
      <c r="D263">
        <v>79.936119079999997</v>
      </c>
      <c r="E263">
        <v>50</v>
      </c>
      <c r="F263">
        <v>14.999325752000001</v>
      </c>
      <c r="G263">
        <v>1348.8093262</v>
      </c>
      <c r="H263">
        <v>1344.5167236</v>
      </c>
      <c r="I263">
        <v>1311.3052978999999</v>
      </c>
      <c r="J263">
        <v>1302.2510986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25.701205999999999</v>
      </c>
      <c r="B264" s="1">
        <f>DATE(2010,5,26) + TIME(16,49,44)</f>
        <v>40324.701203703706</v>
      </c>
      <c r="C264">
        <v>80</v>
      </c>
      <c r="D264">
        <v>79.936111449999999</v>
      </c>
      <c r="E264">
        <v>50</v>
      </c>
      <c r="F264">
        <v>14.999328612999999</v>
      </c>
      <c r="G264">
        <v>1348.7999268000001</v>
      </c>
      <c r="H264">
        <v>1344.5091553</v>
      </c>
      <c r="I264">
        <v>1311.3059082</v>
      </c>
      <c r="J264">
        <v>1302.2515868999999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26.009934999999999</v>
      </c>
      <c r="B265" s="1">
        <f>DATE(2010,5,27) + TIME(0,14,18)</f>
        <v>40325.009930555556</v>
      </c>
      <c r="C265">
        <v>80</v>
      </c>
      <c r="D265">
        <v>79.936096191000004</v>
      </c>
      <c r="E265">
        <v>50</v>
      </c>
      <c r="F265">
        <v>14.999331474</v>
      </c>
      <c r="G265">
        <v>1348.7807617000001</v>
      </c>
      <c r="H265">
        <v>1344.4936522999999</v>
      </c>
      <c r="I265">
        <v>1311.3070068</v>
      </c>
      <c r="J265">
        <v>1302.2525635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26.321165000000001</v>
      </c>
      <c r="B266" s="1">
        <f>DATE(2010,5,27) + TIME(7,42,28)</f>
        <v>40325.321157407408</v>
      </c>
      <c r="C266">
        <v>80</v>
      </c>
      <c r="D266">
        <v>79.936080933</v>
      </c>
      <c r="E266">
        <v>50</v>
      </c>
      <c r="F266">
        <v>14.999334335</v>
      </c>
      <c r="G266">
        <v>1348.7617187999999</v>
      </c>
      <c r="H266">
        <v>1344.4782714999999</v>
      </c>
      <c r="I266">
        <v>1311.3081055</v>
      </c>
      <c r="J266">
        <v>1302.253418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26.635484999999999</v>
      </c>
      <c r="B267" s="1">
        <f>DATE(2010,5,27) + TIME(15,15,5)</f>
        <v>40325.635474537034</v>
      </c>
      <c r="C267">
        <v>80</v>
      </c>
      <c r="D267">
        <v>79.936065674000005</v>
      </c>
      <c r="E267">
        <v>50</v>
      </c>
      <c r="F267">
        <v>14.999337196000001</v>
      </c>
      <c r="G267">
        <v>1348.7427978999999</v>
      </c>
      <c r="H267">
        <v>1344.4628906</v>
      </c>
      <c r="I267">
        <v>1311.3092041</v>
      </c>
      <c r="J267">
        <v>1302.2543945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26.953534000000001</v>
      </c>
      <c r="B268" s="1">
        <f>DATE(2010,5,27) + TIME(22,53,5)</f>
        <v>40325.953530092593</v>
      </c>
      <c r="C268">
        <v>80</v>
      </c>
      <c r="D268">
        <v>79.936050414999997</v>
      </c>
      <c r="E268">
        <v>50</v>
      </c>
      <c r="F268">
        <v>14.999341011</v>
      </c>
      <c r="G268">
        <v>1348.7238769999999</v>
      </c>
      <c r="H268">
        <v>1344.4476318</v>
      </c>
      <c r="I268">
        <v>1311.3103027</v>
      </c>
      <c r="J268">
        <v>1302.2553711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27.275963000000001</v>
      </c>
      <c r="B269" s="1">
        <f>DATE(2010,5,28) + TIME(6,37,23)</f>
        <v>40326.275960648149</v>
      </c>
      <c r="C269">
        <v>80</v>
      </c>
      <c r="D269">
        <v>79.936027526999993</v>
      </c>
      <c r="E269">
        <v>50</v>
      </c>
      <c r="F269">
        <v>14.999343872000001</v>
      </c>
      <c r="G269">
        <v>1348.7049560999999</v>
      </c>
      <c r="H269">
        <v>1344.4323730000001</v>
      </c>
      <c r="I269">
        <v>1311.3115233999999</v>
      </c>
      <c r="J269">
        <v>1302.2563477000001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27.603456999999999</v>
      </c>
      <c r="B270" s="1">
        <f>DATE(2010,5,28) + TIME(14,28,58)</f>
        <v>40326.603449074071</v>
      </c>
      <c r="C270">
        <v>80</v>
      </c>
      <c r="D270">
        <v>79.936012267999999</v>
      </c>
      <c r="E270">
        <v>50</v>
      </c>
      <c r="F270">
        <v>14.999346732999999</v>
      </c>
      <c r="G270">
        <v>1348.6859131000001</v>
      </c>
      <c r="H270">
        <v>1344.4169922000001</v>
      </c>
      <c r="I270">
        <v>1311.3127440999999</v>
      </c>
      <c r="J270">
        <v>1302.2573242000001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27.936820000000001</v>
      </c>
      <c r="B271" s="1">
        <f>DATE(2010,5,28) + TIME(22,29,1)</f>
        <v>40326.93681712963</v>
      </c>
      <c r="C271">
        <v>80</v>
      </c>
      <c r="D271">
        <v>79.935997009000005</v>
      </c>
      <c r="E271">
        <v>50</v>
      </c>
      <c r="F271">
        <v>14.999350548000001</v>
      </c>
      <c r="G271">
        <v>1348.6668701000001</v>
      </c>
      <c r="H271">
        <v>1344.4016113</v>
      </c>
      <c r="I271">
        <v>1311.3138428</v>
      </c>
      <c r="J271">
        <v>1302.2584228999999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28.276831000000001</v>
      </c>
      <c r="B272" s="1">
        <f>DATE(2010,5,29) + TIME(6,38,38)</f>
        <v>40327.276828703703</v>
      </c>
      <c r="C272">
        <v>80</v>
      </c>
      <c r="D272">
        <v>79.935974121000001</v>
      </c>
      <c r="E272">
        <v>50</v>
      </c>
      <c r="F272">
        <v>14.999353408999999</v>
      </c>
      <c r="G272">
        <v>1348.6477050999999</v>
      </c>
      <c r="H272">
        <v>1344.3862305</v>
      </c>
      <c r="I272">
        <v>1311.3150635</v>
      </c>
      <c r="J272">
        <v>1302.2593993999999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28.450089999999999</v>
      </c>
      <c r="B273" s="1">
        <f>DATE(2010,5,29) + TIME(10,48,7)</f>
        <v>40327.45008101852</v>
      </c>
      <c r="C273">
        <v>80</v>
      </c>
      <c r="D273">
        <v>79.935958862000007</v>
      </c>
      <c r="E273">
        <v>50</v>
      </c>
      <c r="F273">
        <v>14.999355316000001</v>
      </c>
      <c r="G273">
        <v>1348.6280518000001</v>
      </c>
      <c r="H273">
        <v>1344.3703613</v>
      </c>
      <c r="I273">
        <v>1311.3162841999999</v>
      </c>
      <c r="J273">
        <v>1302.260376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28.623348</v>
      </c>
      <c r="B274" s="1">
        <f>DATE(2010,5,29) + TIME(14,57,37)</f>
        <v>40327.623344907406</v>
      </c>
      <c r="C274">
        <v>80</v>
      </c>
      <c r="D274">
        <v>79.935943604000002</v>
      </c>
      <c r="E274">
        <v>50</v>
      </c>
      <c r="F274">
        <v>14.999357224000001</v>
      </c>
      <c r="G274">
        <v>1348.6181641000001</v>
      </c>
      <c r="H274">
        <v>1344.3624268000001</v>
      </c>
      <c r="I274">
        <v>1311.3168945</v>
      </c>
      <c r="J274">
        <v>1302.2609863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28.796607000000002</v>
      </c>
      <c r="B275" s="1">
        <f>DATE(2010,5,29) + TIME(19,7,6)</f>
        <v>40327.796597222223</v>
      </c>
      <c r="C275">
        <v>80</v>
      </c>
      <c r="D275">
        <v>79.935928344999994</v>
      </c>
      <c r="E275">
        <v>50</v>
      </c>
      <c r="F275">
        <v>14.999359131</v>
      </c>
      <c r="G275">
        <v>1348.6083983999999</v>
      </c>
      <c r="H275">
        <v>1344.3544922000001</v>
      </c>
      <c r="I275">
        <v>1311.3176269999999</v>
      </c>
      <c r="J275">
        <v>1302.2614745999999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28.969866</v>
      </c>
      <c r="B276" s="1">
        <f>DATE(2010,5,29) + TIME(23,16,36)</f>
        <v>40327.969861111109</v>
      </c>
      <c r="C276">
        <v>80</v>
      </c>
      <c r="D276">
        <v>79.935920714999995</v>
      </c>
      <c r="E276">
        <v>50</v>
      </c>
      <c r="F276">
        <v>14.999361038</v>
      </c>
      <c r="G276">
        <v>1348.5987548999999</v>
      </c>
      <c r="H276">
        <v>1344.3466797000001</v>
      </c>
      <c r="I276">
        <v>1311.3182373</v>
      </c>
      <c r="J276">
        <v>1302.2620850000001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29.143124</v>
      </c>
      <c r="B277" s="1">
        <f>DATE(2010,5,30) + TIME(3,26,5)</f>
        <v>40328.143113425926</v>
      </c>
      <c r="C277">
        <v>80</v>
      </c>
      <c r="D277">
        <v>79.935905457000004</v>
      </c>
      <c r="E277">
        <v>50</v>
      </c>
      <c r="F277">
        <v>14.999362946</v>
      </c>
      <c r="G277">
        <v>1348.5891113</v>
      </c>
      <c r="H277">
        <v>1344.3389893000001</v>
      </c>
      <c r="I277">
        <v>1311.3188477000001</v>
      </c>
      <c r="J277">
        <v>1302.2625731999999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29.316382999999998</v>
      </c>
      <c r="B278" s="1">
        <f>DATE(2010,5,30) + TIME(7,35,35)</f>
        <v>40328.316377314812</v>
      </c>
      <c r="C278">
        <v>80</v>
      </c>
      <c r="D278">
        <v>79.935897827000005</v>
      </c>
      <c r="E278">
        <v>50</v>
      </c>
      <c r="F278">
        <v>14.999364852999999</v>
      </c>
      <c r="G278">
        <v>1348.5794678</v>
      </c>
      <c r="H278">
        <v>1344.3311768000001</v>
      </c>
      <c r="I278">
        <v>1311.3194579999999</v>
      </c>
      <c r="J278">
        <v>1302.2631836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29.489642</v>
      </c>
      <c r="B279" s="1">
        <f>DATE(2010,5,30) + TIME(11,45,5)</f>
        <v>40328.489641203705</v>
      </c>
      <c r="C279">
        <v>80</v>
      </c>
      <c r="D279">
        <v>79.935890197999996</v>
      </c>
      <c r="E279">
        <v>50</v>
      </c>
      <c r="F279">
        <v>14.999366759999999</v>
      </c>
      <c r="G279">
        <v>1348.5699463000001</v>
      </c>
      <c r="H279">
        <v>1344.3234863</v>
      </c>
      <c r="I279">
        <v>1311.3201904</v>
      </c>
      <c r="J279">
        <v>1302.2636719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29.6629</v>
      </c>
      <c r="B280" s="1">
        <f>DATE(2010,5,30) + TIME(15,54,34)</f>
        <v>40328.662893518522</v>
      </c>
      <c r="C280">
        <v>80</v>
      </c>
      <c r="D280">
        <v>79.935882567999997</v>
      </c>
      <c r="E280">
        <v>50</v>
      </c>
      <c r="F280">
        <v>14.999367714</v>
      </c>
      <c r="G280">
        <v>1348.5604248</v>
      </c>
      <c r="H280">
        <v>1344.315918</v>
      </c>
      <c r="I280">
        <v>1311.3208007999999</v>
      </c>
      <c r="J280">
        <v>1302.2642822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29.836158999999999</v>
      </c>
      <c r="B281" s="1">
        <f>DATE(2010,5,30) + TIME(20,4,4)</f>
        <v>40328.836157407408</v>
      </c>
      <c r="C281">
        <v>80</v>
      </c>
      <c r="D281">
        <v>79.935867310000006</v>
      </c>
      <c r="E281">
        <v>50</v>
      </c>
      <c r="F281">
        <v>14.999369621</v>
      </c>
      <c r="G281">
        <v>1348.5510254000001</v>
      </c>
      <c r="H281">
        <v>1344.3083495999999</v>
      </c>
      <c r="I281">
        <v>1311.3214111</v>
      </c>
      <c r="J281">
        <v>1302.2647704999999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30.009418</v>
      </c>
      <c r="B282" s="1">
        <f>DATE(2010,5,31) + TIME(0,13,33)</f>
        <v>40329.009409722225</v>
      </c>
      <c r="C282">
        <v>80</v>
      </c>
      <c r="D282">
        <v>79.935859679999993</v>
      </c>
      <c r="E282">
        <v>50</v>
      </c>
      <c r="F282">
        <v>14.999371528999999</v>
      </c>
      <c r="G282">
        <v>1348.541626</v>
      </c>
      <c r="H282">
        <v>1344.3007812000001</v>
      </c>
      <c r="I282">
        <v>1311.3221435999999</v>
      </c>
      <c r="J282">
        <v>1302.2653809000001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30.182676000000001</v>
      </c>
      <c r="B283" s="1">
        <f>DATE(2010,5,31) + TIME(4,23,3)</f>
        <v>40329.182673611111</v>
      </c>
      <c r="C283">
        <v>80</v>
      </c>
      <c r="D283">
        <v>79.935852050999998</v>
      </c>
      <c r="E283">
        <v>50</v>
      </c>
      <c r="F283">
        <v>14.999373436000001</v>
      </c>
      <c r="G283">
        <v>1348.5322266000001</v>
      </c>
      <c r="H283">
        <v>1344.2932129000001</v>
      </c>
      <c r="I283">
        <v>1311.3227539</v>
      </c>
      <c r="J283">
        <v>1302.2658690999999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30.355934999999999</v>
      </c>
      <c r="B284" s="1">
        <f>DATE(2010,5,31) + TIME(8,32,32)</f>
        <v>40329.355925925927</v>
      </c>
      <c r="C284">
        <v>80</v>
      </c>
      <c r="D284">
        <v>79.935844420999999</v>
      </c>
      <c r="E284">
        <v>50</v>
      </c>
      <c r="F284">
        <v>14.99937439</v>
      </c>
      <c r="G284">
        <v>1348.5229492000001</v>
      </c>
      <c r="H284">
        <v>1344.2857666</v>
      </c>
      <c r="I284">
        <v>1311.3233643000001</v>
      </c>
      <c r="J284">
        <v>1302.2664795000001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30.529194</v>
      </c>
      <c r="B285" s="1">
        <f>DATE(2010,5,31) + TIME(12,42,2)</f>
        <v>40329.529189814813</v>
      </c>
      <c r="C285">
        <v>80</v>
      </c>
      <c r="D285">
        <v>79.935836792000003</v>
      </c>
      <c r="E285">
        <v>50</v>
      </c>
      <c r="F285">
        <v>14.999376297</v>
      </c>
      <c r="G285">
        <v>1348.5136719</v>
      </c>
      <c r="H285">
        <v>1344.2783202999999</v>
      </c>
      <c r="I285">
        <v>1311.3240966999999</v>
      </c>
      <c r="J285">
        <v>1302.2669678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30.702452000000001</v>
      </c>
      <c r="B286" s="1">
        <f>DATE(2010,5,31) + TIME(16,51,31)</f>
        <v>40329.70244212963</v>
      </c>
      <c r="C286">
        <v>80</v>
      </c>
      <c r="D286">
        <v>79.935829162999994</v>
      </c>
      <c r="E286">
        <v>50</v>
      </c>
      <c r="F286">
        <v>14.999378203999999</v>
      </c>
      <c r="G286">
        <v>1348.5045166</v>
      </c>
      <c r="H286">
        <v>1344.2709961</v>
      </c>
      <c r="I286">
        <v>1311.324707</v>
      </c>
      <c r="J286">
        <v>1302.2675781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31</v>
      </c>
      <c r="B287" s="1">
        <f>DATE(2010,6,1) + TIME(0,0,0)</f>
        <v>40330</v>
      </c>
      <c r="C287">
        <v>80</v>
      </c>
      <c r="D287">
        <v>79.935821532999995</v>
      </c>
      <c r="E287">
        <v>50</v>
      </c>
      <c r="F287">
        <v>14.999380112000001</v>
      </c>
      <c r="G287">
        <v>1348.4954834</v>
      </c>
      <c r="H287">
        <v>1344.2639160000001</v>
      </c>
      <c r="I287">
        <v>1311.3254394999999</v>
      </c>
      <c r="J287">
        <v>1302.2681885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31.346516999999999</v>
      </c>
      <c r="B288" s="1">
        <f>DATE(2010,6,1) + TIME(8,18,59)</f>
        <v>40330.346516203703</v>
      </c>
      <c r="C288">
        <v>80</v>
      </c>
      <c r="D288">
        <v>79.935813904</v>
      </c>
      <c r="E288">
        <v>50</v>
      </c>
      <c r="F288">
        <v>14.999382972999999</v>
      </c>
      <c r="G288">
        <v>1348.4799805</v>
      </c>
      <c r="H288">
        <v>1344.2514647999999</v>
      </c>
      <c r="I288">
        <v>1311.3265381000001</v>
      </c>
      <c r="J288">
        <v>1302.2691649999999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31.695627000000002</v>
      </c>
      <c r="B289" s="1">
        <f>DATE(2010,6,1) + TIME(16,41,42)</f>
        <v>40330.695625</v>
      </c>
      <c r="C289">
        <v>80</v>
      </c>
      <c r="D289">
        <v>79.935806274000001</v>
      </c>
      <c r="E289">
        <v>50</v>
      </c>
      <c r="F289">
        <v>14.999385834</v>
      </c>
      <c r="G289">
        <v>1348.4619141000001</v>
      </c>
      <c r="H289">
        <v>1344.2370605000001</v>
      </c>
      <c r="I289">
        <v>1311.3278809000001</v>
      </c>
      <c r="J289">
        <v>1302.2702637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32.048957999999999</v>
      </c>
      <c r="B290" s="1">
        <f>DATE(2010,6,2) + TIME(1,10,30)</f>
        <v>40331.048958333333</v>
      </c>
      <c r="C290">
        <v>80</v>
      </c>
      <c r="D290">
        <v>79.935791015999996</v>
      </c>
      <c r="E290">
        <v>50</v>
      </c>
      <c r="F290">
        <v>14.999388695</v>
      </c>
      <c r="G290">
        <v>1348.4439697</v>
      </c>
      <c r="H290">
        <v>1344.2227783000001</v>
      </c>
      <c r="I290">
        <v>1311.3292236</v>
      </c>
      <c r="J290">
        <v>1302.2713623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32.407245000000003</v>
      </c>
      <c r="B291" s="1">
        <f>DATE(2010,6,2) + TIME(9,46,25)</f>
        <v>40331.407233796293</v>
      </c>
      <c r="C291">
        <v>80</v>
      </c>
      <c r="D291">
        <v>79.935775757000002</v>
      </c>
      <c r="E291">
        <v>50</v>
      </c>
      <c r="F291">
        <v>14.999391556000001</v>
      </c>
      <c r="G291">
        <v>1348.4260254000001</v>
      </c>
      <c r="H291">
        <v>1344.208374</v>
      </c>
      <c r="I291">
        <v>1311.3305664</v>
      </c>
      <c r="J291">
        <v>1302.2724608999999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32.771296999999997</v>
      </c>
      <c r="B292" s="1">
        <f>DATE(2010,6,2) + TIME(18,30,40)</f>
        <v>40331.771296296298</v>
      </c>
      <c r="C292">
        <v>80</v>
      </c>
      <c r="D292">
        <v>79.935768127000003</v>
      </c>
      <c r="E292">
        <v>50</v>
      </c>
      <c r="F292">
        <v>14.999394417</v>
      </c>
      <c r="G292">
        <v>1348.4078368999999</v>
      </c>
      <c r="H292">
        <v>1344.1939697</v>
      </c>
      <c r="I292">
        <v>1311.3319091999999</v>
      </c>
      <c r="J292">
        <v>1302.2736815999999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33.142063</v>
      </c>
      <c r="B293" s="1">
        <f>DATE(2010,6,3) + TIME(3,24,34)</f>
        <v>40332.142060185186</v>
      </c>
      <c r="C293">
        <v>80</v>
      </c>
      <c r="D293">
        <v>79.935752868999998</v>
      </c>
      <c r="E293">
        <v>50</v>
      </c>
      <c r="F293">
        <v>14.999397278</v>
      </c>
      <c r="G293">
        <v>1348.3896483999999</v>
      </c>
      <c r="H293">
        <v>1344.1794434000001</v>
      </c>
      <c r="I293">
        <v>1311.333374</v>
      </c>
      <c r="J293">
        <v>1302.2747803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33.520468999999999</v>
      </c>
      <c r="B294" s="1">
        <f>DATE(2010,6,3) + TIME(12,29,28)</f>
        <v>40332.520462962966</v>
      </c>
      <c r="C294">
        <v>80</v>
      </c>
      <c r="D294">
        <v>79.935737610000004</v>
      </c>
      <c r="E294">
        <v>50</v>
      </c>
      <c r="F294">
        <v>14.999401092999999</v>
      </c>
      <c r="G294">
        <v>1348.3713379000001</v>
      </c>
      <c r="H294">
        <v>1344.1647949000001</v>
      </c>
      <c r="I294">
        <v>1311.3347168</v>
      </c>
      <c r="J294">
        <v>1302.276001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33.712121000000003</v>
      </c>
      <c r="B295" s="1">
        <f>DATE(2010,6,3) + TIME(17,5,27)</f>
        <v>40332.712118055555</v>
      </c>
      <c r="C295">
        <v>80</v>
      </c>
      <c r="D295">
        <v>79.935722350999995</v>
      </c>
      <c r="E295">
        <v>50</v>
      </c>
      <c r="F295">
        <v>14.999402999999999</v>
      </c>
      <c r="G295">
        <v>1348.3525391000001</v>
      </c>
      <c r="H295">
        <v>1344.1497803</v>
      </c>
      <c r="I295">
        <v>1311.3361815999999</v>
      </c>
      <c r="J295">
        <v>1302.2772216999999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33.903773999999999</v>
      </c>
      <c r="B296" s="1">
        <f>DATE(2010,6,3) + TIME(21,41,26)</f>
        <v>40332.903773148151</v>
      </c>
      <c r="C296">
        <v>80</v>
      </c>
      <c r="D296">
        <v>79.935707092000001</v>
      </c>
      <c r="E296">
        <v>50</v>
      </c>
      <c r="F296">
        <v>14.999404907000001</v>
      </c>
      <c r="G296">
        <v>1348.3431396000001</v>
      </c>
      <c r="H296">
        <v>1344.1423339999999</v>
      </c>
      <c r="I296">
        <v>1311.3369141000001</v>
      </c>
      <c r="J296">
        <v>1302.277832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34.095426000000003</v>
      </c>
      <c r="B297" s="1">
        <f>DATE(2010,6,4) + TIME(2,17,24)</f>
        <v>40333.095416666663</v>
      </c>
      <c r="C297">
        <v>80</v>
      </c>
      <c r="D297">
        <v>79.935699463000006</v>
      </c>
      <c r="E297">
        <v>50</v>
      </c>
      <c r="F297">
        <v>14.999406815</v>
      </c>
      <c r="G297">
        <v>1348.3338623</v>
      </c>
      <c r="H297">
        <v>1344.1348877</v>
      </c>
      <c r="I297">
        <v>1311.3376464999999</v>
      </c>
      <c r="J297">
        <v>1302.2784423999999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34.287078000000001</v>
      </c>
      <c r="B298" s="1">
        <f>DATE(2010,6,4) + TIME(6,53,23)</f>
        <v>40333.28707175926</v>
      </c>
      <c r="C298">
        <v>80</v>
      </c>
      <c r="D298">
        <v>79.935684203999998</v>
      </c>
      <c r="E298">
        <v>50</v>
      </c>
      <c r="F298">
        <v>14.999407767999999</v>
      </c>
      <c r="G298">
        <v>1348.324707</v>
      </c>
      <c r="H298">
        <v>1344.1275635</v>
      </c>
      <c r="I298">
        <v>1311.3383789</v>
      </c>
      <c r="J298">
        <v>1302.2790527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34.478710999999997</v>
      </c>
      <c r="B299" s="1">
        <f>DATE(2010,6,4) + TIME(11,29,20)</f>
        <v>40333.478703703702</v>
      </c>
      <c r="C299">
        <v>80</v>
      </c>
      <c r="D299">
        <v>79.935676575000002</v>
      </c>
      <c r="E299">
        <v>50</v>
      </c>
      <c r="F299">
        <v>14.999409676000001</v>
      </c>
      <c r="G299">
        <v>1348.3155518000001</v>
      </c>
      <c r="H299">
        <v>1344.1202393000001</v>
      </c>
      <c r="I299">
        <v>1311.3391113</v>
      </c>
      <c r="J299">
        <v>1302.2796631000001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34.670189999999998</v>
      </c>
      <c r="B300" s="1">
        <f>DATE(2010,6,4) + TIME(16,5,4)</f>
        <v>40333.670185185183</v>
      </c>
      <c r="C300">
        <v>80</v>
      </c>
      <c r="D300">
        <v>79.935668945000003</v>
      </c>
      <c r="E300">
        <v>50</v>
      </c>
      <c r="F300">
        <v>14.999411583000001</v>
      </c>
      <c r="G300">
        <v>1348.3063964999999</v>
      </c>
      <c r="H300">
        <v>1344.1129149999999</v>
      </c>
      <c r="I300">
        <v>1311.3399658000001</v>
      </c>
      <c r="J300">
        <v>1302.2803954999999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34.861590999999997</v>
      </c>
      <c r="B301" s="1">
        <f>DATE(2010,6,4) + TIME(20,40,41)</f>
        <v>40333.861585648148</v>
      </c>
      <c r="C301">
        <v>80</v>
      </c>
      <c r="D301">
        <v>79.935661315999994</v>
      </c>
      <c r="E301">
        <v>50</v>
      </c>
      <c r="F301">
        <v>14.99941349</v>
      </c>
      <c r="G301">
        <v>1348.2972411999999</v>
      </c>
      <c r="H301">
        <v>1344.1057129000001</v>
      </c>
      <c r="I301">
        <v>1311.3406981999999</v>
      </c>
      <c r="J301">
        <v>1302.2810059000001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35.052992000000003</v>
      </c>
      <c r="B302" s="1">
        <f>DATE(2010,6,5) + TIME(1,16,18)</f>
        <v>40334.052986111114</v>
      </c>
      <c r="C302">
        <v>80</v>
      </c>
      <c r="D302">
        <v>79.935653686999999</v>
      </c>
      <c r="E302">
        <v>50</v>
      </c>
      <c r="F302">
        <v>14.999414443999999</v>
      </c>
      <c r="G302">
        <v>1348.2882079999999</v>
      </c>
      <c r="H302">
        <v>1344.0985106999999</v>
      </c>
      <c r="I302">
        <v>1311.3414307</v>
      </c>
      <c r="J302">
        <v>1302.2816161999999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35.244393000000002</v>
      </c>
      <c r="B303" s="1">
        <f>DATE(2010,6,5) + TIME(5,51,55)</f>
        <v>40334.244386574072</v>
      </c>
      <c r="C303">
        <v>80</v>
      </c>
      <c r="D303">
        <v>79.935646057</v>
      </c>
      <c r="E303">
        <v>50</v>
      </c>
      <c r="F303">
        <v>14.999416351000001</v>
      </c>
      <c r="G303">
        <v>1348.2792969</v>
      </c>
      <c r="H303">
        <v>1344.0914307</v>
      </c>
      <c r="I303">
        <v>1311.3421631000001</v>
      </c>
      <c r="J303">
        <v>1302.2822266000001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35.435794000000001</v>
      </c>
      <c r="B304" s="1">
        <f>DATE(2010,6,5) + TIME(10,27,32)</f>
        <v>40334.435787037037</v>
      </c>
      <c r="C304">
        <v>80</v>
      </c>
      <c r="D304">
        <v>79.935638428000004</v>
      </c>
      <c r="E304">
        <v>50</v>
      </c>
      <c r="F304">
        <v>14.999418259</v>
      </c>
      <c r="G304">
        <v>1348.2702637</v>
      </c>
      <c r="H304">
        <v>1344.0842285000001</v>
      </c>
      <c r="I304">
        <v>1311.3428954999999</v>
      </c>
      <c r="J304">
        <v>1302.2828368999999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35.627195</v>
      </c>
      <c r="B305" s="1">
        <f>DATE(2010,6,5) + TIME(15,3,9)</f>
        <v>40334.627187500002</v>
      </c>
      <c r="C305">
        <v>80</v>
      </c>
      <c r="D305">
        <v>79.935630798000005</v>
      </c>
      <c r="E305">
        <v>50</v>
      </c>
      <c r="F305">
        <v>14.999419211999999</v>
      </c>
      <c r="G305">
        <v>1348.2613524999999</v>
      </c>
      <c r="H305">
        <v>1344.0771483999999</v>
      </c>
      <c r="I305">
        <v>1311.34375</v>
      </c>
      <c r="J305">
        <v>1302.2835693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35.818595999999999</v>
      </c>
      <c r="B306" s="1">
        <f>DATE(2010,6,5) + TIME(19,38,46)</f>
        <v>40334.81858796296</v>
      </c>
      <c r="C306">
        <v>80</v>
      </c>
      <c r="D306">
        <v>79.935630798000005</v>
      </c>
      <c r="E306">
        <v>50</v>
      </c>
      <c r="F306">
        <v>14.999421119999999</v>
      </c>
      <c r="G306">
        <v>1348.2525635</v>
      </c>
      <c r="H306">
        <v>1344.0700684000001</v>
      </c>
      <c r="I306">
        <v>1311.3444824000001</v>
      </c>
      <c r="J306">
        <v>1302.2841797000001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36.009996999999998</v>
      </c>
      <c r="B307" s="1">
        <f>DATE(2010,6,6) + TIME(0,14,23)</f>
        <v>40335.009988425925</v>
      </c>
      <c r="C307">
        <v>80</v>
      </c>
      <c r="D307">
        <v>79.935623168999996</v>
      </c>
      <c r="E307">
        <v>50</v>
      </c>
      <c r="F307">
        <v>14.999422073</v>
      </c>
      <c r="G307">
        <v>1348.2436522999999</v>
      </c>
      <c r="H307">
        <v>1344.0631103999999</v>
      </c>
      <c r="I307">
        <v>1311.3452147999999</v>
      </c>
      <c r="J307">
        <v>1302.2847899999999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36.201397999999998</v>
      </c>
      <c r="B308" s="1">
        <f>DATE(2010,6,6) + TIME(4,50,0)</f>
        <v>40335.201388888891</v>
      </c>
      <c r="C308">
        <v>80</v>
      </c>
      <c r="D308">
        <v>79.935615540000001</v>
      </c>
      <c r="E308">
        <v>50</v>
      </c>
      <c r="F308">
        <v>14.999423981</v>
      </c>
      <c r="G308">
        <v>1348.2348632999999</v>
      </c>
      <c r="H308">
        <v>1344.0561522999999</v>
      </c>
      <c r="I308">
        <v>1311.3459473</v>
      </c>
      <c r="J308">
        <v>1302.2854004000001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36.584200000000003</v>
      </c>
      <c r="B309" s="1">
        <f>DATE(2010,6,6) + TIME(14,1,14)</f>
        <v>40335.584189814814</v>
      </c>
      <c r="C309">
        <v>80</v>
      </c>
      <c r="D309">
        <v>79.935615540000001</v>
      </c>
      <c r="E309">
        <v>50</v>
      </c>
      <c r="F309">
        <v>14.999426842</v>
      </c>
      <c r="G309">
        <v>1348.2264404</v>
      </c>
      <c r="H309">
        <v>1344.0494385</v>
      </c>
      <c r="I309">
        <v>1311.3468018000001</v>
      </c>
      <c r="J309">
        <v>1302.2861327999999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36.967810999999998</v>
      </c>
      <c r="B310" s="1">
        <f>DATE(2010,6,6) + TIME(23,13,38)</f>
        <v>40335.967800925922</v>
      </c>
      <c r="C310">
        <v>80</v>
      </c>
      <c r="D310">
        <v>79.935607910000002</v>
      </c>
      <c r="E310">
        <v>50</v>
      </c>
      <c r="F310">
        <v>14.999428749</v>
      </c>
      <c r="G310">
        <v>1348.2091064000001</v>
      </c>
      <c r="H310">
        <v>1344.0357666</v>
      </c>
      <c r="I310">
        <v>1311.3483887</v>
      </c>
      <c r="J310">
        <v>1302.2874756000001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37.355868000000001</v>
      </c>
      <c r="B311" s="1">
        <f>DATE(2010,6,7) + TIME(8,32,27)</f>
        <v>40336.355868055558</v>
      </c>
      <c r="C311">
        <v>80</v>
      </c>
      <c r="D311">
        <v>79.935600281000006</v>
      </c>
      <c r="E311">
        <v>50</v>
      </c>
      <c r="F311">
        <v>14.99943161</v>
      </c>
      <c r="G311">
        <v>1348.1918945</v>
      </c>
      <c r="H311">
        <v>1344.0220947</v>
      </c>
      <c r="I311">
        <v>1311.3498535000001</v>
      </c>
      <c r="J311">
        <v>1302.2886963000001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37.749133</v>
      </c>
      <c r="B312" s="1">
        <f>DATE(2010,6,7) + TIME(17,58,45)</f>
        <v>40336.749131944445</v>
      </c>
      <c r="C312">
        <v>80</v>
      </c>
      <c r="D312">
        <v>79.935592650999993</v>
      </c>
      <c r="E312">
        <v>50</v>
      </c>
      <c r="F312">
        <v>14.999434471000001</v>
      </c>
      <c r="G312">
        <v>1348.1745605000001</v>
      </c>
      <c r="H312">
        <v>1344.0084228999999</v>
      </c>
      <c r="I312">
        <v>1311.3514404</v>
      </c>
      <c r="J312">
        <v>1302.2900391000001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38.148428000000003</v>
      </c>
      <c r="B313" s="1">
        <f>DATE(2010,6,8) + TIME(3,33,44)</f>
        <v>40337.148425925923</v>
      </c>
      <c r="C313">
        <v>80</v>
      </c>
      <c r="D313">
        <v>79.935585021999998</v>
      </c>
      <c r="E313">
        <v>50</v>
      </c>
      <c r="F313">
        <v>14.999437331999999</v>
      </c>
      <c r="G313">
        <v>1348.1572266000001</v>
      </c>
      <c r="H313">
        <v>1343.9946289</v>
      </c>
      <c r="I313">
        <v>1311.3530272999999</v>
      </c>
      <c r="J313">
        <v>1302.2913818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38.554656999999999</v>
      </c>
      <c r="B314" s="1">
        <f>DATE(2010,6,8) + TIME(13,18,42)</f>
        <v>40337.554652777777</v>
      </c>
      <c r="C314">
        <v>80</v>
      </c>
      <c r="D314">
        <v>79.935577393000003</v>
      </c>
      <c r="E314">
        <v>50</v>
      </c>
      <c r="F314">
        <v>14.999440193</v>
      </c>
      <c r="G314">
        <v>1348.1397704999999</v>
      </c>
      <c r="H314">
        <v>1343.9808350000001</v>
      </c>
      <c r="I314">
        <v>1311.3546143000001</v>
      </c>
      <c r="J314">
        <v>1302.2927245999999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38.969029999999997</v>
      </c>
      <c r="B315" s="1">
        <f>DATE(2010,6,8) + TIME(23,15,24)</f>
        <v>40337.969027777777</v>
      </c>
      <c r="C315">
        <v>80</v>
      </c>
      <c r="D315">
        <v>79.935569763000004</v>
      </c>
      <c r="E315">
        <v>50</v>
      </c>
      <c r="F315">
        <v>14.999444007999999</v>
      </c>
      <c r="G315">
        <v>1348.1221923999999</v>
      </c>
      <c r="H315">
        <v>1343.9669189000001</v>
      </c>
      <c r="I315">
        <v>1311.3563231999999</v>
      </c>
      <c r="J315">
        <v>1302.2940673999999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39.178610999999997</v>
      </c>
      <c r="B316" s="1">
        <f>DATE(2010,6,9) + TIME(4,17,12)</f>
        <v>40338.178611111114</v>
      </c>
      <c r="C316">
        <v>80</v>
      </c>
      <c r="D316">
        <v>79.935554503999995</v>
      </c>
      <c r="E316">
        <v>50</v>
      </c>
      <c r="F316">
        <v>14.999445915000001</v>
      </c>
      <c r="G316">
        <v>1348.1042480000001</v>
      </c>
      <c r="H316">
        <v>1343.9526367000001</v>
      </c>
      <c r="I316">
        <v>1311.3580322</v>
      </c>
      <c r="J316">
        <v>1302.2954102000001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39.388164000000003</v>
      </c>
      <c r="B317" s="1">
        <f>DATE(2010,6,9) + TIME(9,18,57)</f>
        <v>40338.388159722221</v>
      </c>
      <c r="C317">
        <v>80</v>
      </c>
      <c r="D317">
        <v>79.935539246000005</v>
      </c>
      <c r="E317">
        <v>50</v>
      </c>
      <c r="F317">
        <v>14.999446869</v>
      </c>
      <c r="G317">
        <v>1348.0952147999999</v>
      </c>
      <c r="H317">
        <v>1343.9454346</v>
      </c>
      <c r="I317">
        <v>1311.3588867000001</v>
      </c>
      <c r="J317">
        <v>1302.2961425999999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39.597233000000003</v>
      </c>
      <c r="B318" s="1">
        <f>DATE(2010,6,9) + TIME(14,20,0)</f>
        <v>40338.597222222219</v>
      </c>
      <c r="C318">
        <v>80</v>
      </c>
      <c r="D318">
        <v>79.935531616000006</v>
      </c>
      <c r="E318">
        <v>50</v>
      </c>
      <c r="F318">
        <v>14.999448775999999</v>
      </c>
      <c r="G318">
        <v>1348.0863036999999</v>
      </c>
      <c r="H318">
        <v>1343.9384766000001</v>
      </c>
      <c r="I318">
        <v>1311.3597411999999</v>
      </c>
      <c r="J318">
        <v>1302.296875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39.805942999999999</v>
      </c>
      <c r="B319" s="1">
        <f>DATE(2010,6,9) + TIME(19,20,33)</f>
        <v>40338.805937500001</v>
      </c>
      <c r="C319">
        <v>80</v>
      </c>
      <c r="D319">
        <v>79.935523986999996</v>
      </c>
      <c r="E319">
        <v>50</v>
      </c>
      <c r="F319">
        <v>14.999450683999999</v>
      </c>
      <c r="G319">
        <v>1348.0775146000001</v>
      </c>
      <c r="H319">
        <v>1343.9313964999999</v>
      </c>
      <c r="I319">
        <v>1311.3605957</v>
      </c>
      <c r="J319">
        <v>1302.2976074000001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40.014417000000002</v>
      </c>
      <c r="B320" s="1">
        <f>DATE(2010,6,10) + TIME(0,20,45)</f>
        <v>40339.014409722222</v>
      </c>
      <c r="C320">
        <v>80</v>
      </c>
      <c r="D320">
        <v>79.935516356999997</v>
      </c>
      <c r="E320">
        <v>50</v>
      </c>
      <c r="F320">
        <v>14.999452591000001</v>
      </c>
      <c r="G320">
        <v>1348.0687256000001</v>
      </c>
      <c r="H320">
        <v>1343.9244385</v>
      </c>
      <c r="I320">
        <v>1311.3614502</v>
      </c>
      <c r="J320">
        <v>1302.2983397999999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40.222743999999999</v>
      </c>
      <c r="B321" s="1">
        <f>DATE(2010,6,10) + TIME(5,20,45)</f>
        <v>40339.222743055558</v>
      </c>
      <c r="C321">
        <v>80</v>
      </c>
      <c r="D321">
        <v>79.935516356999997</v>
      </c>
      <c r="E321">
        <v>50</v>
      </c>
      <c r="F321">
        <v>14.999453545</v>
      </c>
      <c r="G321">
        <v>1348.0600586</v>
      </c>
      <c r="H321">
        <v>1343.9176024999999</v>
      </c>
      <c r="I321">
        <v>1311.3623047000001</v>
      </c>
      <c r="J321">
        <v>1302.2990723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40.431055999999998</v>
      </c>
      <c r="B322" s="1">
        <f>DATE(2010,6,10) + TIME(10,20,43)</f>
        <v>40339.43105324074</v>
      </c>
      <c r="C322">
        <v>80</v>
      </c>
      <c r="D322">
        <v>79.935508728000002</v>
      </c>
      <c r="E322">
        <v>50</v>
      </c>
      <c r="F322">
        <v>14.999455451999999</v>
      </c>
      <c r="G322">
        <v>1348.0512695</v>
      </c>
      <c r="H322">
        <v>1343.9107666</v>
      </c>
      <c r="I322">
        <v>1311.3631591999999</v>
      </c>
      <c r="J322">
        <v>1302.2998047000001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40.639369000000002</v>
      </c>
      <c r="B323" s="1">
        <f>DATE(2010,6,10) + TIME(15,20,41)</f>
        <v>40339.639363425929</v>
      </c>
      <c r="C323">
        <v>80</v>
      </c>
      <c r="D323">
        <v>79.935501099000007</v>
      </c>
      <c r="E323">
        <v>50</v>
      </c>
      <c r="F323">
        <v>14.999457359000001</v>
      </c>
      <c r="G323">
        <v>1348.0427245999999</v>
      </c>
      <c r="H323">
        <v>1343.9039307</v>
      </c>
      <c r="I323">
        <v>1311.3640137</v>
      </c>
      <c r="J323">
        <v>1302.3005370999999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40.847681999999999</v>
      </c>
      <c r="B324" s="1">
        <f>DATE(2010,6,10) + TIME(20,20,39)</f>
        <v>40339.847673611112</v>
      </c>
      <c r="C324">
        <v>80</v>
      </c>
      <c r="D324">
        <v>79.935501099000007</v>
      </c>
      <c r="E324">
        <v>50</v>
      </c>
      <c r="F324">
        <v>14.999458313</v>
      </c>
      <c r="G324">
        <v>1348.0340576000001</v>
      </c>
      <c r="H324">
        <v>1343.8970947</v>
      </c>
      <c r="I324">
        <v>1311.3648682</v>
      </c>
      <c r="J324">
        <v>1302.3012695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41.055995000000003</v>
      </c>
      <c r="B325" s="1">
        <f>DATE(2010,6,11) + TIME(1,20,37)</f>
        <v>40340.055983796294</v>
      </c>
      <c r="C325">
        <v>80</v>
      </c>
      <c r="D325">
        <v>79.935493468999994</v>
      </c>
      <c r="E325">
        <v>50</v>
      </c>
      <c r="F325">
        <v>14.99946022</v>
      </c>
      <c r="G325">
        <v>1348.0255127</v>
      </c>
      <c r="H325">
        <v>1343.8902588000001</v>
      </c>
      <c r="I325">
        <v>1311.3658447</v>
      </c>
      <c r="J325">
        <v>1302.3020019999999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41.264307000000002</v>
      </c>
      <c r="B326" s="1">
        <f>DATE(2010,6,11) + TIME(6,20,36)</f>
        <v>40340.264305555553</v>
      </c>
      <c r="C326">
        <v>80</v>
      </c>
      <c r="D326">
        <v>79.935485839999998</v>
      </c>
      <c r="E326">
        <v>50</v>
      </c>
      <c r="F326">
        <v>14.999461174</v>
      </c>
      <c r="G326">
        <v>1348.0169678</v>
      </c>
      <c r="H326">
        <v>1343.8835449000001</v>
      </c>
      <c r="I326">
        <v>1311.3666992000001</v>
      </c>
      <c r="J326">
        <v>1302.3027344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41.472619999999999</v>
      </c>
      <c r="B327" s="1">
        <f>DATE(2010,6,11) + TIME(11,20,34)</f>
        <v>40340.472615740742</v>
      </c>
      <c r="C327">
        <v>80</v>
      </c>
      <c r="D327">
        <v>79.935485839999998</v>
      </c>
      <c r="E327">
        <v>50</v>
      </c>
      <c r="F327">
        <v>14.999463081</v>
      </c>
      <c r="G327">
        <v>1348.0085449000001</v>
      </c>
      <c r="H327">
        <v>1343.8768310999999</v>
      </c>
      <c r="I327">
        <v>1311.3675536999999</v>
      </c>
      <c r="J327">
        <v>1302.3034668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41.889246</v>
      </c>
      <c r="B328" s="1">
        <f>DATE(2010,6,11) + TIME(21,20,30)</f>
        <v>40340.889236111114</v>
      </c>
      <c r="C328">
        <v>80</v>
      </c>
      <c r="D328">
        <v>79.935493468999994</v>
      </c>
      <c r="E328">
        <v>50</v>
      </c>
      <c r="F328">
        <v>14.999465942</v>
      </c>
      <c r="G328">
        <v>1348.0002440999999</v>
      </c>
      <c r="H328">
        <v>1343.8703613</v>
      </c>
      <c r="I328">
        <v>1311.3685303</v>
      </c>
      <c r="J328">
        <v>1302.3041992000001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42.305931999999999</v>
      </c>
      <c r="B329" s="1">
        <f>DATE(2010,6,12) + TIME(7,20,32)</f>
        <v>40341.305925925924</v>
      </c>
      <c r="C329">
        <v>80</v>
      </c>
      <c r="D329">
        <v>79.935493468999994</v>
      </c>
      <c r="E329">
        <v>50</v>
      </c>
      <c r="F329">
        <v>14.99946785</v>
      </c>
      <c r="G329">
        <v>1347.9835204999999</v>
      </c>
      <c r="H329">
        <v>1343.8571777</v>
      </c>
      <c r="I329">
        <v>1311.3702393000001</v>
      </c>
      <c r="J329">
        <v>1302.3056641000001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42.726801999999999</v>
      </c>
      <c r="B330" s="1">
        <f>DATE(2010,6,12) + TIME(17,26,35)</f>
        <v>40341.726793981485</v>
      </c>
      <c r="C330">
        <v>80</v>
      </c>
      <c r="D330">
        <v>79.935485839999998</v>
      </c>
      <c r="E330">
        <v>50</v>
      </c>
      <c r="F330">
        <v>14.999470711000001</v>
      </c>
      <c r="G330">
        <v>1347.9669189000001</v>
      </c>
      <c r="H330">
        <v>1343.8439940999999</v>
      </c>
      <c r="I330">
        <v>1311.3720702999999</v>
      </c>
      <c r="J330">
        <v>1302.307251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43.152704</v>
      </c>
      <c r="B331" s="1">
        <f>DATE(2010,6,13) + TIME(3,39,53)</f>
        <v>40342.152696759258</v>
      </c>
      <c r="C331">
        <v>80</v>
      </c>
      <c r="D331">
        <v>79.935478209999999</v>
      </c>
      <c r="E331">
        <v>50</v>
      </c>
      <c r="F331">
        <v>14.999473571999999</v>
      </c>
      <c r="G331">
        <v>1347.9501952999999</v>
      </c>
      <c r="H331">
        <v>1343.8309326000001</v>
      </c>
      <c r="I331">
        <v>1311.3739014</v>
      </c>
      <c r="J331">
        <v>1302.3087158000001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43.58455</v>
      </c>
      <c r="B332" s="1">
        <f>DATE(2010,6,13) + TIME(14,1,45)</f>
        <v>40342.584548611114</v>
      </c>
      <c r="C332">
        <v>80</v>
      </c>
      <c r="D332">
        <v>79.935478209999999</v>
      </c>
      <c r="E332">
        <v>50</v>
      </c>
      <c r="F332">
        <v>14.999476433</v>
      </c>
      <c r="G332">
        <v>1347.9334716999999</v>
      </c>
      <c r="H332">
        <v>1343.817749</v>
      </c>
      <c r="I332">
        <v>1311.3757324000001</v>
      </c>
      <c r="J332">
        <v>1302.3101807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44.023297999999997</v>
      </c>
      <c r="B333" s="1">
        <f>DATE(2010,6,14) + TIME(0,33,32)</f>
        <v>40343.023287037038</v>
      </c>
      <c r="C333">
        <v>80</v>
      </c>
      <c r="D333">
        <v>79.935470581000004</v>
      </c>
      <c r="E333">
        <v>50</v>
      </c>
      <c r="F333">
        <v>14.999479294</v>
      </c>
      <c r="G333">
        <v>1347.9167480000001</v>
      </c>
      <c r="H333">
        <v>1343.8044434000001</v>
      </c>
      <c r="I333">
        <v>1311.3775635</v>
      </c>
      <c r="J333">
        <v>1302.3117675999999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44.469956000000003</v>
      </c>
      <c r="B334" s="1">
        <f>DATE(2010,6,14) + TIME(11,16,44)</f>
        <v>40343.469953703701</v>
      </c>
      <c r="C334">
        <v>80</v>
      </c>
      <c r="D334">
        <v>79.935462951999995</v>
      </c>
      <c r="E334">
        <v>50</v>
      </c>
      <c r="F334">
        <v>14.999482155000001</v>
      </c>
      <c r="G334">
        <v>1347.8997803</v>
      </c>
      <c r="H334">
        <v>1343.7911377</v>
      </c>
      <c r="I334">
        <v>1311.3795166</v>
      </c>
      <c r="J334">
        <v>1302.3133545000001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44.697218999999997</v>
      </c>
      <c r="B335" s="1">
        <f>DATE(2010,6,14) + TIME(16,43,59)</f>
        <v>40343.697210648148</v>
      </c>
      <c r="C335">
        <v>80</v>
      </c>
      <c r="D335">
        <v>79.935455321999996</v>
      </c>
      <c r="E335">
        <v>50</v>
      </c>
      <c r="F335">
        <v>14.999484062000001</v>
      </c>
      <c r="G335">
        <v>1347.8825684000001</v>
      </c>
      <c r="H335">
        <v>1343.7774658000001</v>
      </c>
      <c r="I335">
        <v>1311.3813477000001</v>
      </c>
      <c r="J335">
        <v>1302.3149414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44.924481</v>
      </c>
      <c r="B336" s="1">
        <f>DATE(2010,6,14) + TIME(22,11,15)</f>
        <v>40343.924479166664</v>
      </c>
      <c r="C336">
        <v>80</v>
      </c>
      <c r="D336">
        <v>79.935447693</v>
      </c>
      <c r="E336">
        <v>50</v>
      </c>
      <c r="F336">
        <v>14.99948597</v>
      </c>
      <c r="G336">
        <v>1347.8737793</v>
      </c>
      <c r="H336">
        <v>1343.7705077999999</v>
      </c>
      <c r="I336">
        <v>1311.3823242000001</v>
      </c>
      <c r="J336">
        <v>1302.3156738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45.151505</v>
      </c>
      <c r="B337" s="1">
        <f>DATE(2010,6,15) + TIME(3,38,10)</f>
        <v>40344.151504629626</v>
      </c>
      <c r="C337">
        <v>80</v>
      </c>
      <c r="D337">
        <v>79.935440063000001</v>
      </c>
      <c r="E337">
        <v>50</v>
      </c>
      <c r="F337">
        <v>14.999487877</v>
      </c>
      <c r="G337">
        <v>1347.8652344</v>
      </c>
      <c r="H337">
        <v>1343.7637939000001</v>
      </c>
      <c r="I337">
        <v>1311.3833007999999</v>
      </c>
      <c r="J337">
        <v>1302.3165283000001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45.378034999999997</v>
      </c>
      <c r="B338" s="1">
        <f>DATE(2010,6,15) + TIME(9,4,22)</f>
        <v>40344.378032407411</v>
      </c>
      <c r="C338">
        <v>80</v>
      </c>
      <c r="D338">
        <v>79.935432434000006</v>
      </c>
      <c r="E338">
        <v>50</v>
      </c>
      <c r="F338">
        <v>14.999488831000001</v>
      </c>
      <c r="G338">
        <v>1347.8566894999999</v>
      </c>
      <c r="H338">
        <v>1343.7569579999999</v>
      </c>
      <c r="I338">
        <v>1311.3843993999999</v>
      </c>
      <c r="J338">
        <v>1302.3173827999999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45.604202999999998</v>
      </c>
      <c r="B339" s="1">
        <f>DATE(2010,6,15) + TIME(14,30,3)</f>
        <v>40344.604201388887</v>
      </c>
      <c r="C339">
        <v>80</v>
      </c>
      <c r="D339">
        <v>79.935432434000006</v>
      </c>
      <c r="E339">
        <v>50</v>
      </c>
      <c r="F339">
        <v>14.999490738</v>
      </c>
      <c r="G339">
        <v>1347.8481445</v>
      </c>
      <c r="H339">
        <v>1343.7502440999999</v>
      </c>
      <c r="I339">
        <v>1311.385376</v>
      </c>
      <c r="J339">
        <v>1302.3182373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45.830136000000003</v>
      </c>
      <c r="B340" s="1">
        <f>DATE(2010,6,15) + TIME(19,55,23)</f>
        <v>40344.830127314817</v>
      </c>
      <c r="C340">
        <v>80</v>
      </c>
      <c r="D340">
        <v>79.935424804999997</v>
      </c>
      <c r="E340">
        <v>50</v>
      </c>
      <c r="F340">
        <v>14.999492645</v>
      </c>
      <c r="G340">
        <v>1347.8397216999999</v>
      </c>
      <c r="H340">
        <v>1343.7436522999999</v>
      </c>
      <c r="I340">
        <v>1311.3863524999999</v>
      </c>
      <c r="J340">
        <v>1302.3189697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46.055962000000001</v>
      </c>
      <c r="B341" s="1">
        <f>DATE(2010,6,16) + TIME(1,20,35)</f>
        <v>40345.055960648147</v>
      </c>
      <c r="C341">
        <v>80</v>
      </c>
      <c r="D341">
        <v>79.935424804999997</v>
      </c>
      <c r="E341">
        <v>50</v>
      </c>
      <c r="F341">
        <v>14.999493598999999</v>
      </c>
      <c r="G341">
        <v>1347.8312988</v>
      </c>
      <c r="H341">
        <v>1343.7369385</v>
      </c>
      <c r="I341">
        <v>1311.3873291</v>
      </c>
      <c r="J341">
        <v>1302.3198242000001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46.281770000000002</v>
      </c>
      <c r="B342" s="1">
        <f>DATE(2010,6,16) + TIME(6,45,44)</f>
        <v>40345.281759259262</v>
      </c>
      <c r="C342">
        <v>80</v>
      </c>
      <c r="D342">
        <v>79.935417174999998</v>
      </c>
      <c r="E342">
        <v>50</v>
      </c>
      <c r="F342">
        <v>14.999495506000001</v>
      </c>
      <c r="G342">
        <v>1347.8229980000001</v>
      </c>
      <c r="H342">
        <v>1343.7303466999999</v>
      </c>
      <c r="I342">
        <v>1311.3884277</v>
      </c>
      <c r="J342">
        <v>1302.3206786999999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46.507578000000002</v>
      </c>
      <c r="B343" s="1">
        <f>DATE(2010,6,16) + TIME(12,10,54)</f>
        <v>40345.507569444446</v>
      </c>
      <c r="C343">
        <v>80</v>
      </c>
      <c r="D343">
        <v>79.935417174999998</v>
      </c>
      <c r="E343">
        <v>50</v>
      </c>
      <c r="F343">
        <v>14.99949646</v>
      </c>
      <c r="G343">
        <v>1347.8146973</v>
      </c>
      <c r="H343">
        <v>1343.7237548999999</v>
      </c>
      <c r="I343">
        <v>1311.3894043</v>
      </c>
      <c r="J343">
        <v>1302.3215332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46.733384999999998</v>
      </c>
      <c r="B344" s="1">
        <f>DATE(2010,6,16) + TIME(17,36,4)</f>
        <v>40345.73337962963</v>
      </c>
      <c r="C344">
        <v>80</v>
      </c>
      <c r="D344">
        <v>79.935417174999998</v>
      </c>
      <c r="E344">
        <v>50</v>
      </c>
      <c r="F344">
        <v>14.999498366999999</v>
      </c>
      <c r="G344">
        <v>1347.8063964999999</v>
      </c>
      <c r="H344">
        <v>1343.7171631000001</v>
      </c>
      <c r="I344">
        <v>1311.3903809000001</v>
      </c>
      <c r="J344">
        <v>1302.3223877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46.959192999999999</v>
      </c>
      <c r="B345" s="1">
        <f>DATE(2010,6,16) + TIME(23,1,14)</f>
        <v>40345.959189814814</v>
      </c>
      <c r="C345">
        <v>80</v>
      </c>
      <c r="D345">
        <v>79.935417174999998</v>
      </c>
      <c r="E345">
        <v>50</v>
      </c>
      <c r="F345">
        <v>14.999499321</v>
      </c>
      <c r="G345">
        <v>1347.7980957</v>
      </c>
      <c r="H345">
        <v>1343.7106934000001</v>
      </c>
      <c r="I345">
        <v>1311.3913574000001</v>
      </c>
      <c r="J345">
        <v>1302.3232422000001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47.185001</v>
      </c>
      <c r="B346" s="1">
        <f>DATE(2010,6,17) + TIME(4,26,24)</f>
        <v>40346.184999999998</v>
      </c>
      <c r="C346">
        <v>80</v>
      </c>
      <c r="D346">
        <v>79.935409546000002</v>
      </c>
      <c r="E346">
        <v>50</v>
      </c>
      <c r="F346">
        <v>14.999501228</v>
      </c>
      <c r="G346">
        <v>1347.7899170000001</v>
      </c>
      <c r="H346">
        <v>1343.7042236</v>
      </c>
      <c r="I346">
        <v>1311.3924560999999</v>
      </c>
      <c r="J346">
        <v>1302.3239745999999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47.410809</v>
      </c>
      <c r="B347" s="1">
        <f>DATE(2010,6,17) + TIME(9,51,33)</f>
        <v>40346.410798611112</v>
      </c>
      <c r="C347">
        <v>80</v>
      </c>
      <c r="D347">
        <v>79.935409546000002</v>
      </c>
      <c r="E347">
        <v>50</v>
      </c>
      <c r="F347">
        <v>14.999502182000001</v>
      </c>
      <c r="G347">
        <v>1347.7817382999999</v>
      </c>
      <c r="H347">
        <v>1343.6977539</v>
      </c>
      <c r="I347">
        <v>1311.3934326000001</v>
      </c>
      <c r="J347">
        <v>1302.3248291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47.636617000000001</v>
      </c>
      <c r="B348" s="1">
        <f>DATE(2010,6,17) + TIME(15,16,43)</f>
        <v>40346.636608796296</v>
      </c>
      <c r="C348">
        <v>80</v>
      </c>
      <c r="D348">
        <v>79.935409546000002</v>
      </c>
      <c r="E348">
        <v>50</v>
      </c>
      <c r="F348">
        <v>14.999504089</v>
      </c>
      <c r="G348">
        <v>1347.7735596</v>
      </c>
      <c r="H348">
        <v>1343.6912841999999</v>
      </c>
      <c r="I348">
        <v>1311.3944091999999</v>
      </c>
      <c r="J348">
        <v>1302.3256836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48.088231999999998</v>
      </c>
      <c r="B349" s="1">
        <f>DATE(2010,6,18) + TIME(2,7,3)</f>
        <v>40347.088229166664</v>
      </c>
      <c r="C349">
        <v>80</v>
      </c>
      <c r="D349">
        <v>79.935417174999998</v>
      </c>
      <c r="E349">
        <v>50</v>
      </c>
      <c r="F349">
        <v>14.999505997</v>
      </c>
      <c r="G349">
        <v>1347.765625</v>
      </c>
      <c r="H349">
        <v>1343.6850586</v>
      </c>
      <c r="I349">
        <v>1311.3955077999999</v>
      </c>
      <c r="J349">
        <v>1302.3266602000001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48.540971999999996</v>
      </c>
      <c r="B350" s="1">
        <f>DATE(2010,6,18) + TIME(12,59,0)</f>
        <v>40347.540972222225</v>
      </c>
      <c r="C350">
        <v>80</v>
      </c>
      <c r="D350">
        <v>79.935424804999997</v>
      </c>
      <c r="E350">
        <v>50</v>
      </c>
      <c r="F350">
        <v>14.999508858</v>
      </c>
      <c r="G350">
        <v>1347.7495117000001</v>
      </c>
      <c r="H350">
        <v>1343.6723632999999</v>
      </c>
      <c r="I350">
        <v>1311.3975829999999</v>
      </c>
      <c r="J350">
        <v>1302.3283690999999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48.999209</v>
      </c>
      <c r="B351" s="1">
        <f>DATE(2010,6,18) + TIME(23,58,51)</f>
        <v>40347.999201388891</v>
      </c>
      <c r="C351">
        <v>80</v>
      </c>
      <c r="D351">
        <v>79.935424804999997</v>
      </c>
      <c r="E351">
        <v>50</v>
      </c>
      <c r="F351">
        <v>14.999511718999999</v>
      </c>
      <c r="G351">
        <v>1347.7333983999999</v>
      </c>
      <c r="H351">
        <v>1343.6597899999999</v>
      </c>
      <c r="I351">
        <v>1311.3996582</v>
      </c>
      <c r="J351">
        <v>1302.3299560999999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49.463914000000003</v>
      </c>
      <c r="B352" s="1">
        <f>DATE(2010,6,19) + TIME(11,8,2)</f>
        <v>40348.463912037034</v>
      </c>
      <c r="C352">
        <v>80</v>
      </c>
      <c r="D352">
        <v>79.935424804999997</v>
      </c>
      <c r="E352">
        <v>50</v>
      </c>
      <c r="F352">
        <v>14.999513626000001</v>
      </c>
      <c r="G352">
        <v>1347.7172852000001</v>
      </c>
      <c r="H352">
        <v>1343.6470947</v>
      </c>
      <c r="I352">
        <v>1311.4018555</v>
      </c>
      <c r="J352">
        <v>1302.3317870999999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49.936149999999998</v>
      </c>
      <c r="B353" s="1">
        <f>DATE(2010,6,19) + TIME(22,28,3)</f>
        <v>40348.936145833337</v>
      </c>
      <c r="C353">
        <v>80</v>
      </c>
      <c r="D353">
        <v>79.935424804999997</v>
      </c>
      <c r="E353">
        <v>50</v>
      </c>
      <c r="F353">
        <v>14.999516486999999</v>
      </c>
      <c r="G353">
        <v>1347.7011719</v>
      </c>
      <c r="H353">
        <v>1343.6342772999999</v>
      </c>
      <c r="I353">
        <v>1311.4039307</v>
      </c>
      <c r="J353">
        <v>1302.3334961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50.417046999999997</v>
      </c>
      <c r="B354" s="1">
        <f>DATE(2010,6,20) + TIME(10,0,32)</f>
        <v>40349.417037037034</v>
      </c>
      <c r="C354">
        <v>80</v>
      </c>
      <c r="D354">
        <v>79.935424804999997</v>
      </c>
      <c r="E354">
        <v>50</v>
      </c>
      <c r="F354">
        <v>14.999519348</v>
      </c>
      <c r="G354">
        <v>1347.6848144999999</v>
      </c>
      <c r="H354">
        <v>1343.6214600000001</v>
      </c>
      <c r="I354">
        <v>1311.4061279</v>
      </c>
      <c r="J354">
        <v>1302.3353271000001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50.661422000000002</v>
      </c>
      <c r="B355" s="1">
        <f>DATE(2010,6,20) + TIME(15,52,26)</f>
        <v>40349.661412037036</v>
      </c>
      <c r="C355">
        <v>80</v>
      </c>
      <c r="D355">
        <v>79.935417174999998</v>
      </c>
      <c r="E355">
        <v>50</v>
      </c>
      <c r="F355">
        <v>14.999521254999999</v>
      </c>
      <c r="G355">
        <v>1347.6680908000001</v>
      </c>
      <c r="H355">
        <v>1343.6081543</v>
      </c>
      <c r="I355">
        <v>1311.4083252</v>
      </c>
      <c r="J355">
        <v>1302.3371582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50.905797</v>
      </c>
      <c r="B356" s="1">
        <f>DATE(2010,6,20) + TIME(21,44,20)</f>
        <v>40349.905787037038</v>
      </c>
      <c r="C356">
        <v>80</v>
      </c>
      <c r="D356">
        <v>79.935409546000002</v>
      </c>
      <c r="E356">
        <v>50</v>
      </c>
      <c r="F356">
        <v>14.999523162999999</v>
      </c>
      <c r="G356">
        <v>1347.6597899999999</v>
      </c>
      <c r="H356">
        <v>1343.6015625</v>
      </c>
      <c r="I356">
        <v>1311.4095459</v>
      </c>
      <c r="J356">
        <v>1302.3380127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51.150171999999998</v>
      </c>
      <c r="B357" s="1">
        <f>DATE(2010,6,21) + TIME(3,36,14)</f>
        <v>40350.15016203704</v>
      </c>
      <c r="C357">
        <v>80</v>
      </c>
      <c r="D357">
        <v>79.935409546000002</v>
      </c>
      <c r="E357">
        <v>50</v>
      </c>
      <c r="F357">
        <v>14.999525070000001</v>
      </c>
      <c r="G357">
        <v>1347.6514893000001</v>
      </c>
      <c r="H357">
        <v>1343.5949707</v>
      </c>
      <c r="I357">
        <v>1311.4106445</v>
      </c>
      <c r="J357">
        <v>1302.3389893000001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51.394153000000003</v>
      </c>
      <c r="B358" s="1">
        <f>DATE(2010,6,21) + TIME(9,27,34)</f>
        <v>40350.394143518519</v>
      </c>
      <c r="C358">
        <v>80</v>
      </c>
      <c r="D358">
        <v>79.935401916999993</v>
      </c>
      <c r="E358">
        <v>50</v>
      </c>
      <c r="F358">
        <v>14.999526024</v>
      </c>
      <c r="G358">
        <v>1347.6431885</v>
      </c>
      <c r="H358">
        <v>1343.588501</v>
      </c>
      <c r="I358">
        <v>1311.4118652</v>
      </c>
      <c r="J358">
        <v>1302.3399658000001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51.637751000000002</v>
      </c>
      <c r="B359" s="1">
        <f>DATE(2010,6,21) + TIME(15,18,21)</f>
        <v>40350.637743055559</v>
      </c>
      <c r="C359">
        <v>80</v>
      </c>
      <c r="D359">
        <v>79.935401916999993</v>
      </c>
      <c r="E359">
        <v>50</v>
      </c>
      <c r="F359">
        <v>14.999527930999999</v>
      </c>
      <c r="G359">
        <v>1347.6350098</v>
      </c>
      <c r="H359">
        <v>1343.5820312000001</v>
      </c>
      <c r="I359">
        <v>1311.4129639</v>
      </c>
      <c r="J359">
        <v>1302.3409423999999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51.881118999999998</v>
      </c>
      <c r="B360" s="1">
        <f>DATE(2010,6,21) + TIME(21,8,48)</f>
        <v>40350.881111111114</v>
      </c>
      <c r="C360">
        <v>80</v>
      </c>
      <c r="D360">
        <v>79.935401916999993</v>
      </c>
      <c r="E360">
        <v>50</v>
      </c>
      <c r="F360">
        <v>14.999529838999999</v>
      </c>
      <c r="G360">
        <v>1347.6268310999999</v>
      </c>
      <c r="H360">
        <v>1343.5755615</v>
      </c>
      <c r="I360">
        <v>1311.4141846</v>
      </c>
      <c r="J360">
        <v>1302.3417969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52.124378999999998</v>
      </c>
      <c r="B361" s="1">
        <f>DATE(2010,6,22) + TIME(2,59,6)</f>
        <v>40351.124374999999</v>
      </c>
      <c r="C361">
        <v>80</v>
      </c>
      <c r="D361">
        <v>79.935401916999993</v>
      </c>
      <c r="E361">
        <v>50</v>
      </c>
      <c r="F361">
        <v>14.999530792</v>
      </c>
      <c r="G361">
        <v>1347.6186522999999</v>
      </c>
      <c r="H361">
        <v>1343.5690918</v>
      </c>
      <c r="I361">
        <v>1311.4152832</v>
      </c>
      <c r="J361">
        <v>1302.3427733999999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52.367638999999997</v>
      </c>
      <c r="B362" s="1">
        <f>DATE(2010,6,22) + TIME(8,49,23)</f>
        <v>40351.367627314816</v>
      </c>
      <c r="C362">
        <v>80</v>
      </c>
      <c r="D362">
        <v>79.935401916999993</v>
      </c>
      <c r="E362">
        <v>50</v>
      </c>
      <c r="F362">
        <v>14.9995327</v>
      </c>
      <c r="G362">
        <v>1347.6105957</v>
      </c>
      <c r="H362">
        <v>1343.5626221</v>
      </c>
      <c r="I362">
        <v>1311.4165039</v>
      </c>
      <c r="J362">
        <v>1302.34375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52.610899000000003</v>
      </c>
      <c r="B363" s="1">
        <f>DATE(2010,6,22) + TIME(14,39,41)</f>
        <v>40351.610891203702</v>
      </c>
      <c r="C363">
        <v>80</v>
      </c>
      <c r="D363">
        <v>79.935401916999993</v>
      </c>
      <c r="E363">
        <v>50</v>
      </c>
      <c r="F363">
        <v>14.999533653</v>
      </c>
      <c r="G363">
        <v>1347.6025391000001</v>
      </c>
      <c r="H363">
        <v>1343.5562743999999</v>
      </c>
      <c r="I363">
        <v>1311.4176024999999</v>
      </c>
      <c r="J363">
        <v>1302.3447266000001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52.854159000000003</v>
      </c>
      <c r="B364" s="1">
        <f>DATE(2010,6,22) + TIME(20,29,59)</f>
        <v>40351.854155092595</v>
      </c>
      <c r="C364">
        <v>80</v>
      </c>
      <c r="D364">
        <v>79.935401916999993</v>
      </c>
      <c r="E364">
        <v>50</v>
      </c>
      <c r="F364">
        <v>14.999535561</v>
      </c>
      <c r="G364">
        <v>1347.5944824000001</v>
      </c>
      <c r="H364">
        <v>1343.5499268000001</v>
      </c>
      <c r="I364">
        <v>1311.4188231999999</v>
      </c>
      <c r="J364">
        <v>1302.3457031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53.097419000000002</v>
      </c>
      <c r="B365" s="1">
        <f>DATE(2010,6,23) + TIME(2,20,16)</f>
        <v>40352.097407407404</v>
      </c>
      <c r="C365">
        <v>80</v>
      </c>
      <c r="D365">
        <v>79.935401916999993</v>
      </c>
      <c r="E365">
        <v>50</v>
      </c>
      <c r="F365">
        <v>14.999536514000001</v>
      </c>
      <c r="G365">
        <v>1347.5864257999999</v>
      </c>
      <c r="H365">
        <v>1343.5435791</v>
      </c>
      <c r="I365">
        <v>1311.4199219</v>
      </c>
      <c r="J365">
        <v>1302.3465576000001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53.340679000000002</v>
      </c>
      <c r="B366" s="1">
        <f>DATE(2010,6,23) + TIME(8,10,34)</f>
        <v>40352.340671296297</v>
      </c>
      <c r="C366">
        <v>80</v>
      </c>
      <c r="D366">
        <v>79.935401916999993</v>
      </c>
      <c r="E366">
        <v>50</v>
      </c>
      <c r="F366">
        <v>14.999538422000001</v>
      </c>
      <c r="G366">
        <v>1347.5784911999999</v>
      </c>
      <c r="H366">
        <v>1343.5373535000001</v>
      </c>
      <c r="I366">
        <v>1311.4211425999999</v>
      </c>
      <c r="J366">
        <v>1302.3475341999999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53.583939000000001</v>
      </c>
      <c r="B367" s="1">
        <f>DATE(2010,6,23) + TIME(14,0,52)</f>
        <v>40352.583935185183</v>
      </c>
      <c r="C367">
        <v>80</v>
      </c>
      <c r="D367">
        <v>79.935401916999993</v>
      </c>
      <c r="E367">
        <v>50</v>
      </c>
      <c r="F367">
        <v>14.999539374999999</v>
      </c>
      <c r="G367">
        <v>1347.5705565999999</v>
      </c>
      <c r="H367">
        <v>1343.5310059000001</v>
      </c>
      <c r="I367">
        <v>1311.4223632999999</v>
      </c>
      <c r="J367">
        <v>1302.3485106999999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53.827198000000003</v>
      </c>
      <c r="B368" s="1">
        <f>DATE(2010,6,23) + TIME(19,51,9)</f>
        <v>40352.827187499999</v>
      </c>
      <c r="C368">
        <v>80</v>
      </c>
      <c r="D368">
        <v>79.935409546000002</v>
      </c>
      <c r="E368">
        <v>50</v>
      </c>
      <c r="F368">
        <v>14.999541282999999</v>
      </c>
      <c r="G368">
        <v>1347.5626221</v>
      </c>
      <c r="H368">
        <v>1343.5247803</v>
      </c>
      <c r="I368">
        <v>1311.4235839999999</v>
      </c>
      <c r="J368">
        <v>1302.3494873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54.313718000000001</v>
      </c>
      <c r="B369" s="1">
        <f>DATE(2010,6,24) + TIME(7,31,45)</f>
        <v>40353.313715277778</v>
      </c>
      <c r="C369">
        <v>80</v>
      </c>
      <c r="D369">
        <v>79.935424804999997</v>
      </c>
      <c r="E369">
        <v>50</v>
      </c>
      <c r="F369">
        <v>14.999543190000001</v>
      </c>
      <c r="G369">
        <v>1347.5549315999999</v>
      </c>
      <c r="H369">
        <v>1343.5186768000001</v>
      </c>
      <c r="I369">
        <v>1311.4248047000001</v>
      </c>
      <c r="J369">
        <v>1302.3505858999999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54.801468</v>
      </c>
      <c r="B370" s="1">
        <f>DATE(2010,6,24) + TIME(19,14,6)</f>
        <v>40353.801458333335</v>
      </c>
      <c r="C370">
        <v>80</v>
      </c>
      <c r="D370">
        <v>79.935432434000006</v>
      </c>
      <c r="E370">
        <v>50</v>
      </c>
      <c r="F370">
        <v>14.999546050999999</v>
      </c>
      <c r="G370">
        <v>1347.5393065999999</v>
      </c>
      <c r="H370">
        <v>1343.5063477000001</v>
      </c>
      <c r="I370">
        <v>1311.427124</v>
      </c>
      <c r="J370">
        <v>1302.3524170000001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55.295307000000001</v>
      </c>
      <c r="B371" s="1">
        <f>DATE(2010,6,25) + TIME(7,5,14)</f>
        <v>40354.295300925929</v>
      </c>
      <c r="C371">
        <v>80</v>
      </c>
      <c r="D371">
        <v>79.935440063000001</v>
      </c>
      <c r="E371">
        <v>50</v>
      </c>
      <c r="F371">
        <v>14.999547958000001</v>
      </c>
      <c r="G371">
        <v>1347.5238036999999</v>
      </c>
      <c r="H371">
        <v>1343.4941406</v>
      </c>
      <c r="I371">
        <v>1311.4295654</v>
      </c>
      <c r="J371">
        <v>1302.3544922000001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55.796323999999998</v>
      </c>
      <c r="B372" s="1">
        <f>DATE(2010,6,25) + TIME(19,6,42)</f>
        <v>40354.796319444446</v>
      </c>
      <c r="C372">
        <v>80</v>
      </c>
      <c r="D372">
        <v>79.935440063000001</v>
      </c>
      <c r="E372">
        <v>50</v>
      </c>
      <c r="F372">
        <v>14.999550819</v>
      </c>
      <c r="G372">
        <v>1347.5080565999999</v>
      </c>
      <c r="H372">
        <v>1343.4816894999999</v>
      </c>
      <c r="I372">
        <v>1311.4320068</v>
      </c>
      <c r="J372">
        <v>1302.3564452999999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56.305709999999998</v>
      </c>
      <c r="B373" s="1">
        <f>DATE(2010,6,26) + TIME(7,20,13)</f>
        <v>40355.305706018517</v>
      </c>
      <c r="C373">
        <v>80</v>
      </c>
      <c r="D373">
        <v>79.935447693</v>
      </c>
      <c r="E373">
        <v>50</v>
      </c>
      <c r="F373">
        <v>14.99955368</v>
      </c>
      <c r="G373">
        <v>1347.4923096</v>
      </c>
      <c r="H373">
        <v>1343.4693603999999</v>
      </c>
      <c r="I373">
        <v>1311.4345702999999</v>
      </c>
      <c r="J373">
        <v>1302.3585204999999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56.824630999999997</v>
      </c>
      <c r="B374" s="1">
        <f>DATE(2010,6,26) + TIME(19,47,28)</f>
        <v>40355.824629629627</v>
      </c>
      <c r="C374">
        <v>80</v>
      </c>
      <c r="D374">
        <v>79.935455321999996</v>
      </c>
      <c r="E374">
        <v>50</v>
      </c>
      <c r="F374">
        <v>14.999556541</v>
      </c>
      <c r="G374">
        <v>1347.4764404</v>
      </c>
      <c r="H374">
        <v>1343.4567870999999</v>
      </c>
      <c r="I374">
        <v>1311.4371338000001</v>
      </c>
      <c r="J374">
        <v>1302.3605957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57.086649999999999</v>
      </c>
      <c r="B375" s="1">
        <f>DATE(2010,6,27) + TIME(2,4,46)</f>
        <v>40356.086643518516</v>
      </c>
      <c r="C375">
        <v>80</v>
      </c>
      <c r="D375">
        <v>79.935447693</v>
      </c>
      <c r="E375">
        <v>50</v>
      </c>
      <c r="F375">
        <v>14.999558449</v>
      </c>
      <c r="G375">
        <v>1347.4602050999999</v>
      </c>
      <c r="H375">
        <v>1343.4438477000001</v>
      </c>
      <c r="I375">
        <v>1311.4396973</v>
      </c>
      <c r="J375">
        <v>1302.3625488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57.348239999999997</v>
      </c>
      <c r="B376" s="1">
        <f>DATE(2010,6,27) + TIME(8,21,27)</f>
        <v>40356.348229166666</v>
      </c>
      <c r="C376">
        <v>80</v>
      </c>
      <c r="D376">
        <v>79.935440063000001</v>
      </c>
      <c r="E376">
        <v>50</v>
      </c>
      <c r="F376">
        <v>14.999560356</v>
      </c>
      <c r="G376">
        <v>1347.4521483999999</v>
      </c>
      <c r="H376">
        <v>1343.4375</v>
      </c>
      <c r="I376">
        <v>1311.4410399999999</v>
      </c>
      <c r="J376">
        <v>1302.3636475000001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57.609202000000003</v>
      </c>
      <c r="B377" s="1">
        <f>DATE(2010,6,27) + TIME(14,37,15)</f>
        <v>40356.609201388892</v>
      </c>
      <c r="C377">
        <v>80</v>
      </c>
      <c r="D377">
        <v>79.935440063000001</v>
      </c>
      <c r="E377">
        <v>50</v>
      </c>
      <c r="F377">
        <v>14.999562263</v>
      </c>
      <c r="G377">
        <v>1347.4440918</v>
      </c>
      <c r="H377">
        <v>1343.4310303</v>
      </c>
      <c r="I377">
        <v>1311.4423827999999</v>
      </c>
      <c r="J377">
        <v>1302.3647461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57.869705000000003</v>
      </c>
      <c r="B378" s="1">
        <f>DATE(2010,6,27) + TIME(20,52,22)</f>
        <v>40356.869699074072</v>
      </c>
      <c r="C378">
        <v>80</v>
      </c>
      <c r="D378">
        <v>79.935440063000001</v>
      </c>
      <c r="E378">
        <v>50</v>
      </c>
      <c r="F378">
        <v>14.999563217</v>
      </c>
      <c r="G378">
        <v>1347.4361572</v>
      </c>
      <c r="H378">
        <v>1343.4248047000001</v>
      </c>
      <c r="I378">
        <v>1311.4437256000001</v>
      </c>
      <c r="J378">
        <v>1302.3658447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58.129916000000001</v>
      </c>
      <c r="B379" s="1">
        <f>DATE(2010,6,28) + TIME(3,7,4)</f>
        <v>40357.129907407405</v>
      </c>
      <c r="C379">
        <v>80</v>
      </c>
      <c r="D379">
        <v>79.935440063000001</v>
      </c>
      <c r="E379">
        <v>50</v>
      </c>
      <c r="F379">
        <v>14.999565125</v>
      </c>
      <c r="G379">
        <v>1347.4282227000001</v>
      </c>
      <c r="H379">
        <v>1343.418457</v>
      </c>
      <c r="I379">
        <v>1311.4450684000001</v>
      </c>
      <c r="J379">
        <v>1302.3669434000001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58.389980000000001</v>
      </c>
      <c r="B380" s="1">
        <f>DATE(2010,6,28) + TIME(9,21,34)</f>
        <v>40357.389976851853</v>
      </c>
      <c r="C380">
        <v>80</v>
      </c>
      <c r="D380">
        <v>79.935447693</v>
      </c>
      <c r="E380">
        <v>50</v>
      </c>
      <c r="F380">
        <v>14.999566078000001</v>
      </c>
      <c r="G380">
        <v>1347.4202881000001</v>
      </c>
      <c r="H380">
        <v>1343.4122314000001</v>
      </c>
      <c r="I380">
        <v>1311.4464111</v>
      </c>
      <c r="J380">
        <v>1302.3680420000001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58.650030000000001</v>
      </c>
      <c r="B381" s="1">
        <f>DATE(2010,6,28) + TIME(15,36,2)</f>
        <v>40357.650023148148</v>
      </c>
      <c r="C381">
        <v>80</v>
      </c>
      <c r="D381">
        <v>79.935447693</v>
      </c>
      <c r="E381">
        <v>50</v>
      </c>
      <c r="F381">
        <v>14.999567986000001</v>
      </c>
      <c r="G381">
        <v>1347.4124756000001</v>
      </c>
      <c r="H381">
        <v>1343.4060059000001</v>
      </c>
      <c r="I381">
        <v>1311.4477539</v>
      </c>
      <c r="J381">
        <v>1302.3691406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58.910080000000001</v>
      </c>
      <c r="B382" s="1">
        <f>DATE(2010,6,28) + TIME(21,50,30)</f>
        <v>40357.910069444442</v>
      </c>
      <c r="C382">
        <v>80</v>
      </c>
      <c r="D382">
        <v>79.935447693</v>
      </c>
      <c r="E382">
        <v>50</v>
      </c>
      <c r="F382">
        <v>14.999568939</v>
      </c>
      <c r="G382">
        <v>1347.4045410000001</v>
      </c>
      <c r="H382">
        <v>1343.3997803</v>
      </c>
      <c r="I382">
        <v>1311.4490966999999</v>
      </c>
      <c r="J382">
        <v>1302.3702393000001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59.17013</v>
      </c>
      <c r="B383" s="1">
        <f>DATE(2010,6,29) + TIME(4,4,59)</f>
        <v>40358.170127314814</v>
      </c>
      <c r="C383">
        <v>80</v>
      </c>
      <c r="D383">
        <v>79.935455321999996</v>
      </c>
      <c r="E383">
        <v>50</v>
      </c>
      <c r="F383">
        <v>14.999570846999999</v>
      </c>
      <c r="G383">
        <v>1347.3968506000001</v>
      </c>
      <c r="H383">
        <v>1343.3936768000001</v>
      </c>
      <c r="I383">
        <v>1311.4504394999999</v>
      </c>
      <c r="J383">
        <v>1302.3713379000001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59.43018</v>
      </c>
      <c r="B384" s="1">
        <f>DATE(2010,6,29) + TIME(10,19,27)</f>
        <v>40358.430173611108</v>
      </c>
      <c r="C384">
        <v>80</v>
      </c>
      <c r="D384">
        <v>79.935455321999996</v>
      </c>
      <c r="E384">
        <v>50</v>
      </c>
      <c r="F384">
        <v>14.999572754000001</v>
      </c>
      <c r="G384">
        <v>1347.3890381000001</v>
      </c>
      <c r="H384">
        <v>1343.3874512</v>
      </c>
      <c r="I384">
        <v>1311.4517822</v>
      </c>
      <c r="J384">
        <v>1302.3724365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59.69023</v>
      </c>
      <c r="B385" s="1">
        <f>DATE(2010,6,29) + TIME(16,33,55)</f>
        <v>40358.69021990741</v>
      </c>
      <c r="C385">
        <v>80</v>
      </c>
      <c r="D385">
        <v>79.935455321999996</v>
      </c>
      <c r="E385">
        <v>50</v>
      </c>
      <c r="F385">
        <v>14.999573708</v>
      </c>
      <c r="G385">
        <v>1347.3813477000001</v>
      </c>
      <c r="H385">
        <v>1343.3813477000001</v>
      </c>
      <c r="I385">
        <v>1311.4532471</v>
      </c>
      <c r="J385">
        <v>1302.3735352000001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59.950279000000002</v>
      </c>
      <c r="B386" s="1">
        <f>DATE(2010,6,29) + TIME(22,48,24)</f>
        <v>40358.950277777774</v>
      </c>
      <c r="C386">
        <v>80</v>
      </c>
      <c r="D386">
        <v>79.935462951999995</v>
      </c>
      <c r="E386">
        <v>50</v>
      </c>
      <c r="F386">
        <v>14.999574661</v>
      </c>
      <c r="G386">
        <v>1347.3735352000001</v>
      </c>
      <c r="H386">
        <v>1343.3752440999999</v>
      </c>
      <c r="I386">
        <v>1311.4545897999999</v>
      </c>
      <c r="J386">
        <v>1302.3746338000001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60.470379000000001</v>
      </c>
      <c r="B387" s="1">
        <f>DATE(2010,6,30) + TIME(11,17,20)</f>
        <v>40359.470370370371</v>
      </c>
      <c r="C387">
        <v>80</v>
      </c>
      <c r="D387">
        <v>79.935485839999998</v>
      </c>
      <c r="E387">
        <v>50</v>
      </c>
      <c r="F387">
        <v>14.999577521999999</v>
      </c>
      <c r="G387">
        <v>1347.3660889</v>
      </c>
      <c r="H387">
        <v>1343.3692627</v>
      </c>
      <c r="I387">
        <v>1311.4560547000001</v>
      </c>
      <c r="J387">
        <v>1302.3758545000001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60.735190000000003</v>
      </c>
      <c r="B388" s="1">
        <f>DATE(2010,6,30) + TIME(17,38,40)</f>
        <v>40359.735185185185</v>
      </c>
      <c r="C388">
        <v>80</v>
      </c>
      <c r="D388">
        <v>79.935478209999999</v>
      </c>
      <c r="E388">
        <v>50</v>
      </c>
      <c r="F388">
        <v>14.999579430000001</v>
      </c>
      <c r="G388">
        <v>1347.3507079999999</v>
      </c>
      <c r="H388">
        <v>1343.3570557</v>
      </c>
      <c r="I388">
        <v>1311.4587402</v>
      </c>
      <c r="J388">
        <v>1302.3779297000001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61</v>
      </c>
      <c r="B389" s="1">
        <f>DATE(2010,7,1) + TIME(0,0,0)</f>
        <v>40360</v>
      </c>
      <c r="C389">
        <v>80</v>
      </c>
      <c r="D389">
        <v>79.935485839999998</v>
      </c>
      <c r="E389">
        <v>50</v>
      </c>
      <c r="F389">
        <v>14.999580383</v>
      </c>
      <c r="G389">
        <v>1347.3428954999999</v>
      </c>
      <c r="H389">
        <v>1343.3509521000001</v>
      </c>
      <c r="I389">
        <v>1311.4600829999999</v>
      </c>
      <c r="J389">
        <v>1302.3791504000001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61.529620999999999</v>
      </c>
      <c r="B390" s="1">
        <f>DATE(2010,7,1) + TIME(12,42,39)</f>
        <v>40360.529618055552</v>
      </c>
      <c r="C390">
        <v>80</v>
      </c>
      <c r="D390">
        <v>79.935501099000007</v>
      </c>
      <c r="E390">
        <v>50</v>
      </c>
      <c r="F390">
        <v>14.999583244</v>
      </c>
      <c r="G390">
        <v>1347.3353271000001</v>
      </c>
      <c r="H390">
        <v>1343.3449707</v>
      </c>
      <c r="I390">
        <v>1311.4616699000001</v>
      </c>
      <c r="J390">
        <v>1302.380249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62.062645000000003</v>
      </c>
      <c r="B391" s="1">
        <f>DATE(2010,7,2) + TIME(1,30,12)</f>
        <v>40361.062638888892</v>
      </c>
      <c r="C391">
        <v>80</v>
      </c>
      <c r="D391">
        <v>79.935516356999997</v>
      </c>
      <c r="E391">
        <v>50</v>
      </c>
      <c r="F391">
        <v>14.999585152</v>
      </c>
      <c r="G391">
        <v>1347.3200684000001</v>
      </c>
      <c r="H391">
        <v>1343.3328856999999</v>
      </c>
      <c r="I391">
        <v>1311.4644774999999</v>
      </c>
      <c r="J391">
        <v>1302.3825684000001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62.604140999999998</v>
      </c>
      <c r="B392" s="1">
        <f>DATE(2010,7,2) + TIME(14,29,57)</f>
        <v>40361.604131944441</v>
      </c>
      <c r="C392">
        <v>80</v>
      </c>
      <c r="D392">
        <v>79.935523986999996</v>
      </c>
      <c r="E392">
        <v>50</v>
      </c>
      <c r="F392">
        <v>14.999588013</v>
      </c>
      <c r="G392">
        <v>1347.3048096</v>
      </c>
      <c r="H392">
        <v>1343.3206786999999</v>
      </c>
      <c r="I392">
        <v>1311.4674072</v>
      </c>
      <c r="J392">
        <v>1302.3848877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63.155419000000002</v>
      </c>
      <c r="B393" s="1">
        <f>DATE(2010,7,3) + TIME(3,43,48)</f>
        <v>40362.155416666668</v>
      </c>
      <c r="C393">
        <v>80</v>
      </c>
      <c r="D393">
        <v>79.935539246000005</v>
      </c>
      <c r="E393">
        <v>50</v>
      </c>
      <c r="F393">
        <v>14.999590874000001</v>
      </c>
      <c r="G393">
        <v>1347.2893065999999</v>
      </c>
      <c r="H393">
        <v>1343.3084716999999</v>
      </c>
      <c r="I393">
        <v>1311.4703368999999</v>
      </c>
      <c r="J393">
        <v>1302.3873291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63.433774</v>
      </c>
      <c r="B394" s="1">
        <f>DATE(2010,7,3) + TIME(10,24,38)</f>
        <v>40362.43377314815</v>
      </c>
      <c r="C394">
        <v>80</v>
      </c>
      <c r="D394">
        <v>79.935531616000006</v>
      </c>
      <c r="E394">
        <v>50</v>
      </c>
      <c r="F394">
        <v>14.999592781</v>
      </c>
      <c r="G394">
        <v>1347.2735596</v>
      </c>
      <c r="H394">
        <v>1343.2958983999999</v>
      </c>
      <c r="I394">
        <v>1311.4733887</v>
      </c>
      <c r="J394">
        <v>1302.3896483999999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63.712130000000002</v>
      </c>
      <c r="B395" s="1">
        <f>DATE(2010,7,3) + TIME(17,5,28)</f>
        <v>40362.712129629632</v>
      </c>
      <c r="C395">
        <v>80</v>
      </c>
      <c r="D395">
        <v>79.935531616000006</v>
      </c>
      <c r="E395">
        <v>50</v>
      </c>
      <c r="F395">
        <v>14.999594688</v>
      </c>
      <c r="G395">
        <v>1347.2657471</v>
      </c>
      <c r="H395">
        <v>1343.2896728999999</v>
      </c>
      <c r="I395">
        <v>1311.4748535000001</v>
      </c>
      <c r="J395">
        <v>1302.3908690999999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63.990136</v>
      </c>
      <c r="B396" s="1">
        <f>DATE(2010,7,3) + TIME(23,45,47)</f>
        <v>40362.990127314813</v>
      </c>
      <c r="C396">
        <v>80</v>
      </c>
      <c r="D396">
        <v>79.935531616000006</v>
      </c>
      <c r="E396">
        <v>50</v>
      </c>
      <c r="F396">
        <v>14.999596596</v>
      </c>
      <c r="G396">
        <v>1347.2579346</v>
      </c>
      <c r="H396">
        <v>1343.2834473</v>
      </c>
      <c r="I396">
        <v>1311.4764404</v>
      </c>
      <c r="J396">
        <v>1302.3920897999999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64.267651000000001</v>
      </c>
      <c r="B397" s="1">
        <f>DATE(2010,7,4) + TIME(6,25,25)</f>
        <v>40363.267650462964</v>
      </c>
      <c r="C397">
        <v>80</v>
      </c>
      <c r="D397">
        <v>79.935539246000005</v>
      </c>
      <c r="E397">
        <v>50</v>
      </c>
      <c r="F397">
        <v>14.999597549000001</v>
      </c>
      <c r="G397">
        <v>1347.2501221</v>
      </c>
      <c r="H397">
        <v>1343.2772216999999</v>
      </c>
      <c r="I397">
        <v>1311.4780272999999</v>
      </c>
      <c r="J397">
        <v>1302.3934326000001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64.544856999999993</v>
      </c>
      <c r="B398" s="1">
        <f>DATE(2010,7,4) + TIME(13,4,35)</f>
        <v>40363.544849537036</v>
      </c>
      <c r="C398">
        <v>80</v>
      </c>
      <c r="D398">
        <v>79.935539246000005</v>
      </c>
      <c r="E398">
        <v>50</v>
      </c>
      <c r="F398">
        <v>14.999599457</v>
      </c>
      <c r="G398">
        <v>1347.2424315999999</v>
      </c>
      <c r="H398">
        <v>1343.2711182</v>
      </c>
      <c r="I398">
        <v>1311.4796143000001</v>
      </c>
      <c r="J398">
        <v>1302.3946533000001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64.821932000000004</v>
      </c>
      <c r="B399" s="1">
        <f>DATE(2010,7,4) + TIME(19,43,34)</f>
        <v>40363.821921296294</v>
      </c>
      <c r="C399">
        <v>80</v>
      </c>
      <c r="D399">
        <v>79.935546875</v>
      </c>
      <c r="E399">
        <v>50</v>
      </c>
      <c r="F399">
        <v>14.999601364</v>
      </c>
      <c r="G399">
        <v>1347.2347411999999</v>
      </c>
      <c r="H399">
        <v>1343.2650146000001</v>
      </c>
      <c r="I399">
        <v>1311.4810791</v>
      </c>
      <c r="J399">
        <v>1302.395874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65.098985999999996</v>
      </c>
      <c r="B400" s="1">
        <f>DATE(2010,7,5) + TIME(2,22,32)</f>
        <v>40364.098981481482</v>
      </c>
      <c r="C400">
        <v>80</v>
      </c>
      <c r="D400">
        <v>79.935546875</v>
      </c>
      <c r="E400">
        <v>50</v>
      </c>
      <c r="F400">
        <v>14.999602318000001</v>
      </c>
      <c r="G400">
        <v>1347.2270507999999</v>
      </c>
      <c r="H400">
        <v>1343.2589111</v>
      </c>
      <c r="I400">
        <v>1311.4826660000001</v>
      </c>
      <c r="J400">
        <v>1302.3970947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65.376041000000001</v>
      </c>
      <c r="B401" s="1">
        <f>DATE(2010,7,5) + TIME(9,1,29)</f>
        <v>40364.376030092593</v>
      </c>
      <c r="C401">
        <v>80</v>
      </c>
      <c r="D401">
        <v>79.935554503999995</v>
      </c>
      <c r="E401">
        <v>50</v>
      </c>
      <c r="F401">
        <v>14.999604225000001</v>
      </c>
      <c r="G401">
        <v>1347.2193603999999</v>
      </c>
      <c r="H401">
        <v>1343.2528076000001</v>
      </c>
      <c r="I401">
        <v>1311.4842529</v>
      </c>
      <c r="J401">
        <v>1302.3984375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65.653094999999993</v>
      </c>
      <c r="B402" s="1">
        <f>DATE(2010,7,5) + TIME(15,40,27)</f>
        <v>40364.653090277781</v>
      </c>
      <c r="C402">
        <v>80</v>
      </c>
      <c r="D402">
        <v>79.935562133999994</v>
      </c>
      <c r="E402">
        <v>50</v>
      </c>
      <c r="F402">
        <v>14.999605179</v>
      </c>
      <c r="G402">
        <v>1347.2117920000001</v>
      </c>
      <c r="H402">
        <v>1343.2468262</v>
      </c>
      <c r="I402">
        <v>1311.4858397999999</v>
      </c>
      <c r="J402">
        <v>1302.3996582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65.930149999999998</v>
      </c>
      <c r="B403" s="1">
        <f>DATE(2010,7,5) + TIME(22,19,24)</f>
        <v>40364.930138888885</v>
      </c>
      <c r="C403">
        <v>80</v>
      </c>
      <c r="D403">
        <v>79.935569763000004</v>
      </c>
      <c r="E403">
        <v>50</v>
      </c>
      <c r="F403">
        <v>14.999607085999999</v>
      </c>
      <c r="G403">
        <v>1347.2042236</v>
      </c>
      <c r="H403">
        <v>1343.2407227000001</v>
      </c>
      <c r="I403">
        <v>1311.4874268000001</v>
      </c>
      <c r="J403">
        <v>1302.4008789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66.207204000000004</v>
      </c>
      <c r="B404" s="1">
        <f>DATE(2010,7,6) + TIME(4,58,22)</f>
        <v>40365.207199074073</v>
      </c>
      <c r="C404">
        <v>80</v>
      </c>
      <c r="D404">
        <v>79.935569763000004</v>
      </c>
      <c r="E404">
        <v>50</v>
      </c>
      <c r="F404">
        <v>14.999608994000001</v>
      </c>
      <c r="G404">
        <v>1347.1966553</v>
      </c>
      <c r="H404">
        <v>1343.2347411999999</v>
      </c>
      <c r="I404">
        <v>1311.4890137</v>
      </c>
      <c r="J404">
        <v>1302.4022216999999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66.484258999999994</v>
      </c>
      <c r="B405" s="1">
        <f>DATE(2010,7,6) + TIME(11,37,19)</f>
        <v>40365.484247685185</v>
      </c>
      <c r="C405">
        <v>80</v>
      </c>
      <c r="D405">
        <v>79.935577393000003</v>
      </c>
      <c r="E405">
        <v>50</v>
      </c>
      <c r="F405">
        <v>14.999609947</v>
      </c>
      <c r="G405">
        <v>1347.1892089999999</v>
      </c>
      <c r="H405">
        <v>1343.2287598</v>
      </c>
      <c r="I405">
        <v>1311.4906006000001</v>
      </c>
      <c r="J405">
        <v>1302.4034423999999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66.761313999999999</v>
      </c>
      <c r="B406" s="1">
        <f>DATE(2010,7,6) + TIME(18,16,17)</f>
        <v>40365.761307870373</v>
      </c>
      <c r="C406">
        <v>80</v>
      </c>
      <c r="D406">
        <v>79.935585021999998</v>
      </c>
      <c r="E406">
        <v>50</v>
      </c>
      <c r="F406">
        <v>14.999611854999999</v>
      </c>
      <c r="G406">
        <v>1347.1816406</v>
      </c>
      <c r="H406">
        <v>1343.2227783000001</v>
      </c>
      <c r="I406">
        <v>1311.4923096</v>
      </c>
      <c r="J406">
        <v>1302.4047852000001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67.315422999999996</v>
      </c>
      <c r="B407" s="1">
        <f>DATE(2010,7,7) + TIME(7,34,12)</f>
        <v>40366.315416666665</v>
      </c>
      <c r="C407">
        <v>80</v>
      </c>
      <c r="D407">
        <v>79.935607910000002</v>
      </c>
      <c r="E407">
        <v>50</v>
      </c>
      <c r="F407">
        <v>14.999613761999999</v>
      </c>
      <c r="G407">
        <v>1347.1744385</v>
      </c>
      <c r="H407">
        <v>1343.2170410000001</v>
      </c>
      <c r="I407">
        <v>1311.4938964999999</v>
      </c>
      <c r="J407">
        <v>1302.4060059000001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67.869990000000001</v>
      </c>
      <c r="B408" s="1">
        <f>DATE(2010,7,7) + TIME(20,52,47)</f>
        <v>40366.869988425926</v>
      </c>
      <c r="C408">
        <v>80</v>
      </c>
      <c r="D408">
        <v>79.935630798000005</v>
      </c>
      <c r="E408">
        <v>50</v>
      </c>
      <c r="F408">
        <v>14.999616623</v>
      </c>
      <c r="G408">
        <v>1347.1595459</v>
      </c>
      <c r="H408">
        <v>1343.2052002</v>
      </c>
      <c r="I408">
        <v>1311.4971923999999</v>
      </c>
      <c r="J408">
        <v>1302.4086914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68.431139999999999</v>
      </c>
      <c r="B409" s="1">
        <f>DATE(2010,7,8) + TIME(10,20,50)</f>
        <v>40367.431134259263</v>
      </c>
      <c r="C409">
        <v>80</v>
      </c>
      <c r="D409">
        <v>79.935646057</v>
      </c>
      <c r="E409">
        <v>50</v>
      </c>
      <c r="F409">
        <v>14.999619484</v>
      </c>
      <c r="G409">
        <v>1347.1447754000001</v>
      </c>
      <c r="H409">
        <v>1343.1934814000001</v>
      </c>
      <c r="I409">
        <v>1311.5004882999999</v>
      </c>
      <c r="J409">
        <v>1302.4112548999999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69.000103999999993</v>
      </c>
      <c r="B410" s="1">
        <f>DATE(2010,7,9) + TIME(0,0,9)</f>
        <v>40368.000104166669</v>
      </c>
      <c r="C410">
        <v>80</v>
      </c>
      <c r="D410">
        <v>79.935661315999994</v>
      </c>
      <c r="E410">
        <v>50</v>
      </c>
      <c r="F410">
        <v>14.999623299</v>
      </c>
      <c r="G410">
        <v>1347.1300048999999</v>
      </c>
      <c r="H410">
        <v>1343.1816406</v>
      </c>
      <c r="I410">
        <v>1311.5037841999999</v>
      </c>
      <c r="J410">
        <v>1302.4138184000001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69.578255999999996</v>
      </c>
      <c r="B411" s="1">
        <f>DATE(2010,7,9) + TIME(13,52,41)</f>
        <v>40368.578252314815</v>
      </c>
      <c r="C411">
        <v>80</v>
      </c>
      <c r="D411">
        <v>79.935676575000002</v>
      </c>
      <c r="E411">
        <v>50</v>
      </c>
      <c r="F411">
        <v>14.99962616</v>
      </c>
      <c r="G411">
        <v>1347.1149902</v>
      </c>
      <c r="H411">
        <v>1343.1697998</v>
      </c>
      <c r="I411">
        <v>1311.5072021000001</v>
      </c>
      <c r="J411">
        <v>1302.4165039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70.165983999999995</v>
      </c>
      <c r="B412" s="1">
        <f>DATE(2010,7,10) + TIME(3,59,1)</f>
        <v>40369.165983796294</v>
      </c>
      <c r="C412">
        <v>80</v>
      </c>
      <c r="D412">
        <v>79.935691833000007</v>
      </c>
      <c r="E412">
        <v>50</v>
      </c>
      <c r="F412">
        <v>14.999629973999999</v>
      </c>
      <c r="G412">
        <v>1347.0999756000001</v>
      </c>
      <c r="H412">
        <v>1343.1577147999999</v>
      </c>
      <c r="I412">
        <v>1311.5107422000001</v>
      </c>
      <c r="J412">
        <v>1302.4193115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70.461579999999998</v>
      </c>
      <c r="B413" s="1">
        <f>DATE(2010,7,10) + TIME(11,4,40)</f>
        <v>40369.461574074077</v>
      </c>
      <c r="C413">
        <v>80</v>
      </c>
      <c r="D413">
        <v>79.935684203999998</v>
      </c>
      <c r="E413">
        <v>50</v>
      </c>
      <c r="F413">
        <v>14.999631881999999</v>
      </c>
      <c r="G413">
        <v>1347.0845947</v>
      </c>
      <c r="H413">
        <v>1343.1455077999999</v>
      </c>
      <c r="I413">
        <v>1311.5142822</v>
      </c>
      <c r="J413">
        <v>1302.4221190999999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70.757176000000001</v>
      </c>
      <c r="B414" s="1">
        <f>DATE(2010,7,10) + TIME(18,10,19)</f>
        <v>40369.757164351853</v>
      </c>
      <c r="C414">
        <v>80</v>
      </c>
      <c r="D414">
        <v>79.935691833000007</v>
      </c>
      <c r="E414">
        <v>50</v>
      </c>
      <c r="F414">
        <v>14.999634743</v>
      </c>
      <c r="G414">
        <v>1347.0769043</v>
      </c>
      <c r="H414">
        <v>1343.1392822</v>
      </c>
      <c r="I414">
        <v>1311.5161132999999</v>
      </c>
      <c r="J414">
        <v>1302.4234618999999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71.052582999999998</v>
      </c>
      <c r="B415" s="1">
        <f>DATE(2010,7,11) + TIME(1,15,43)</f>
        <v>40370.052581018521</v>
      </c>
      <c r="C415">
        <v>80</v>
      </c>
      <c r="D415">
        <v>79.935691833000007</v>
      </c>
      <c r="E415">
        <v>50</v>
      </c>
      <c r="F415">
        <v>14.999636649999999</v>
      </c>
      <c r="G415">
        <v>1347.0693358999999</v>
      </c>
      <c r="H415">
        <v>1343.1333007999999</v>
      </c>
      <c r="I415">
        <v>1311.5179443</v>
      </c>
      <c r="J415">
        <v>1302.4249268000001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71.347669999999994</v>
      </c>
      <c r="B416" s="1">
        <f>DATE(2010,7,11) + TIME(8,20,38)</f>
        <v>40370.347662037035</v>
      </c>
      <c r="C416">
        <v>80</v>
      </c>
      <c r="D416">
        <v>79.935699463000006</v>
      </c>
      <c r="E416">
        <v>50</v>
      </c>
      <c r="F416">
        <v>14.999639511</v>
      </c>
      <c r="G416">
        <v>1347.0617675999999</v>
      </c>
      <c r="H416">
        <v>1343.1271973</v>
      </c>
      <c r="I416">
        <v>1311.5197754000001</v>
      </c>
      <c r="J416">
        <v>1302.4263916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71.642616000000004</v>
      </c>
      <c r="B417" s="1">
        <f>DATE(2010,7,11) + TIME(15,25,22)</f>
        <v>40370.64261574074</v>
      </c>
      <c r="C417">
        <v>80</v>
      </c>
      <c r="D417">
        <v>79.935707092000001</v>
      </c>
      <c r="E417">
        <v>50</v>
      </c>
      <c r="F417">
        <v>14.999641418</v>
      </c>
      <c r="G417">
        <v>1347.0543213000001</v>
      </c>
      <c r="H417">
        <v>1343.1212158000001</v>
      </c>
      <c r="I417">
        <v>1311.5216064000001</v>
      </c>
      <c r="J417">
        <v>1302.4278564000001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71.937562</v>
      </c>
      <c r="B418" s="1">
        <f>DATE(2010,7,11) + TIME(22,30,5)</f>
        <v>40370.937557870369</v>
      </c>
      <c r="C418">
        <v>80</v>
      </c>
      <c r="D418">
        <v>79.935714722</v>
      </c>
      <c r="E418">
        <v>50</v>
      </c>
      <c r="F418">
        <v>14.999643325999999</v>
      </c>
      <c r="G418">
        <v>1347.0467529</v>
      </c>
      <c r="H418">
        <v>1343.1152344</v>
      </c>
      <c r="I418">
        <v>1311.5234375</v>
      </c>
      <c r="J418">
        <v>1302.4293213000001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72.232507999999996</v>
      </c>
      <c r="B419" s="1">
        <f>DATE(2010,7,12) + TIME(5,34,48)</f>
        <v>40371.232499999998</v>
      </c>
      <c r="C419">
        <v>80</v>
      </c>
      <c r="D419">
        <v>79.935722350999995</v>
      </c>
      <c r="E419">
        <v>50</v>
      </c>
      <c r="F419">
        <v>14.999646187</v>
      </c>
      <c r="G419">
        <v>1347.0393065999999</v>
      </c>
      <c r="H419">
        <v>1343.1092529</v>
      </c>
      <c r="I419">
        <v>1311.5252685999999</v>
      </c>
      <c r="J419">
        <v>1302.4306641000001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72.527454000000006</v>
      </c>
      <c r="B420" s="1">
        <f>DATE(2010,7,12) + TIME(12,39,32)</f>
        <v>40371.527453703704</v>
      </c>
      <c r="C420">
        <v>80</v>
      </c>
      <c r="D420">
        <v>79.935729980000005</v>
      </c>
      <c r="E420">
        <v>50</v>
      </c>
      <c r="F420">
        <v>14.999648093999999</v>
      </c>
      <c r="G420">
        <v>1347.0318603999999</v>
      </c>
      <c r="H420">
        <v>1343.1032714999999</v>
      </c>
      <c r="I420">
        <v>1311.5270995999999</v>
      </c>
      <c r="J420">
        <v>1302.4321289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72.822400000000002</v>
      </c>
      <c r="B421" s="1">
        <f>DATE(2010,7,12) + TIME(19,44,15)</f>
        <v>40371.822395833333</v>
      </c>
      <c r="C421">
        <v>80</v>
      </c>
      <c r="D421">
        <v>79.935737610000004</v>
      </c>
      <c r="E421">
        <v>50</v>
      </c>
      <c r="F421">
        <v>14.999650955</v>
      </c>
      <c r="G421">
        <v>1347.0244141000001</v>
      </c>
      <c r="H421">
        <v>1343.0974120999999</v>
      </c>
      <c r="I421">
        <v>1311.5290527</v>
      </c>
      <c r="J421">
        <v>1302.4335937999999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73.117345999999998</v>
      </c>
      <c r="B422" s="1">
        <f>DATE(2010,7,13) + TIME(2,48,58)</f>
        <v>40372.117337962962</v>
      </c>
      <c r="C422">
        <v>80</v>
      </c>
      <c r="D422">
        <v>79.935745238999999</v>
      </c>
      <c r="E422">
        <v>50</v>
      </c>
      <c r="F422">
        <v>14.999652863</v>
      </c>
      <c r="G422">
        <v>1347.0170897999999</v>
      </c>
      <c r="H422">
        <v>1343.0914307</v>
      </c>
      <c r="I422">
        <v>1311.5308838000001</v>
      </c>
      <c r="J422">
        <v>1302.4351807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73.412291999999994</v>
      </c>
      <c r="B423" s="1">
        <f>DATE(2010,7,13) + TIME(9,53,41)</f>
        <v>40372.412280092591</v>
      </c>
      <c r="C423">
        <v>80</v>
      </c>
      <c r="D423">
        <v>79.935752868999998</v>
      </c>
      <c r="E423">
        <v>50</v>
      </c>
      <c r="F423">
        <v>14.999655724</v>
      </c>
      <c r="G423">
        <v>1347.0097656</v>
      </c>
      <c r="H423">
        <v>1343.0855713000001</v>
      </c>
      <c r="I423">
        <v>1311.5328368999999</v>
      </c>
      <c r="J423">
        <v>1302.4366454999999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73.707237000000006</v>
      </c>
      <c r="B424" s="1">
        <f>DATE(2010,7,13) + TIME(16,58,25)</f>
        <v>40372.707233796296</v>
      </c>
      <c r="C424">
        <v>80</v>
      </c>
      <c r="D424">
        <v>79.935760497999993</v>
      </c>
      <c r="E424">
        <v>50</v>
      </c>
      <c r="F424">
        <v>14.999658585000001</v>
      </c>
      <c r="G424">
        <v>1347.0024414</v>
      </c>
      <c r="H424">
        <v>1343.0797118999999</v>
      </c>
      <c r="I424">
        <v>1311.534668</v>
      </c>
      <c r="J424">
        <v>1302.4381103999999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74.297128999999998</v>
      </c>
      <c r="B425" s="1">
        <f>DATE(2010,7,14) + TIME(7,7,51)</f>
        <v>40373.297118055554</v>
      </c>
      <c r="C425">
        <v>80</v>
      </c>
      <c r="D425">
        <v>79.935791015999996</v>
      </c>
      <c r="E425">
        <v>50</v>
      </c>
      <c r="F425">
        <v>14.999662399</v>
      </c>
      <c r="G425">
        <v>1346.9952393000001</v>
      </c>
      <c r="H425">
        <v>1343.0739745999999</v>
      </c>
      <c r="I425">
        <v>1311.5367432</v>
      </c>
      <c r="J425">
        <v>1302.4396973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74.888268999999994</v>
      </c>
      <c r="B426" s="1">
        <f>DATE(2010,7,14) + TIME(21,19,6)</f>
        <v>40373.88826388889</v>
      </c>
      <c r="C426">
        <v>80</v>
      </c>
      <c r="D426">
        <v>79.935813904</v>
      </c>
      <c r="E426">
        <v>50</v>
      </c>
      <c r="F426">
        <v>14.999668120999999</v>
      </c>
      <c r="G426">
        <v>1346.9807129000001</v>
      </c>
      <c r="H426">
        <v>1343.0623779</v>
      </c>
      <c r="I426">
        <v>1311.5405272999999</v>
      </c>
      <c r="J426">
        <v>1302.4426269999999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75.487104000000002</v>
      </c>
      <c r="B427" s="1">
        <f>DATE(2010,7,15) + TIME(11,41,25)</f>
        <v>40374.48709490741</v>
      </c>
      <c r="C427">
        <v>80</v>
      </c>
      <c r="D427">
        <v>79.935836792000003</v>
      </c>
      <c r="E427">
        <v>50</v>
      </c>
      <c r="F427">
        <v>14.999673843</v>
      </c>
      <c r="G427">
        <v>1346.9661865</v>
      </c>
      <c r="H427">
        <v>1343.0507812000001</v>
      </c>
      <c r="I427">
        <v>1311.5444336</v>
      </c>
      <c r="J427">
        <v>1302.4456786999999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76.095043000000004</v>
      </c>
      <c r="B428" s="1">
        <f>DATE(2010,7,16) + TIME(2,16,51)</f>
        <v>40375.095034722224</v>
      </c>
      <c r="C428">
        <v>80</v>
      </c>
      <c r="D428">
        <v>79.935859679999993</v>
      </c>
      <c r="E428">
        <v>50</v>
      </c>
      <c r="F428">
        <v>14.999681473000001</v>
      </c>
      <c r="G428">
        <v>1346.9516602000001</v>
      </c>
      <c r="H428">
        <v>1343.0390625</v>
      </c>
      <c r="I428">
        <v>1311.5483397999999</v>
      </c>
      <c r="J428">
        <v>1302.4487305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76.712288999999998</v>
      </c>
      <c r="B429" s="1">
        <f>DATE(2010,7,16) + TIME(17,5,41)</f>
        <v>40375.712280092594</v>
      </c>
      <c r="C429">
        <v>80</v>
      </c>
      <c r="D429">
        <v>79.935874939000001</v>
      </c>
      <c r="E429">
        <v>50</v>
      </c>
      <c r="F429">
        <v>14.999689102</v>
      </c>
      <c r="G429">
        <v>1346.9370117000001</v>
      </c>
      <c r="H429">
        <v>1343.0273437999999</v>
      </c>
      <c r="I429">
        <v>1311.5524902</v>
      </c>
      <c r="J429">
        <v>1302.4519043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77.334447999999995</v>
      </c>
      <c r="B430" s="1">
        <f>DATE(2010,7,17) + TIME(8,1,36)</f>
        <v>40376.334444444445</v>
      </c>
      <c r="C430">
        <v>80</v>
      </c>
      <c r="D430">
        <v>79.935897827000005</v>
      </c>
      <c r="E430">
        <v>50</v>
      </c>
      <c r="F430">
        <v>14.999698639</v>
      </c>
      <c r="G430">
        <v>1346.9221190999999</v>
      </c>
      <c r="H430">
        <v>1343.0155029</v>
      </c>
      <c r="I430">
        <v>1311.5566406</v>
      </c>
      <c r="J430">
        <v>1302.4550781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77.647935000000004</v>
      </c>
      <c r="B431" s="1">
        <f>DATE(2010,7,17) + TIME(15,33,1)</f>
        <v>40376.647928240738</v>
      </c>
      <c r="C431">
        <v>80</v>
      </c>
      <c r="D431">
        <v>79.935897827000005</v>
      </c>
      <c r="E431">
        <v>50</v>
      </c>
      <c r="F431">
        <v>14.999705315</v>
      </c>
      <c r="G431">
        <v>1346.9072266000001</v>
      </c>
      <c r="H431">
        <v>1343.003418</v>
      </c>
      <c r="I431">
        <v>1311.5607910000001</v>
      </c>
      <c r="J431">
        <v>1302.458374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77.961295000000007</v>
      </c>
      <c r="B432" s="1">
        <f>DATE(2010,7,17) + TIME(23,4,15)</f>
        <v>40376.961284722223</v>
      </c>
      <c r="C432">
        <v>80</v>
      </c>
      <c r="D432">
        <v>79.935897827000005</v>
      </c>
      <c r="E432">
        <v>50</v>
      </c>
      <c r="F432">
        <v>14.99971199</v>
      </c>
      <c r="G432">
        <v>1346.8996582</v>
      </c>
      <c r="H432">
        <v>1342.9974365</v>
      </c>
      <c r="I432">
        <v>1311.5629882999999</v>
      </c>
      <c r="J432">
        <v>1302.4599608999999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78.274141999999998</v>
      </c>
      <c r="B433" s="1">
        <f>DATE(2010,7,18) + TIME(6,34,45)</f>
        <v>40377.274131944447</v>
      </c>
      <c r="C433">
        <v>80</v>
      </c>
      <c r="D433">
        <v>79.935905457000004</v>
      </c>
      <c r="E433">
        <v>50</v>
      </c>
      <c r="F433">
        <v>14.99971962</v>
      </c>
      <c r="G433">
        <v>1346.8923339999999</v>
      </c>
      <c r="H433">
        <v>1342.9914550999999</v>
      </c>
      <c r="I433">
        <v>1311.5651855000001</v>
      </c>
      <c r="J433">
        <v>1302.4616699000001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78.586687999999995</v>
      </c>
      <c r="B434" s="1">
        <f>DATE(2010,7,18) + TIME(14,4,49)</f>
        <v>40377.586678240739</v>
      </c>
      <c r="C434">
        <v>80</v>
      </c>
      <c r="D434">
        <v>79.935913085999999</v>
      </c>
      <c r="E434">
        <v>50</v>
      </c>
      <c r="F434">
        <v>14.999726295</v>
      </c>
      <c r="G434">
        <v>1346.8848877</v>
      </c>
      <c r="H434">
        <v>1342.9854736</v>
      </c>
      <c r="I434">
        <v>1311.5673827999999</v>
      </c>
      <c r="J434">
        <v>1302.4633789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78.899141999999998</v>
      </c>
      <c r="B435" s="1">
        <f>DATE(2010,7,18) + TIME(21,34,45)</f>
        <v>40377.899131944447</v>
      </c>
      <c r="C435">
        <v>80</v>
      </c>
      <c r="D435">
        <v>79.935928344999994</v>
      </c>
      <c r="E435">
        <v>50</v>
      </c>
      <c r="F435">
        <v>14.999733924999999</v>
      </c>
      <c r="G435">
        <v>1346.8775635</v>
      </c>
      <c r="H435">
        <v>1342.9796143000001</v>
      </c>
      <c r="I435">
        <v>1311.5695800999999</v>
      </c>
      <c r="J435">
        <v>1302.4650879000001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79.211596999999998</v>
      </c>
      <c r="B436" s="1">
        <f>DATE(2010,7,19) + TIME(5,4,41)</f>
        <v>40378.211585648147</v>
      </c>
      <c r="C436">
        <v>80</v>
      </c>
      <c r="D436">
        <v>79.935935974000003</v>
      </c>
      <c r="E436">
        <v>50</v>
      </c>
      <c r="F436">
        <v>14.999741554</v>
      </c>
      <c r="G436">
        <v>1346.8702393000001</v>
      </c>
      <c r="H436">
        <v>1342.9737548999999</v>
      </c>
      <c r="I436">
        <v>1311.5717772999999</v>
      </c>
      <c r="J436">
        <v>1302.4667969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79.524051</v>
      </c>
      <c r="B437" s="1">
        <f>DATE(2010,7,19) + TIME(12,34,38)</f>
        <v>40378.524050925924</v>
      </c>
      <c r="C437">
        <v>80</v>
      </c>
      <c r="D437">
        <v>79.935943604000002</v>
      </c>
      <c r="E437">
        <v>50</v>
      </c>
      <c r="F437">
        <v>14.999750136999999</v>
      </c>
      <c r="G437">
        <v>1346.8630370999999</v>
      </c>
      <c r="H437">
        <v>1342.9677733999999</v>
      </c>
      <c r="I437">
        <v>1311.5739745999999</v>
      </c>
      <c r="J437">
        <v>1302.4685059000001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79.836506</v>
      </c>
      <c r="B438" s="1">
        <f>DATE(2010,7,19) + TIME(20,4,34)</f>
        <v>40378.836504629631</v>
      </c>
      <c r="C438">
        <v>80</v>
      </c>
      <c r="D438">
        <v>79.935958862000007</v>
      </c>
      <c r="E438">
        <v>50</v>
      </c>
      <c r="F438">
        <v>14.999759674</v>
      </c>
      <c r="G438">
        <v>1346.8557129000001</v>
      </c>
      <c r="H438">
        <v>1342.9620361</v>
      </c>
      <c r="I438">
        <v>1311.5762939000001</v>
      </c>
      <c r="J438">
        <v>1302.4702147999999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80.148960000000002</v>
      </c>
      <c r="B439" s="1">
        <f>DATE(2010,7,20) + TIME(3,34,30)</f>
        <v>40379.148958333331</v>
      </c>
      <c r="C439">
        <v>80</v>
      </c>
      <c r="D439">
        <v>79.935966492000006</v>
      </c>
      <c r="E439">
        <v>50</v>
      </c>
      <c r="F439">
        <v>14.999769211</v>
      </c>
      <c r="G439">
        <v>1346.8485106999999</v>
      </c>
      <c r="H439">
        <v>1342.9561768000001</v>
      </c>
      <c r="I439">
        <v>1311.5784911999999</v>
      </c>
      <c r="J439">
        <v>1302.4719238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80.461415000000002</v>
      </c>
      <c r="B440" s="1">
        <f>DATE(2010,7,20) + TIME(11,4,26)</f>
        <v>40379.461412037039</v>
      </c>
      <c r="C440">
        <v>80</v>
      </c>
      <c r="D440">
        <v>79.935974121000001</v>
      </c>
      <c r="E440">
        <v>50</v>
      </c>
      <c r="F440">
        <v>14.999779701</v>
      </c>
      <c r="G440">
        <v>1346.8413086</v>
      </c>
      <c r="H440">
        <v>1342.9503173999999</v>
      </c>
      <c r="I440">
        <v>1311.5808105000001</v>
      </c>
      <c r="J440">
        <v>1302.4736327999999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81.086324000000005</v>
      </c>
      <c r="B441" s="1">
        <f>DATE(2010,7,21) + TIME(2,4,18)</f>
        <v>40380.086319444446</v>
      </c>
      <c r="C441">
        <v>80</v>
      </c>
      <c r="D441">
        <v>79.936012267999999</v>
      </c>
      <c r="E441">
        <v>50</v>
      </c>
      <c r="F441">
        <v>14.999795914</v>
      </c>
      <c r="G441">
        <v>1346.8342285000001</v>
      </c>
      <c r="H441">
        <v>1342.9447021000001</v>
      </c>
      <c r="I441">
        <v>1311.5831298999999</v>
      </c>
      <c r="J441">
        <v>1302.4753418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81.711419000000006</v>
      </c>
      <c r="B442" s="1">
        <f>DATE(2010,7,21) + TIME(17,4,26)</f>
        <v>40380.711412037039</v>
      </c>
      <c r="C442">
        <v>80</v>
      </c>
      <c r="D442">
        <v>79.936042786000002</v>
      </c>
      <c r="E442">
        <v>50</v>
      </c>
      <c r="F442">
        <v>14.999818802</v>
      </c>
      <c r="G442">
        <v>1346.8199463000001</v>
      </c>
      <c r="H442">
        <v>1342.9332274999999</v>
      </c>
      <c r="I442">
        <v>1311.5876464999999</v>
      </c>
      <c r="J442">
        <v>1302.4788818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82.343322000000001</v>
      </c>
      <c r="B443" s="1">
        <f>DATE(2010,7,22) + TIME(8,14,23)</f>
        <v>40381.343321759261</v>
      </c>
      <c r="C443">
        <v>80</v>
      </c>
      <c r="D443">
        <v>79.936065674000005</v>
      </c>
      <c r="E443">
        <v>50</v>
      </c>
      <c r="F443">
        <v>14.999845505</v>
      </c>
      <c r="G443">
        <v>1346.8057861</v>
      </c>
      <c r="H443">
        <v>1342.9217529</v>
      </c>
      <c r="I443">
        <v>1311.5922852000001</v>
      </c>
      <c r="J443">
        <v>1302.4824219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82.983504999999994</v>
      </c>
      <c r="B444" s="1">
        <f>DATE(2010,7,22) + TIME(23,36,14)</f>
        <v>40381.983495370368</v>
      </c>
      <c r="C444">
        <v>80</v>
      </c>
      <c r="D444">
        <v>79.936088561999995</v>
      </c>
      <c r="E444">
        <v>50</v>
      </c>
      <c r="F444">
        <v>14.999876975999999</v>
      </c>
      <c r="G444">
        <v>1346.7915039</v>
      </c>
      <c r="H444">
        <v>1342.9101562000001</v>
      </c>
      <c r="I444">
        <v>1311.5970459</v>
      </c>
      <c r="J444">
        <v>1302.4859618999999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83.631060000000005</v>
      </c>
      <c r="B445" s="1">
        <f>DATE(2010,7,23) + TIME(15,8,43)</f>
        <v>40382.631053240744</v>
      </c>
      <c r="C445">
        <v>80</v>
      </c>
      <c r="D445">
        <v>79.936111449999999</v>
      </c>
      <c r="E445">
        <v>50</v>
      </c>
      <c r="F445">
        <v>14.999914169</v>
      </c>
      <c r="G445">
        <v>1346.7770995999999</v>
      </c>
      <c r="H445">
        <v>1342.8985596</v>
      </c>
      <c r="I445">
        <v>1311.6019286999999</v>
      </c>
      <c r="J445">
        <v>1302.489624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84.284132</v>
      </c>
      <c r="B446" s="1">
        <f>DATE(2010,7,24) + TIME(6,49,9)</f>
        <v>40383.284131944441</v>
      </c>
      <c r="C446">
        <v>80</v>
      </c>
      <c r="D446">
        <v>79.936141968000001</v>
      </c>
      <c r="E446">
        <v>50</v>
      </c>
      <c r="F446">
        <v>14.999958992</v>
      </c>
      <c r="G446">
        <v>1346.7625731999999</v>
      </c>
      <c r="H446">
        <v>1342.8869629000001</v>
      </c>
      <c r="I446">
        <v>1311.6068115</v>
      </c>
      <c r="J446">
        <v>1302.4934082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84.940977000000004</v>
      </c>
      <c r="B447" s="1">
        <f>DATE(2010,7,24) + TIME(22,35,0)</f>
        <v>40383.940972222219</v>
      </c>
      <c r="C447">
        <v>80</v>
      </c>
      <c r="D447">
        <v>79.936164856000005</v>
      </c>
      <c r="E447">
        <v>50</v>
      </c>
      <c r="F447">
        <v>15.000011444</v>
      </c>
      <c r="G447">
        <v>1346.7481689000001</v>
      </c>
      <c r="H447">
        <v>1342.8752440999999</v>
      </c>
      <c r="I447">
        <v>1311.6119385</v>
      </c>
      <c r="J447">
        <v>1302.4971923999999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85.270612999999997</v>
      </c>
      <c r="B448" s="1">
        <f>DATE(2010,7,25) + TIME(6,29,41)</f>
        <v>40384.270613425928</v>
      </c>
      <c r="C448">
        <v>80</v>
      </c>
      <c r="D448">
        <v>79.936164856000005</v>
      </c>
      <c r="E448">
        <v>50</v>
      </c>
      <c r="F448">
        <v>15.000050545000001</v>
      </c>
      <c r="G448">
        <v>1346.7335204999999</v>
      </c>
      <c r="H448">
        <v>1342.8634033000001</v>
      </c>
      <c r="I448">
        <v>1311.6170654</v>
      </c>
      <c r="J448">
        <v>1302.5009766000001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85.600250000000003</v>
      </c>
      <c r="B449" s="1">
        <f>DATE(2010,7,25) + TIME(14,24,21)</f>
        <v>40384.600243055553</v>
      </c>
      <c r="C449">
        <v>80</v>
      </c>
      <c r="D449">
        <v>79.936172485</v>
      </c>
      <c r="E449">
        <v>50</v>
      </c>
      <c r="F449">
        <v>15.000091553000001</v>
      </c>
      <c r="G449">
        <v>1346.7263184000001</v>
      </c>
      <c r="H449">
        <v>1342.8575439000001</v>
      </c>
      <c r="I449">
        <v>1311.6196289</v>
      </c>
      <c r="J449">
        <v>1302.5030518000001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85.929886999999994</v>
      </c>
      <c r="B450" s="1">
        <f>DATE(2010,7,25) + TIME(22,19,2)</f>
        <v>40384.929884259262</v>
      </c>
      <c r="C450">
        <v>80</v>
      </c>
      <c r="D450">
        <v>79.936180114999999</v>
      </c>
      <c r="E450">
        <v>50</v>
      </c>
      <c r="F450">
        <v>15.000132560999999</v>
      </c>
      <c r="G450">
        <v>1346.7191161999999</v>
      </c>
      <c r="H450">
        <v>1342.8516846</v>
      </c>
      <c r="I450">
        <v>1311.6223144999999</v>
      </c>
      <c r="J450">
        <v>1302.5050048999999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86.259523999999999</v>
      </c>
      <c r="B451" s="1">
        <f>DATE(2010,7,26) + TIME(6,13,42)</f>
        <v>40385.259513888886</v>
      </c>
      <c r="C451">
        <v>80</v>
      </c>
      <c r="D451">
        <v>79.936195373999993</v>
      </c>
      <c r="E451">
        <v>50</v>
      </c>
      <c r="F451">
        <v>15.00017643</v>
      </c>
      <c r="G451">
        <v>1346.7119141000001</v>
      </c>
      <c r="H451">
        <v>1342.8459473</v>
      </c>
      <c r="I451">
        <v>1311.625</v>
      </c>
      <c r="J451">
        <v>1302.5069579999999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86.589160000000007</v>
      </c>
      <c r="B452" s="1">
        <f>DATE(2010,7,26) + TIME(14,8,23)</f>
        <v>40385.589155092595</v>
      </c>
      <c r="C452">
        <v>80</v>
      </c>
      <c r="D452">
        <v>79.936203003000003</v>
      </c>
      <c r="E452">
        <v>50</v>
      </c>
      <c r="F452">
        <v>15.000223160000001</v>
      </c>
      <c r="G452">
        <v>1346.7047118999999</v>
      </c>
      <c r="H452">
        <v>1342.8400879000001</v>
      </c>
      <c r="I452">
        <v>1311.6276855000001</v>
      </c>
      <c r="J452">
        <v>1302.5090332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86.918796999999998</v>
      </c>
      <c r="B453" s="1">
        <f>DATE(2010,7,26) + TIME(22,3,4)</f>
        <v>40385.918796296297</v>
      </c>
      <c r="C453">
        <v>80</v>
      </c>
      <c r="D453">
        <v>79.936218261999997</v>
      </c>
      <c r="E453">
        <v>50</v>
      </c>
      <c r="F453">
        <v>15.000272751000001</v>
      </c>
      <c r="G453">
        <v>1346.6976318</v>
      </c>
      <c r="H453">
        <v>1342.8343506000001</v>
      </c>
      <c r="I453">
        <v>1311.6303711</v>
      </c>
      <c r="J453">
        <v>1302.5109863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87.248434000000003</v>
      </c>
      <c r="B454" s="1">
        <f>DATE(2010,7,27) + TIME(5,57,44)</f>
        <v>40386.248425925929</v>
      </c>
      <c r="C454">
        <v>80</v>
      </c>
      <c r="D454">
        <v>79.936233521000005</v>
      </c>
      <c r="E454">
        <v>50</v>
      </c>
      <c r="F454">
        <v>15.000326157</v>
      </c>
      <c r="G454">
        <v>1346.6905518000001</v>
      </c>
      <c r="H454">
        <v>1342.8284911999999</v>
      </c>
      <c r="I454">
        <v>1311.6330565999999</v>
      </c>
      <c r="J454">
        <v>1302.5130615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87.578070999999994</v>
      </c>
      <c r="B455" s="1">
        <f>DATE(2010,7,27) + TIME(13,52,25)</f>
        <v>40386.578067129631</v>
      </c>
      <c r="C455">
        <v>80</v>
      </c>
      <c r="D455">
        <v>79.936241150000001</v>
      </c>
      <c r="E455">
        <v>50</v>
      </c>
      <c r="F455">
        <v>15.000383377</v>
      </c>
      <c r="G455">
        <v>1346.6834716999999</v>
      </c>
      <c r="H455">
        <v>1342.8227539</v>
      </c>
      <c r="I455">
        <v>1311.6357422000001</v>
      </c>
      <c r="J455">
        <v>1302.5150146000001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87.907708</v>
      </c>
      <c r="B456" s="1">
        <f>DATE(2010,7,27) + TIME(21,47,5)</f>
        <v>40386.907696759263</v>
      </c>
      <c r="C456">
        <v>80</v>
      </c>
      <c r="D456">
        <v>79.936256408999995</v>
      </c>
      <c r="E456">
        <v>50</v>
      </c>
      <c r="F456">
        <v>15.000444412</v>
      </c>
      <c r="G456">
        <v>1346.6763916</v>
      </c>
      <c r="H456">
        <v>1342.8170166</v>
      </c>
      <c r="I456">
        <v>1311.6385498</v>
      </c>
      <c r="J456">
        <v>1302.5170897999999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88.237343999999993</v>
      </c>
      <c r="B457" s="1">
        <f>DATE(2010,7,28) + TIME(5,41,46)</f>
        <v>40387.237337962964</v>
      </c>
      <c r="C457">
        <v>80</v>
      </c>
      <c r="D457">
        <v>79.936271667</v>
      </c>
      <c r="E457">
        <v>50</v>
      </c>
      <c r="F457">
        <v>15.000511168999999</v>
      </c>
      <c r="G457">
        <v>1346.6693115</v>
      </c>
      <c r="H457">
        <v>1342.8112793</v>
      </c>
      <c r="I457">
        <v>1311.6413574000001</v>
      </c>
      <c r="J457">
        <v>1302.5191649999999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88.896618000000004</v>
      </c>
      <c r="B458" s="1">
        <f>DATE(2010,7,28) + TIME(21,31,7)</f>
        <v>40387.896608796298</v>
      </c>
      <c r="C458">
        <v>80</v>
      </c>
      <c r="D458">
        <v>79.936309813999998</v>
      </c>
      <c r="E458">
        <v>50</v>
      </c>
      <c r="F458">
        <v>15.000620842</v>
      </c>
      <c r="G458">
        <v>1346.6624756000001</v>
      </c>
      <c r="H458">
        <v>1342.8057861</v>
      </c>
      <c r="I458">
        <v>1311.6441649999999</v>
      </c>
      <c r="J458">
        <v>1302.5212402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89.558081000000001</v>
      </c>
      <c r="B459" s="1">
        <f>DATE(2010,7,29) + TIME(13,23,38)</f>
        <v>40388.558078703703</v>
      </c>
      <c r="C459">
        <v>80</v>
      </c>
      <c r="D459">
        <v>79.936340332</v>
      </c>
      <c r="E459">
        <v>50</v>
      </c>
      <c r="F459">
        <v>15.000764846999999</v>
      </c>
      <c r="G459">
        <v>1346.6485596</v>
      </c>
      <c r="H459">
        <v>1342.7944336</v>
      </c>
      <c r="I459">
        <v>1311.6497803</v>
      </c>
      <c r="J459">
        <v>1302.5255127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90.227988999999994</v>
      </c>
      <c r="B460" s="1">
        <f>DATE(2010,7,30) + TIME(5,28,18)</f>
        <v>40389.227986111109</v>
      </c>
      <c r="C460">
        <v>80</v>
      </c>
      <c r="D460">
        <v>79.936370850000003</v>
      </c>
      <c r="E460">
        <v>50</v>
      </c>
      <c r="F460">
        <v>15.000940323</v>
      </c>
      <c r="G460">
        <v>1346.6345214999999</v>
      </c>
      <c r="H460">
        <v>1342.7830810999999</v>
      </c>
      <c r="I460">
        <v>1311.6555175999999</v>
      </c>
      <c r="J460">
        <v>1302.5296631000001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90.907651000000001</v>
      </c>
      <c r="B461" s="1">
        <f>DATE(2010,7,30) + TIME(21,47,1)</f>
        <v>40389.907650462963</v>
      </c>
      <c r="C461">
        <v>80</v>
      </c>
      <c r="D461">
        <v>79.936401367000002</v>
      </c>
      <c r="E461">
        <v>50</v>
      </c>
      <c r="F461">
        <v>15.001151085</v>
      </c>
      <c r="G461">
        <v>1346.6206055</v>
      </c>
      <c r="H461">
        <v>1342.7717285000001</v>
      </c>
      <c r="I461">
        <v>1311.6613769999999</v>
      </c>
      <c r="J461">
        <v>1302.5340576000001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91.592077000000003</v>
      </c>
      <c r="B462" s="1">
        <f>DATE(2010,7,31) + TIME(14,12,35)</f>
        <v>40390.59207175926</v>
      </c>
      <c r="C462">
        <v>80</v>
      </c>
      <c r="D462">
        <v>79.936431885000005</v>
      </c>
      <c r="E462">
        <v>50</v>
      </c>
      <c r="F462">
        <v>15.001399994</v>
      </c>
      <c r="G462">
        <v>1346.6064452999999</v>
      </c>
      <c r="H462">
        <v>1342.7602539</v>
      </c>
      <c r="I462">
        <v>1311.6674805</v>
      </c>
      <c r="J462">
        <v>1302.5384521000001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92</v>
      </c>
      <c r="B463" s="1">
        <f>DATE(2010,8,1) + TIME(0,0,0)</f>
        <v>40391</v>
      </c>
      <c r="C463">
        <v>80</v>
      </c>
      <c r="D463">
        <v>79.936439514</v>
      </c>
      <c r="E463">
        <v>50</v>
      </c>
      <c r="F463">
        <v>15.001615524</v>
      </c>
      <c r="G463">
        <v>1346.5921631000001</v>
      </c>
      <c r="H463">
        <v>1342.7486572</v>
      </c>
      <c r="I463">
        <v>1311.6735839999999</v>
      </c>
      <c r="J463">
        <v>1302.5429687999999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92.687571000000005</v>
      </c>
      <c r="B464" s="1">
        <f>DATE(2010,8,1) + TIME(16,30,6)</f>
        <v>40391.687569444446</v>
      </c>
      <c r="C464">
        <v>80</v>
      </c>
      <c r="D464">
        <v>79.936477660999998</v>
      </c>
      <c r="E464">
        <v>50</v>
      </c>
      <c r="F464">
        <v>15.001917839000001</v>
      </c>
      <c r="G464">
        <v>1346.5838623</v>
      </c>
      <c r="H464">
        <v>1342.7418213000001</v>
      </c>
      <c r="I464">
        <v>1311.6773682</v>
      </c>
      <c r="J464">
        <v>1302.5457764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93.381893000000005</v>
      </c>
      <c r="B465" s="1">
        <f>DATE(2010,8,2) + TIME(9,9,55)</f>
        <v>40392.381886574076</v>
      </c>
      <c r="C465">
        <v>80</v>
      </c>
      <c r="D465">
        <v>79.936508179</v>
      </c>
      <c r="E465">
        <v>50</v>
      </c>
      <c r="F465">
        <v>15.00228405</v>
      </c>
      <c r="G465">
        <v>1346.5698242000001</v>
      </c>
      <c r="H465">
        <v>1342.7303466999999</v>
      </c>
      <c r="I465">
        <v>1311.6838379000001</v>
      </c>
      <c r="J465">
        <v>1302.5504149999999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94.078001999999998</v>
      </c>
      <c r="B466" s="1">
        <f>DATE(2010,8,3) + TIME(1,52,19)</f>
        <v>40393.077997685185</v>
      </c>
      <c r="C466">
        <v>80</v>
      </c>
      <c r="D466">
        <v>79.936538696</v>
      </c>
      <c r="E466">
        <v>50</v>
      </c>
      <c r="F466">
        <v>15.002717971999999</v>
      </c>
      <c r="G466">
        <v>1346.5556641000001</v>
      </c>
      <c r="H466">
        <v>1342.7188721</v>
      </c>
      <c r="I466">
        <v>1311.6904297000001</v>
      </c>
      <c r="J466">
        <v>1302.5551757999999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94.775126999999998</v>
      </c>
      <c r="B467" s="1">
        <f>DATE(2010,8,3) + TIME(18,36,10)</f>
        <v>40393.77511574074</v>
      </c>
      <c r="C467">
        <v>80</v>
      </c>
      <c r="D467">
        <v>79.936569214000002</v>
      </c>
      <c r="E467">
        <v>50</v>
      </c>
      <c r="F467">
        <v>15.003227234000001</v>
      </c>
      <c r="G467">
        <v>1346.541626</v>
      </c>
      <c r="H467">
        <v>1342.7073975000001</v>
      </c>
      <c r="I467">
        <v>1311.6970214999999</v>
      </c>
      <c r="J467">
        <v>1302.5599365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95.472340000000003</v>
      </c>
      <c r="B468" s="1">
        <f>DATE(2010,8,4) + TIME(11,20,10)</f>
        <v>40394.472337962965</v>
      </c>
      <c r="C468">
        <v>80</v>
      </c>
      <c r="D468">
        <v>79.936599731000001</v>
      </c>
      <c r="E468">
        <v>50</v>
      </c>
      <c r="F468">
        <v>15.003820419</v>
      </c>
      <c r="G468">
        <v>1346.5275879000001</v>
      </c>
      <c r="H468">
        <v>1342.6959228999999</v>
      </c>
      <c r="I468">
        <v>1311.7038574000001</v>
      </c>
      <c r="J468">
        <v>1302.5649414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96.170986999999997</v>
      </c>
      <c r="B469" s="1">
        <f>DATE(2010,8,5) + TIME(4,6,13)</f>
        <v>40395.170983796299</v>
      </c>
      <c r="C469">
        <v>80</v>
      </c>
      <c r="D469">
        <v>79.936630249000004</v>
      </c>
      <c r="E469">
        <v>50</v>
      </c>
      <c r="F469">
        <v>15.004509926000001</v>
      </c>
      <c r="G469">
        <v>1346.5136719</v>
      </c>
      <c r="H469">
        <v>1342.6845702999999</v>
      </c>
      <c r="I469">
        <v>1311.7108154</v>
      </c>
      <c r="J469">
        <v>1302.5698242000001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96.872821000000002</v>
      </c>
      <c r="B470" s="1">
        <f>DATE(2010,8,5) + TIME(20,56,51)</f>
        <v>40395.872812499998</v>
      </c>
      <c r="C470">
        <v>80</v>
      </c>
      <c r="D470">
        <v>79.936668396000002</v>
      </c>
      <c r="E470">
        <v>50</v>
      </c>
      <c r="F470">
        <v>15.005310058999999</v>
      </c>
      <c r="G470">
        <v>1346.4998779</v>
      </c>
      <c r="H470">
        <v>1342.6732178</v>
      </c>
      <c r="I470">
        <v>1311.7178954999999</v>
      </c>
      <c r="J470">
        <v>1302.5749512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97.579014999999998</v>
      </c>
      <c r="B471" s="1">
        <f>DATE(2010,8,6) + TIME(13,53,46)</f>
        <v>40396.579004629632</v>
      </c>
      <c r="C471">
        <v>80</v>
      </c>
      <c r="D471">
        <v>79.936698914000004</v>
      </c>
      <c r="E471">
        <v>50</v>
      </c>
      <c r="F471">
        <v>15.006240845000001</v>
      </c>
      <c r="G471">
        <v>1346.4859618999999</v>
      </c>
      <c r="H471">
        <v>1342.6618652</v>
      </c>
      <c r="I471">
        <v>1311.7252197</v>
      </c>
      <c r="J471">
        <v>1302.5802002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97.933800000000005</v>
      </c>
      <c r="B472" s="1">
        <f>DATE(2010,8,6) + TIME(22,24,40)</f>
        <v>40396.933796296296</v>
      </c>
      <c r="C472">
        <v>80</v>
      </c>
      <c r="D472">
        <v>79.936706543</v>
      </c>
      <c r="E472">
        <v>50</v>
      </c>
      <c r="F472">
        <v>15.006953239</v>
      </c>
      <c r="G472">
        <v>1346.4720459</v>
      </c>
      <c r="H472">
        <v>1342.6503906</v>
      </c>
      <c r="I472">
        <v>1311.7326660000001</v>
      </c>
      <c r="J472">
        <v>1302.5854492000001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98.288584999999998</v>
      </c>
      <c r="B473" s="1">
        <f>DATE(2010,8,7) + TIME(6,55,33)</f>
        <v>40397.288576388892</v>
      </c>
      <c r="C473">
        <v>80</v>
      </c>
      <c r="D473">
        <v>79.936714171999995</v>
      </c>
      <c r="E473">
        <v>50</v>
      </c>
      <c r="F473">
        <v>15.007667542</v>
      </c>
      <c r="G473">
        <v>1346.4650879000001</v>
      </c>
      <c r="H473">
        <v>1342.6446533000001</v>
      </c>
      <c r="I473">
        <v>1311.7364502</v>
      </c>
      <c r="J473">
        <v>1302.5881348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98.643370000000004</v>
      </c>
      <c r="B474" s="1">
        <f>DATE(2010,8,7) + TIME(15,26,27)</f>
        <v>40397.643368055556</v>
      </c>
      <c r="C474">
        <v>80</v>
      </c>
      <c r="D474">
        <v>79.936729431000003</v>
      </c>
      <c r="E474">
        <v>50</v>
      </c>
      <c r="F474">
        <v>15.008399963</v>
      </c>
      <c r="G474">
        <v>1346.4581298999999</v>
      </c>
      <c r="H474">
        <v>1342.6390381000001</v>
      </c>
      <c r="I474">
        <v>1311.7403564000001</v>
      </c>
      <c r="J474">
        <v>1302.5908202999999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98.998154</v>
      </c>
      <c r="B475" s="1">
        <f>DATE(2010,8,7) + TIME(23,57,20)</f>
        <v>40397.998148148145</v>
      </c>
      <c r="C475">
        <v>80</v>
      </c>
      <c r="D475">
        <v>79.936744689999998</v>
      </c>
      <c r="E475">
        <v>50</v>
      </c>
      <c r="F475">
        <v>15.00916481</v>
      </c>
      <c r="G475">
        <v>1346.4512939000001</v>
      </c>
      <c r="H475">
        <v>1342.6333007999999</v>
      </c>
      <c r="I475">
        <v>1311.7442627</v>
      </c>
      <c r="J475">
        <v>1302.5936279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99.352939000000006</v>
      </c>
      <c r="B476" s="1">
        <f>DATE(2010,8,8) + TIME(8,28,13)</f>
        <v>40398.35292824074</v>
      </c>
      <c r="C476">
        <v>80</v>
      </c>
      <c r="D476">
        <v>79.936759949000006</v>
      </c>
      <c r="E476">
        <v>50</v>
      </c>
      <c r="F476">
        <v>15.009970665000001</v>
      </c>
      <c r="G476">
        <v>1346.4443358999999</v>
      </c>
      <c r="H476">
        <v>1342.6276855000001</v>
      </c>
      <c r="I476">
        <v>1311.7481689000001</v>
      </c>
      <c r="J476">
        <v>1302.5964355000001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99.707723999999999</v>
      </c>
      <c r="B477" s="1">
        <f>DATE(2010,8,8) + TIME(16,59,7)</f>
        <v>40398.707719907405</v>
      </c>
      <c r="C477">
        <v>80</v>
      </c>
      <c r="D477">
        <v>79.936775208</v>
      </c>
      <c r="E477">
        <v>50</v>
      </c>
      <c r="F477">
        <v>15.010827065000001</v>
      </c>
      <c r="G477">
        <v>1346.4375</v>
      </c>
      <c r="H477">
        <v>1342.6220702999999</v>
      </c>
      <c r="I477">
        <v>1311.7520752</v>
      </c>
      <c r="J477">
        <v>1302.5992432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100.06250900000001</v>
      </c>
      <c r="B478" s="1">
        <f>DATE(2010,8,9) + TIME(1,30,0)</f>
        <v>40399.0625</v>
      </c>
      <c r="C478">
        <v>80</v>
      </c>
      <c r="D478">
        <v>79.936790466000005</v>
      </c>
      <c r="E478">
        <v>50</v>
      </c>
      <c r="F478">
        <v>15.011740684999999</v>
      </c>
      <c r="G478">
        <v>1346.4306641000001</v>
      </c>
      <c r="H478">
        <v>1342.6164550999999</v>
      </c>
      <c r="I478">
        <v>1311.7561035000001</v>
      </c>
      <c r="J478">
        <v>1302.6020507999999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100.77207900000001</v>
      </c>
      <c r="B479" s="1">
        <f>DATE(2010,8,9) + TIME(18,31,47)</f>
        <v>40399.77207175926</v>
      </c>
      <c r="C479">
        <v>80</v>
      </c>
      <c r="D479">
        <v>79.936836243000002</v>
      </c>
      <c r="E479">
        <v>50</v>
      </c>
      <c r="F479">
        <v>15.013222694</v>
      </c>
      <c r="G479">
        <v>1346.4239502</v>
      </c>
      <c r="H479">
        <v>1342.6109618999999</v>
      </c>
      <c r="I479">
        <v>1311.7601318</v>
      </c>
      <c r="J479">
        <v>1302.6049805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101.481836</v>
      </c>
      <c r="B480" s="1">
        <f>DATE(2010,8,10) + TIME(11,33,50)</f>
        <v>40400.481828703705</v>
      </c>
      <c r="C480">
        <v>80</v>
      </c>
      <c r="D480">
        <v>79.93687439</v>
      </c>
      <c r="E480">
        <v>50</v>
      </c>
      <c r="F480">
        <v>15.015143394000001</v>
      </c>
      <c r="G480">
        <v>1346.4105225000001</v>
      </c>
      <c r="H480">
        <v>1342.5998535000001</v>
      </c>
      <c r="I480">
        <v>1311.7684326000001</v>
      </c>
      <c r="J480">
        <v>1302.6107178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102.200264</v>
      </c>
      <c r="B481" s="1">
        <f>DATE(2010,8,11) + TIME(4,48,22)</f>
        <v>40401.200254629628</v>
      </c>
      <c r="C481">
        <v>80</v>
      </c>
      <c r="D481">
        <v>79.936912536999998</v>
      </c>
      <c r="E481">
        <v>50</v>
      </c>
      <c r="F481">
        <v>15.017477989</v>
      </c>
      <c r="G481">
        <v>1346.3969727000001</v>
      </c>
      <c r="H481">
        <v>1342.5887451000001</v>
      </c>
      <c r="I481">
        <v>1311.7767334</v>
      </c>
      <c r="J481">
        <v>1302.6165771000001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102.92115200000001</v>
      </c>
      <c r="B482" s="1">
        <f>DATE(2010,8,11) + TIME(22,6,27)</f>
        <v>40401.92114583333</v>
      </c>
      <c r="C482">
        <v>80</v>
      </c>
      <c r="D482">
        <v>79.936950683999996</v>
      </c>
      <c r="E482">
        <v>50</v>
      </c>
      <c r="F482">
        <v>15.020233154</v>
      </c>
      <c r="G482">
        <v>1346.3834228999999</v>
      </c>
      <c r="H482">
        <v>1342.5776367000001</v>
      </c>
      <c r="I482">
        <v>1311.7855225000001</v>
      </c>
      <c r="J482">
        <v>1302.6226807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103.643012</v>
      </c>
      <c r="B483" s="1">
        <f>DATE(2010,8,12) + TIME(15,25,56)</f>
        <v>40402.643009259256</v>
      </c>
      <c r="C483">
        <v>80</v>
      </c>
      <c r="D483">
        <v>79.936981200999995</v>
      </c>
      <c r="E483">
        <v>50</v>
      </c>
      <c r="F483">
        <v>15.023436545999999</v>
      </c>
      <c r="G483">
        <v>1346.3698730000001</v>
      </c>
      <c r="H483">
        <v>1342.5664062000001</v>
      </c>
      <c r="I483">
        <v>1311.7944336</v>
      </c>
      <c r="J483">
        <v>1302.6289062000001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104.367704</v>
      </c>
      <c r="B484" s="1">
        <f>DATE(2010,8,13) + TIME(8,49,29)</f>
        <v>40403.367696759262</v>
      </c>
      <c r="C484">
        <v>80</v>
      </c>
      <c r="D484">
        <v>79.937019348000007</v>
      </c>
      <c r="E484">
        <v>50</v>
      </c>
      <c r="F484">
        <v>15.027142525</v>
      </c>
      <c r="G484">
        <v>1346.3563231999999</v>
      </c>
      <c r="H484">
        <v>1342.5552978999999</v>
      </c>
      <c r="I484">
        <v>1311.8034668</v>
      </c>
      <c r="J484">
        <v>1302.6352539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104.732333</v>
      </c>
      <c r="B485" s="1">
        <f>DATE(2010,8,13) + TIME(17,34,33)</f>
        <v>40403.73232638889</v>
      </c>
      <c r="C485">
        <v>80</v>
      </c>
      <c r="D485">
        <v>79.937026978000006</v>
      </c>
      <c r="E485">
        <v>50</v>
      </c>
      <c r="F485">
        <v>15.029977798000001</v>
      </c>
      <c r="G485">
        <v>1346.3427733999999</v>
      </c>
      <c r="H485">
        <v>1342.5440673999999</v>
      </c>
      <c r="I485">
        <v>1311.8131103999999</v>
      </c>
      <c r="J485">
        <v>1302.6417236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105.096963</v>
      </c>
      <c r="B486" s="1">
        <f>DATE(2010,8,14) + TIME(2,19,37)</f>
        <v>40404.096956018519</v>
      </c>
      <c r="C486">
        <v>80</v>
      </c>
      <c r="D486">
        <v>79.937042235999996</v>
      </c>
      <c r="E486">
        <v>50</v>
      </c>
      <c r="F486">
        <v>15.032801628</v>
      </c>
      <c r="G486">
        <v>1346.3360596</v>
      </c>
      <c r="H486">
        <v>1342.5384521000001</v>
      </c>
      <c r="I486">
        <v>1311.8178711</v>
      </c>
      <c r="J486">
        <v>1302.6451416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105.461592</v>
      </c>
      <c r="B487" s="1">
        <f>DATE(2010,8,14) + TIME(11,4,41)</f>
        <v>40404.461585648147</v>
      </c>
      <c r="C487">
        <v>80</v>
      </c>
      <c r="D487">
        <v>79.937057495000005</v>
      </c>
      <c r="E487">
        <v>50</v>
      </c>
      <c r="F487">
        <v>15.035681725</v>
      </c>
      <c r="G487">
        <v>1346.3292236</v>
      </c>
      <c r="H487">
        <v>1342.5329589999999</v>
      </c>
      <c r="I487">
        <v>1311.822876</v>
      </c>
      <c r="J487">
        <v>1302.6485596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105.826221</v>
      </c>
      <c r="B488" s="1">
        <f>DATE(2010,8,14) + TIME(19,49,45)</f>
        <v>40404.826215277775</v>
      </c>
      <c r="C488">
        <v>80</v>
      </c>
      <c r="D488">
        <v>79.937072753999999</v>
      </c>
      <c r="E488">
        <v>50</v>
      </c>
      <c r="F488">
        <v>15.038671494000001</v>
      </c>
      <c r="G488">
        <v>1346.3225098</v>
      </c>
      <c r="H488">
        <v>1342.5273437999999</v>
      </c>
      <c r="I488">
        <v>1311.8277588000001</v>
      </c>
      <c r="J488">
        <v>1302.6519774999999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106.19085099999999</v>
      </c>
      <c r="B489" s="1">
        <f>DATE(2010,8,15) + TIME(4,34,49)</f>
        <v>40405.190844907411</v>
      </c>
      <c r="C489">
        <v>80</v>
      </c>
      <c r="D489">
        <v>79.937088012999993</v>
      </c>
      <c r="E489">
        <v>50</v>
      </c>
      <c r="F489">
        <v>15.041810035999999</v>
      </c>
      <c r="G489">
        <v>1346.315918</v>
      </c>
      <c r="H489">
        <v>1342.5218506000001</v>
      </c>
      <c r="I489">
        <v>1311.8327637</v>
      </c>
      <c r="J489">
        <v>1302.6555175999999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106.55548</v>
      </c>
      <c r="B490" s="1">
        <f>DATE(2010,8,15) + TIME(13,19,53)</f>
        <v>40405.555474537039</v>
      </c>
      <c r="C490">
        <v>80</v>
      </c>
      <c r="D490">
        <v>79.937110900999997</v>
      </c>
      <c r="E490">
        <v>50</v>
      </c>
      <c r="F490">
        <v>15.045129776</v>
      </c>
      <c r="G490">
        <v>1346.3092041</v>
      </c>
      <c r="H490">
        <v>1342.5162353999999</v>
      </c>
      <c r="I490">
        <v>1311.8378906</v>
      </c>
      <c r="J490">
        <v>1302.6590576000001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106.920109</v>
      </c>
      <c r="B491" s="1">
        <f>DATE(2010,8,15) + TIME(22,4,57)</f>
        <v>40405.920104166667</v>
      </c>
      <c r="C491">
        <v>80</v>
      </c>
      <c r="D491">
        <v>79.937126160000005</v>
      </c>
      <c r="E491">
        <v>50</v>
      </c>
      <c r="F491">
        <v>15.04865551</v>
      </c>
      <c r="G491">
        <v>1346.3024902</v>
      </c>
      <c r="H491">
        <v>1342.5107422000001</v>
      </c>
      <c r="I491">
        <v>1311.8431396000001</v>
      </c>
      <c r="J491">
        <v>1302.6625977000001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107.284738</v>
      </c>
      <c r="B492" s="1">
        <f>DATE(2010,8,16) + TIME(6,50,1)</f>
        <v>40406.284733796296</v>
      </c>
      <c r="C492">
        <v>80</v>
      </c>
      <c r="D492">
        <v>79.937141417999996</v>
      </c>
      <c r="E492">
        <v>50</v>
      </c>
      <c r="F492">
        <v>15.052412033</v>
      </c>
      <c r="G492">
        <v>1346.2958983999999</v>
      </c>
      <c r="H492">
        <v>1342.505249</v>
      </c>
      <c r="I492">
        <v>1311.8483887</v>
      </c>
      <c r="J492">
        <v>1302.6662598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107.649368</v>
      </c>
      <c r="B493" s="1">
        <f>DATE(2010,8,16) + TIME(15,35,5)</f>
        <v>40406.649363425924</v>
      </c>
      <c r="C493">
        <v>80</v>
      </c>
      <c r="D493">
        <v>79.937164307000003</v>
      </c>
      <c r="E493">
        <v>50</v>
      </c>
      <c r="F493">
        <v>15.056420326</v>
      </c>
      <c r="G493">
        <v>1346.2893065999999</v>
      </c>
      <c r="H493">
        <v>1342.4997559000001</v>
      </c>
      <c r="I493">
        <v>1311.8536377</v>
      </c>
      <c r="J493">
        <v>1302.6700439000001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108.013997</v>
      </c>
      <c r="B494" s="1">
        <f>DATE(2010,8,17) + TIME(0,20,9)</f>
        <v>40407.013993055552</v>
      </c>
      <c r="C494">
        <v>80</v>
      </c>
      <c r="D494">
        <v>79.937179564999994</v>
      </c>
      <c r="E494">
        <v>50</v>
      </c>
      <c r="F494">
        <v>15.060702323999999</v>
      </c>
      <c r="G494">
        <v>1346.2827147999999</v>
      </c>
      <c r="H494">
        <v>1342.4942627</v>
      </c>
      <c r="I494">
        <v>1311.8590088000001</v>
      </c>
      <c r="J494">
        <v>1302.6737060999999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108.743255</v>
      </c>
      <c r="B495" s="1">
        <f>DATE(2010,8,17) + TIME(17,50,17)</f>
        <v>40407.743252314816</v>
      </c>
      <c r="C495">
        <v>80</v>
      </c>
      <c r="D495">
        <v>79.937232971</v>
      </c>
      <c r="E495">
        <v>50</v>
      </c>
      <c r="F495">
        <v>15.067608833</v>
      </c>
      <c r="G495">
        <v>1346.2762451000001</v>
      </c>
      <c r="H495">
        <v>1342.4888916</v>
      </c>
      <c r="I495">
        <v>1311.8642577999999</v>
      </c>
      <c r="J495">
        <v>1302.6776123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109.474637</v>
      </c>
      <c r="B496" s="1">
        <f>DATE(2010,8,18) + TIME(11,23,28)</f>
        <v>40408.474629629629</v>
      </c>
      <c r="C496">
        <v>80</v>
      </c>
      <c r="D496">
        <v>79.937271117999998</v>
      </c>
      <c r="E496">
        <v>50</v>
      </c>
      <c r="F496">
        <v>15.076579094</v>
      </c>
      <c r="G496">
        <v>1346.2630615</v>
      </c>
      <c r="H496">
        <v>1342.4780272999999</v>
      </c>
      <c r="I496">
        <v>1311.8753661999999</v>
      </c>
      <c r="J496">
        <v>1302.6853027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110.211778</v>
      </c>
      <c r="B497" s="1">
        <f>DATE(2010,8,19) + TIME(5,4,57)</f>
        <v>40409.211770833332</v>
      </c>
      <c r="C497">
        <v>80</v>
      </c>
      <c r="D497">
        <v>79.937309264999996</v>
      </c>
      <c r="E497">
        <v>50</v>
      </c>
      <c r="F497">
        <v>15.087402343999999</v>
      </c>
      <c r="G497">
        <v>1346.25</v>
      </c>
      <c r="H497">
        <v>1342.4671631000001</v>
      </c>
      <c r="I497">
        <v>1311.8868408000001</v>
      </c>
      <c r="J497">
        <v>1302.6932373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110.95107400000001</v>
      </c>
      <c r="B498" s="1">
        <f>DATE(2010,8,19) + TIME(22,49,32)</f>
        <v>40409.951064814813</v>
      </c>
      <c r="C498">
        <v>80</v>
      </c>
      <c r="D498">
        <v>79.937347411999994</v>
      </c>
      <c r="E498">
        <v>50</v>
      </c>
      <c r="F498">
        <v>15.100059508999999</v>
      </c>
      <c r="G498">
        <v>1346.2368164</v>
      </c>
      <c r="H498">
        <v>1342.4561768000001</v>
      </c>
      <c r="I498">
        <v>1311.8986815999999</v>
      </c>
      <c r="J498">
        <v>1302.7015381000001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111.694497</v>
      </c>
      <c r="B499" s="1">
        <f>DATE(2010,8,20) + TIME(16,40,4)</f>
        <v>40410.694490740738</v>
      </c>
      <c r="C499">
        <v>80</v>
      </c>
      <c r="D499">
        <v>79.937393188000001</v>
      </c>
      <c r="E499">
        <v>50</v>
      </c>
      <c r="F499">
        <v>15.114676476</v>
      </c>
      <c r="G499">
        <v>1346.2237548999999</v>
      </c>
      <c r="H499">
        <v>1342.4453125</v>
      </c>
      <c r="I499">
        <v>1311.9110106999999</v>
      </c>
      <c r="J499">
        <v>1302.7102050999999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112.06777700000001</v>
      </c>
      <c r="B500" s="1">
        <f>DATE(2010,8,21) + TIME(1,37,35)</f>
        <v>40411.067766203705</v>
      </c>
      <c r="C500">
        <v>80</v>
      </c>
      <c r="D500">
        <v>79.937400818</v>
      </c>
      <c r="E500">
        <v>50</v>
      </c>
      <c r="F500">
        <v>15.125844001999999</v>
      </c>
      <c r="G500">
        <v>1346.2105713000001</v>
      </c>
      <c r="H500">
        <v>1342.4343262</v>
      </c>
      <c r="I500">
        <v>1311.9243164</v>
      </c>
      <c r="J500">
        <v>1302.7188721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112.440144</v>
      </c>
      <c r="B501" s="1">
        <f>DATE(2010,8,21) + TIME(10,33,48)</f>
        <v>40411.440138888887</v>
      </c>
      <c r="C501">
        <v>80</v>
      </c>
      <c r="D501">
        <v>79.937416076999995</v>
      </c>
      <c r="E501">
        <v>50</v>
      </c>
      <c r="F501">
        <v>15.136862754999999</v>
      </c>
      <c r="G501">
        <v>1346.2039795000001</v>
      </c>
      <c r="H501">
        <v>1342.4288329999999</v>
      </c>
      <c r="I501">
        <v>1311.9306641000001</v>
      </c>
      <c r="J501">
        <v>1302.7236327999999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112.81188299999999</v>
      </c>
      <c r="B502" s="1">
        <f>DATE(2010,8,21) + TIME(19,29,6)</f>
        <v>40411.811874999999</v>
      </c>
      <c r="C502">
        <v>80</v>
      </c>
      <c r="D502">
        <v>79.937431334999999</v>
      </c>
      <c r="E502">
        <v>50</v>
      </c>
      <c r="F502">
        <v>15.148018837</v>
      </c>
      <c r="G502">
        <v>1346.1973877</v>
      </c>
      <c r="H502">
        <v>1342.4233397999999</v>
      </c>
      <c r="I502">
        <v>1311.9372559000001</v>
      </c>
      <c r="J502">
        <v>1302.7283935999999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113.182998</v>
      </c>
      <c r="B503" s="1">
        <f>DATE(2010,8,22) + TIME(4,23,31)</f>
        <v>40412.182997685188</v>
      </c>
      <c r="C503">
        <v>80</v>
      </c>
      <c r="D503">
        <v>79.937454224000007</v>
      </c>
      <c r="E503">
        <v>50</v>
      </c>
      <c r="F503">
        <v>15.15951252</v>
      </c>
      <c r="G503">
        <v>1346.190918</v>
      </c>
      <c r="H503">
        <v>1342.4178466999999</v>
      </c>
      <c r="I503">
        <v>1311.9438477000001</v>
      </c>
      <c r="J503">
        <v>1302.7332764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113.55353599999999</v>
      </c>
      <c r="B504" s="1">
        <f>DATE(2010,8,22) + TIME(13,17,5)</f>
        <v>40412.553530092591</v>
      </c>
      <c r="C504">
        <v>80</v>
      </c>
      <c r="D504">
        <v>79.937469481999997</v>
      </c>
      <c r="E504">
        <v>50</v>
      </c>
      <c r="F504">
        <v>15.171492577</v>
      </c>
      <c r="G504">
        <v>1346.1844481999999</v>
      </c>
      <c r="H504">
        <v>1342.4124756000001</v>
      </c>
      <c r="I504">
        <v>1311.9506836</v>
      </c>
      <c r="J504">
        <v>1302.7381591999999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114.293587</v>
      </c>
      <c r="B505" s="1">
        <f>DATE(2010,8,23) + TIME(7,2,45)</f>
        <v>40413.293576388889</v>
      </c>
      <c r="C505">
        <v>80</v>
      </c>
      <c r="D505">
        <v>79.937522888000004</v>
      </c>
      <c r="E505">
        <v>50</v>
      </c>
      <c r="F505">
        <v>15.190412521000001</v>
      </c>
      <c r="G505">
        <v>1346.1781006000001</v>
      </c>
      <c r="H505">
        <v>1342.4072266000001</v>
      </c>
      <c r="I505">
        <v>1311.9567870999999</v>
      </c>
      <c r="J505">
        <v>1302.7434082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115.034267</v>
      </c>
      <c r="B506" s="1">
        <f>DATE(2010,8,24) + TIME(0,49,20)</f>
        <v>40414.034259259257</v>
      </c>
      <c r="C506">
        <v>80</v>
      </c>
      <c r="D506">
        <v>79.937561035000002</v>
      </c>
      <c r="E506">
        <v>50</v>
      </c>
      <c r="F506">
        <v>15.214556694000001</v>
      </c>
      <c r="G506">
        <v>1346.1652832</v>
      </c>
      <c r="H506">
        <v>1342.3964844</v>
      </c>
      <c r="I506">
        <v>1311.9709473</v>
      </c>
      <c r="J506">
        <v>1302.753418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115.783812</v>
      </c>
      <c r="B507" s="1">
        <f>DATE(2010,8,24) + TIME(18,48,41)</f>
        <v>40414.783807870372</v>
      </c>
      <c r="C507">
        <v>80</v>
      </c>
      <c r="D507">
        <v>79.937606811999999</v>
      </c>
      <c r="E507">
        <v>50</v>
      </c>
      <c r="F507">
        <v>15.243407249000001</v>
      </c>
      <c r="G507">
        <v>1346.1524658000001</v>
      </c>
      <c r="H507">
        <v>1342.3857422000001</v>
      </c>
      <c r="I507">
        <v>1311.9854736</v>
      </c>
      <c r="J507">
        <v>1302.7640381000001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116.53552500000001</v>
      </c>
      <c r="B508" s="1">
        <f>DATE(2010,8,25) + TIME(12,51,9)</f>
        <v>40415.535520833335</v>
      </c>
      <c r="C508">
        <v>80</v>
      </c>
      <c r="D508">
        <v>79.937644958000007</v>
      </c>
      <c r="E508">
        <v>50</v>
      </c>
      <c r="F508">
        <v>15.276879311</v>
      </c>
      <c r="G508">
        <v>1346.1395264</v>
      </c>
      <c r="H508">
        <v>1342.375</v>
      </c>
      <c r="I508">
        <v>1312.0004882999999</v>
      </c>
      <c r="J508">
        <v>1302.7751464999999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116.912119</v>
      </c>
      <c r="B509" s="1">
        <f>DATE(2010,8,25) + TIME(21,53,27)</f>
        <v>40415.912118055552</v>
      </c>
      <c r="C509">
        <v>80</v>
      </c>
      <c r="D509">
        <v>79.937660217000001</v>
      </c>
      <c r="E509">
        <v>50</v>
      </c>
      <c r="F509">
        <v>15.302437782</v>
      </c>
      <c r="G509">
        <v>1346.1265868999999</v>
      </c>
      <c r="H509">
        <v>1342.3641356999999</v>
      </c>
      <c r="I509">
        <v>1312.0174560999999</v>
      </c>
      <c r="J509">
        <v>1302.786499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117.288714</v>
      </c>
      <c r="B510" s="1">
        <f>DATE(2010,8,26) + TIME(6,55,44)</f>
        <v>40416.288703703707</v>
      </c>
      <c r="C510">
        <v>80</v>
      </c>
      <c r="D510">
        <v>79.937675475999995</v>
      </c>
      <c r="E510">
        <v>50</v>
      </c>
      <c r="F510">
        <v>15.327567101</v>
      </c>
      <c r="G510">
        <v>1346.1201172000001</v>
      </c>
      <c r="H510">
        <v>1342.3586425999999</v>
      </c>
      <c r="I510">
        <v>1312.0251464999999</v>
      </c>
      <c r="J510">
        <v>1302.7927245999999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117.665308</v>
      </c>
      <c r="B511" s="1">
        <f>DATE(2010,8,26) + TIME(15,58,2)</f>
        <v>40416.665300925924</v>
      </c>
      <c r="C511">
        <v>80</v>
      </c>
      <c r="D511">
        <v>79.937690735000004</v>
      </c>
      <c r="E511">
        <v>50</v>
      </c>
      <c r="F511">
        <v>15.352918624999999</v>
      </c>
      <c r="G511">
        <v>1346.1136475000001</v>
      </c>
      <c r="H511">
        <v>1342.3532714999999</v>
      </c>
      <c r="I511">
        <v>1312.0330810999999</v>
      </c>
      <c r="J511">
        <v>1302.7990723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118.04190199999999</v>
      </c>
      <c r="B512" s="1">
        <f>DATE(2010,8,27) + TIME(1,0,20)</f>
        <v>40417.041898148149</v>
      </c>
      <c r="C512">
        <v>80</v>
      </c>
      <c r="D512">
        <v>79.937713622999993</v>
      </c>
      <c r="E512">
        <v>50</v>
      </c>
      <c r="F512">
        <v>15.378954887000001</v>
      </c>
      <c r="G512">
        <v>1346.1072998</v>
      </c>
      <c r="H512">
        <v>1342.3479004000001</v>
      </c>
      <c r="I512">
        <v>1312.0411377</v>
      </c>
      <c r="J512">
        <v>1302.8056641000001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118.418497</v>
      </c>
      <c r="B513" s="1">
        <f>DATE(2010,8,27) + TIME(10,2,38)</f>
        <v>40417.418495370373</v>
      </c>
      <c r="C513">
        <v>80</v>
      </c>
      <c r="D513">
        <v>79.937728882000002</v>
      </c>
      <c r="E513">
        <v>50</v>
      </c>
      <c r="F513">
        <v>15.406008720000001</v>
      </c>
      <c r="G513">
        <v>1346.1008300999999</v>
      </c>
      <c r="H513">
        <v>1342.3425293</v>
      </c>
      <c r="I513">
        <v>1312.0494385</v>
      </c>
      <c r="J513">
        <v>1302.8122559000001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118.795091</v>
      </c>
      <c r="B514" s="1">
        <f>DATE(2010,8,27) + TIME(19,4,55)</f>
        <v>40417.795081018521</v>
      </c>
      <c r="C514">
        <v>80</v>
      </c>
      <c r="D514">
        <v>79.937751770000006</v>
      </c>
      <c r="E514">
        <v>50</v>
      </c>
      <c r="F514">
        <v>15.434332848</v>
      </c>
      <c r="G514">
        <v>1346.0944824000001</v>
      </c>
      <c r="H514">
        <v>1342.3371582</v>
      </c>
      <c r="I514">
        <v>1312.0578613</v>
      </c>
      <c r="J514">
        <v>1302.8190918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119.17116900000001</v>
      </c>
      <c r="B515" s="1">
        <f>DATE(2010,8,28) + TIME(4,6,28)</f>
        <v>40418.171157407407</v>
      </c>
      <c r="C515">
        <v>80</v>
      </c>
      <c r="D515">
        <v>79.937774657999995</v>
      </c>
      <c r="E515">
        <v>50</v>
      </c>
      <c r="F515">
        <v>15.464097023000001</v>
      </c>
      <c r="G515">
        <v>1346.0881348</v>
      </c>
      <c r="H515">
        <v>1342.3317870999999</v>
      </c>
      <c r="I515">
        <v>1312.0664062000001</v>
      </c>
      <c r="J515">
        <v>1302.8260498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119.54648299999999</v>
      </c>
      <c r="B516" s="1">
        <f>DATE(2010,8,28) + TIME(13,6,56)</f>
        <v>40418.546481481484</v>
      </c>
      <c r="C516">
        <v>80</v>
      </c>
      <c r="D516">
        <v>79.937789917000003</v>
      </c>
      <c r="E516">
        <v>50</v>
      </c>
      <c r="F516">
        <v>15.495439529</v>
      </c>
      <c r="G516">
        <v>1346.0817870999999</v>
      </c>
      <c r="H516">
        <v>1342.3264160000001</v>
      </c>
      <c r="I516">
        <v>1312.0750731999999</v>
      </c>
      <c r="J516">
        <v>1302.8331298999999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119.921131</v>
      </c>
      <c r="B517" s="1">
        <f>DATE(2010,8,28) + TIME(22,6,25)</f>
        <v>40418.921122685184</v>
      </c>
      <c r="C517">
        <v>80</v>
      </c>
      <c r="D517">
        <v>79.937812804999993</v>
      </c>
      <c r="E517">
        <v>50</v>
      </c>
      <c r="F517">
        <v>15.528493880999999</v>
      </c>
      <c r="G517">
        <v>1346.0754394999999</v>
      </c>
      <c r="H517">
        <v>1342.3210449000001</v>
      </c>
      <c r="I517">
        <v>1312.0838623</v>
      </c>
      <c r="J517">
        <v>1302.840332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120.295209</v>
      </c>
      <c r="B518" s="1">
        <f>DATE(2010,8,29) + TIME(7,5,6)</f>
        <v>40419.295208333337</v>
      </c>
      <c r="C518">
        <v>80</v>
      </c>
      <c r="D518">
        <v>79.937835692999997</v>
      </c>
      <c r="E518">
        <v>50</v>
      </c>
      <c r="F518">
        <v>15.563379288</v>
      </c>
      <c r="G518">
        <v>1346.0692139</v>
      </c>
      <c r="H518">
        <v>1342.3157959</v>
      </c>
      <c r="I518">
        <v>1312.0926514</v>
      </c>
      <c r="J518">
        <v>1302.8477783000001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120.668824</v>
      </c>
      <c r="B519" s="1">
        <f>DATE(2010,8,29) + TIME(16,3,6)</f>
        <v>40419.668819444443</v>
      </c>
      <c r="C519">
        <v>80</v>
      </c>
      <c r="D519">
        <v>79.937850952000005</v>
      </c>
      <c r="E519">
        <v>50</v>
      </c>
      <c r="F519">
        <v>15.600211142999999</v>
      </c>
      <c r="G519">
        <v>1346.0628661999999</v>
      </c>
      <c r="H519">
        <v>1342.3105469</v>
      </c>
      <c r="I519">
        <v>1312.1016846</v>
      </c>
      <c r="J519">
        <v>1302.8554687999999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121.042098</v>
      </c>
      <c r="B520" s="1">
        <f>DATE(2010,8,30) + TIME(1,0,37)</f>
        <v>40420.042094907411</v>
      </c>
      <c r="C520">
        <v>80</v>
      </c>
      <c r="D520">
        <v>79.937873839999995</v>
      </c>
      <c r="E520">
        <v>50</v>
      </c>
      <c r="F520">
        <v>15.639102936</v>
      </c>
      <c r="G520">
        <v>1346.0566406</v>
      </c>
      <c r="H520">
        <v>1342.3051757999999</v>
      </c>
      <c r="I520">
        <v>1312.1107178</v>
      </c>
      <c r="J520">
        <v>1302.8632812000001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121.41517</v>
      </c>
      <c r="B521" s="1">
        <f>DATE(2010,8,30) + TIME(9,57,50)</f>
        <v>40420.415162037039</v>
      </c>
      <c r="C521">
        <v>80</v>
      </c>
      <c r="D521">
        <v>79.937896729000002</v>
      </c>
      <c r="E521">
        <v>50</v>
      </c>
      <c r="F521">
        <v>15.680171013000001</v>
      </c>
      <c r="G521">
        <v>1346.0504149999999</v>
      </c>
      <c r="H521">
        <v>1342.2999268000001</v>
      </c>
      <c r="I521">
        <v>1312.1198730000001</v>
      </c>
      <c r="J521">
        <v>1302.8712158000001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122.16121099999999</v>
      </c>
      <c r="B522" s="1">
        <f>DATE(2010,8,31) + TIME(3,52,8)</f>
        <v>40421.161203703705</v>
      </c>
      <c r="C522">
        <v>80</v>
      </c>
      <c r="D522">
        <v>79.937950134000005</v>
      </c>
      <c r="E522">
        <v>50</v>
      </c>
      <c r="F522">
        <v>15.745080948</v>
      </c>
      <c r="G522">
        <v>1346.0443115</v>
      </c>
      <c r="H522">
        <v>1342.2947998</v>
      </c>
      <c r="I522">
        <v>1312.1268310999999</v>
      </c>
      <c r="J522">
        <v>1302.8801269999999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122.908833</v>
      </c>
      <c r="B523" s="1">
        <f>DATE(2010,8,31) + TIME(21,48,43)</f>
        <v>40421.908831018518</v>
      </c>
      <c r="C523">
        <v>80</v>
      </c>
      <c r="D523">
        <v>79.937988281000003</v>
      </c>
      <c r="E523">
        <v>50</v>
      </c>
      <c r="F523">
        <v>15.828317642</v>
      </c>
      <c r="G523">
        <v>1346.0318603999999</v>
      </c>
      <c r="H523">
        <v>1342.2843018000001</v>
      </c>
      <c r="I523">
        <v>1312.1463623</v>
      </c>
      <c r="J523">
        <v>1302.8964844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123</v>
      </c>
      <c r="B524" s="1">
        <f>DATE(2010,9,1) + TIME(0,0,0)</f>
        <v>40422</v>
      </c>
      <c r="C524">
        <v>80</v>
      </c>
      <c r="D524">
        <v>79.937995911000002</v>
      </c>
      <c r="E524">
        <v>50</v>
      </c>
      <c r="F524">
        <v>15.849786758</v>
      </c>
      <c r="G524">
        <v>1346.0196533000001</v>
      </c>
      <c r="H524">
        <v>1342.2740478999999</v>
      </c>
      <c r="I524">
        <v>1312.1735839999999</v>
      </c>
      <c r="J524">
        <v>1302.9112548999999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123.764962</v>
      </c>
      <c r="B525" s="1">
        <f>DATE(2010,9,1) + TIME(18,21,32)</f>
        <v>40422.764953703707</v>
      </c>
      <c r="C525">
        <v>80</v>
      </c>
      <c r="D525">
        <v>79.938041686999995</v>
      </c>
      <c r="E525">
        <v>50</v>
      </c>
      <c r="F525">
        <v>15.945637702999999</v>
      </c>
      <c r="G525">
        <v>1346.0179443</v>
      </c>
      <c r="H525">
        <v>1342.2725829999999</v>
      </c>
      <c r="I525">
        <v>1312.1676024999999</v>
      </c>
      <c r="J525">
        <v>1302.916626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124.152227</v>
      </c>
      <c r="B526" s="1">
        <f>DATE(2010,9,2) + TIME(3,39,12)</f>
        <v>40423.152222222219</v>
      </c>
      <c r="C526">
        <v>80</v>
      </c>
      <c r="D526">
        <v>79.938056946000003</v>
      </c>
      <c r="E526">
        <v>50</v>
      </c>
      <c r="F526">
        <v>16.022039413000002</v>
      </c>
      <c r="G526">
        <v>1346.005249</v>
      </c>
      <c r="H526">
        <v>1342.2618408000001</v>
      </c>
      <c r="I526">
        <v>1312.1920166</v>
      </c>
      <c r="J526">
        <v>1302.9343262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124.877826</v>
      </c>
      <c r="B527" s="1">
        <f>DATE(2010,9,2) + TIME(21,4,4)</f>
        <v>40423.877824074072</v>
      </c>
      <c r="C527">
        <v>80</v>
      </c>
      <c r="D527">
        <v>79.938102721999996</v>
      </c>
      <c r="E527">
        <v>50</v>
      </c>
      <c r="F527">
        <v>16.129718781000001</v>
      </c>
      <c r="G527">
        <v>1345.9989014</v>
      </c>
      <c r="H527">
        <v>1342.2564697</v>
      </c>
      <c r="I527">
        <v>1312.1977539</v>
      </c>
      <c r="J527">
        <v>1302.9460449000001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125.639917</v>
      </c>
      <c r="B528" s="1">
        <f>DATE(2010,9,3) + TIME(15,21,28)</f>
        <v>40424.639907407407</v>
      </c>
      <c r="C528">
        <v>80</v>
      </c>
      <c r="D528">
        <v>79.938148498999993</v>
      </c>
      <c r="E528">
        <v>50</v>
      </c>
      <c r="F528">
        <v>16.257638930999999</v>
      </c>
      <c r="G528">
        <v>1345.9870605000001</v>
      </c>
      <c r="H528">
        <v>1342.2463379000001</v>
      </c>
      <c r="I528">
        <v>1312.2172852000001</v>
      </c>
      <c r="J528">
        <v>1302.9656981999999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126.402826</v>
      </c>
      <c r="B529" s="1">
        <f>DATE(2010,9,4) + TIME(9,40,4)</f>
        <v>40425.402824074074</v>
      </c>
      <c r="C529">
        <v>80</v>
      </c>
      <c r="D529">
        <v>79.938194275000001</v>
      </c>
      <c r="E529">
        <v>50</v>
      </c>
      <c r="F529">
        <v>16.403787612999999</v>
      </c>
      <c r="G529">
        <v>1345.9746094</v>
      </c>
      <c r="H529">
        <v>1342.2357178</v>
      </c>
      <c r="I529">
        <v>1312.2381591999999</v>
      </c>
      <c r="J529">
        <v>1302.9874268000001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126.786407</v>
      </c>
      <c r="B530" s="1">
        <f>DATE(2010,9,4) + TIME(18,52,25)</f>
        <v>40425.786400462966</v>
      </c>
      <c r="C530">
        <v>80</v>
      </c>
      <c r="D530">
        <v>79.938201903999996</v>
      </c>
      <c r="E530">
        <v>50</v>
      </c>
      <c r="F530">
        <v>16.514049530000001</v>
      </c>
      <c r="G530">
        <v>1345.9620361</v>
      </c>
      <c r="H530">
        <v>1342.2250977000001</v>
      </c>
      <c r="I530">
        <v>1312.2648925999999</v>
      </c>
      <c r="J530">
        <v>1303.0085449000001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127.167765</v>
      </c>
      <c r="B531" s="1">
        <f>DATE(2010,9,5) + TIME(4,1,34)</f>
        <v>40426.167754629627</v>
      </c>
      <c r="C531">
        <v>80</v>
      </c>
      <c r="D531">
        <v>79.938224792</v>
      </c>
      <c r="E531">
        <v>50</v>
      </c>
      <c r="F531">
        <v>16.619752884</v>
      </c>
      <c r="G531">
        <v>1345.9558105000001</v>
      </c>
      <c r="H531">
        <v>1342.2197266000001</v>
      </c>
      <c r="I531">
        <v>1312.2739257999999</v>
      </c>
      <c r="J531">
        <v>1303.0214844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127.549122</v>
      </c>
      <c r="B532" s="1">
        <f>DATE(2010,9,5) + TIME(13,10,44)</f>
        <v>40426.549120370371</v>
      </c>
      <c r="C532">
        <v>80</v>
      </c>
      <c r="D532">
        <v>79.938240050999994</v>
      </c>
      <c r="E532">
        <v>50</v>
      </c>
      <c r="F532">
        <v>16.724161148</v>
      </c>
      <c r="G532">
        <v>1345.9495850000001</v>
      </c>
      <c r="H532">
        <v>1342.2144774999999</v>
      </c>
      <c r="I532">
        <v>1312.2834473</v>
      </c>
      <c r="J532">
        <v>1303.0344238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127.93048</v>
      </c>
      <c r="B533" s="1">
        <f>DATE(2010,9,5) + TIME(22,19,53)</f>
        <v>40426.930474537039</v>
      </c>
      <c r="C533">
        <v>80</v>
      </c>
      <c r="D533">
        <v>79.938262938999998</v>
      </c>
      <c r="E533">
        <v>50</v>
      </c>
      <c r="F533">
        <v>16.829267502</v>
      </c>
      <c r="G533">
        <v>1345.9433594</v>
      </c>
      <c r="H533">
        <v>1342.2092285000001</v>
      </c>
      <c r="I533">
        <v>1312.2933350000001</v>
      </c>
      <c r="J533">
        <v>1303.0474853999999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128.31183799999999</v>
      </c>
      <c r="B534" s="1">
        <f>DATE(2010,9,6) + TIME(7,29,2)</f>
        <v>40427.311828703707</v>
      </c>
      <c r="C534">
        <v>80</v>
      </c>
      <c r="D534">
        <v>79.938285828000005</v>
      </c>
      <c r="E534">
        <v>50</v>
      </c>
      <c r="F534">
        <v>16.936443328999999</v>
      </c>
      <c r="G534">
        <v>1345.9371338000001</v>
      </c>
      <c r="H534">
        <v>1342.2038574000001</v>
      </c>
      <c r="I534">
        <v>1312.3034668</v>
      </c>
      <c r="J534">
        <v>1303.0607910000001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128.693195</v>
      </c>
      <c r="B535" s="1">
        <f>DATE(2010,9,6) + TIME(16,38,12)</f>
        <v>40427.693194444444</v>
      </c>
      <c r="C535">
        <v>80</v>
      </c>
      <c r="D535">
        <v>79.938308715999995</v>
      </c>
      <c r="E535">
        <v>50</v>
      </c>
      <c r="F535">
        <v>17.046632766999998</v>
      </c>
      <c r="G535">
        <v>1345.9310303</v>
      </c>
      <c r="H535">
        <v>1342.1986084</v>
      </c>
      <c r="I535">
        <v>1312.3138428</v>
      </c>
      <c r="J535">
        <v>1303.0743408000001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129.07455300000001</v>
      </c>
      <c r="B536" s="1">
        <f>DATE(2010,9,7) + TIME(1,47,21)</f>
        <v>40428.074548611112</v>
      </c>
      <c r="C536">
        <v>80</v>
      </c>
      <c r="D536">
        <v>79.938331603999998</v>
      </c>
      <c r="E536">
        <v>50</v>
      </c>
      <c r="F536">
        <v>17.160465240000001</v>
      </c>
      <c r="G536">
        <v>1345.9249268000001</v>
      </c>
      <c r="H536">
        <v>1342.1933594</v>
      </c>
      <c r="I536">
        <v>1312.3240966999999</v>
      </c>
      <c r="J536">
        <v>1303.0882568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129.45591099999999</v>
      </c>
      <c r="B537" s="1">
        <f>DATE(2010,9,7) + TIME(10,56,30)</f>
        <v>40428.45590277778</v>
      </c>
      <c r="C537">
        <v>80</v>
      </c>
      <c r="D537">
        <v>79.938346863000007</v>
      </c>
      <c r="E537">
        <v>50</v>
      </c>
      <c r="F537">
        <v>17.278339385999999</v>
      </c>
      <c r="G537">
        <v>1345.9187012</v>
      </c>
      <c r="H537">
        <v>1342.1881103999999</v>
      </c>
      <c r="I537">
        <v>1312.3344727000001</v>
      </c>
      <c r="J537">
        <v>1303.1024170000001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129.83726899999999</v>
      </c>
      <c r="B538" s="1">
        <f>DATE(2010,9,7) + TIME(20,5,40)</f>
        <v>40428.837268518517</v>
      </c>
      <c r="C538">
        <v>80</v>
      </c>
      <c r="D538">
        <v>79.938369750999996</v>
      </c>
      <c r="E538">
        <v>50</v>
      </c>
      <c r="F538">
        <v>17.400501251000001</v>
      </c>
      <c r="G538">
        <v>1345.9125977000001</v>
      </c>
      <c r="H538">
        <v>1342.1828613</v>
      </c>
      <c r="I538">
        <v>1312.3448486</v>
      </c>
      <c r="J538">
        <v>1303.1169434000001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130.218626</v>
      </c>
      <c r="B539" s="1">
        <f>DATE(2010,9,8) + TIME(5,14,49)</f>
        <v>40429.218622685185</v>
      </c>
      <c r="C539">
        <v>80</v>
      </c>
      <c r="D539">
        <v>79.938392639</v>
      </c>
      <c r="E539">
        <v>50</v>
      </c>
      <c r="F539">
        <v>17.527088164999999</v>
      </c>
      <c r="G539">
        <v>1345.9064940999999</v>
      </c>
      <c r="H539">
        <v>1342.1776123</v>
      </c>
      <c r="I539">
        <v>1312.3552245999999</v>
      </c>
      <c r="J539">
        <v>1303.1318358999999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130.59998400000001</v>
      </c>
      <c r="B540" s="1">
        <f>DATE(2010,9,8) + TIME(14,23,58)</f>
        <v>40429.599976851852</v>
      </c>
      <c r="C540">
        <v>80</v>
      </c>
      <c r="D540">
        <v>79.938415527000004</v>
      </c>
      <c r="E540">
        <v>50</v>
      </c>
      <c r="F540">
        <v>17.658161162999999</v>
      </c>
      <c r="G540">
        <v>1345.9003906</v>
      </c>
      <c r="H540">
        <v>1342.1724853999999</v>
      </c>
      <c r="I540">
        <v>1312.3654785000001</v>
      </c>
      <c r="J540">
        <v>1303.1469727000001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130.98134200000001</v>
      </c>
      <c r="B541" s="1">
        <f>DATE(2010,9,8) + TIME(23,33,7)</f>
        <v>40429.98133101852</v>
      </c>
      <c r="C541">
        <v>80</v>
      </c>
      <c r="D541">
        <v>79.938438415999997</v>
      </c>
      <c r="E541">
        <v>50</v>
      </c>
      <c r="F541">
        <v>17.793731689000001</v>
      </c>
      <c r="G541">
        <v>1345.8942870999999</v>
      </c>
      <c r="H541">
        <v>1342.1672363</v>
      </c>
      <c r="I541">
        <v>1312.3757324000001</v>
      </c>
      <c r="J541">
        <v>1303.1624756000001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131.36269899999999</v>
      </c>
      <c r="B542" s="1">
        <f>DATE(2010,9,9) + TIME(8,42,17)</f>
        <v>40430.362696759257</v>
      </c>
      <c r="C542">
        <v>80</v>
      </c>
      <c r="D542">
        <v>79.938461304</v>
      </c>
      <c r="E542">
        <v>50</v>
      </c>
      <c r="F542">
        <v>17.933776855000001</v>
      </c>
      <c r="G542">
        <v>1345.8881836</v>
      </c>
      <c r="H542">
        <v>1342.1619873</v>
      </c>
      <c r="I542">
        <v>1312.3859863</v>
      </c>
      <c r="J542">
        <v>1303.1783447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131.744057</v>
      </c>
      <c r="B543" s="1">
        <f>DATE(2010,9,9) + TIME(17,51,26)</f>
        <v>40430.744050925925</v>
      </c>
      <c r="C543">
        <v>80</v>
      </c>
      <c r="D543">
        <v>79.938484192000004</v>
      </c>
      <c r="E543">
        <v>50</v>
      </c>
      <c r="F543">
        <v>18.078245162999998</v>
      </c>
      <c r="G543">
        <v>1345.8820800999999</v>
      </c>
      <c r="H543">
        <v>1342.1567382999999</v>
      </c>
      <c r="I543">
        <v>1312.3959961</v>
      </c>
      <c r="J543">
        <v>1303.1944579999999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132.125415</v>
      </c>
      <c r="B544" s="1">
        <f>DATE(2010,9,10) + TIME(3,0,35)</f>
        <v>40431.125405092593</v>
      </c>
      <c r="C544">
        <v>80</v>
      </c>
      <c r="D544">
        <v>79.938507079999994</v>
      </c>
      <c r="E544">
        <v>50</v>
      </c>
      <c r="F544">
        <v>18.227075577000001</v>
      </c>
      <c r="G544">
        <v>1345.8759766000001</v>
      </c>
      <c r="H544">
        <v>1342.1516113</v>
      </c>
      <c r="I544">
        <v>1312.4061279</v>
      </c>
      <c r="J544">
        <v>1303.2109375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132.50677200000001</v>
      </c>
      <c r="B545" s="1">
        <f>DATE(2010,9,10) + TIME(12,9,45)</f>
        <v>40431.50677083333</v>
      </c>
      <c r="C545">
        <v>80</v>
      </c>
      <c r="D545">
        <v>79.938529967999997</v>
      </c>
      <c r="E545">
        <v>50</v>
      </c>
      <c r="F545">
        <v>18.380189896000001</v>
      </c>
      <c r="G545">
        <v>1345.8699951000001</v>
      </c>
      <c r="H545">
        <v>1342.1463623</v>
      </c>
      <c r="I545">
        <v>1312.4161377</v>
      </c>
      <c r="J545">
        <v>1303.2277832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132.88812999999999</v>
      </c>
      <c r="B546" s="1">
        <f>DATE(2010,9,10) + TIME(21,18,54)</f>
        <v>40431.888124999998</v>
      </c>
      <c r="C546">
        <v>80</v>
      </c>
      <c r="D546">
        <v>79.938552856000001</v>
      </c>
      <c r="E546">
        <v>50</v>
      </c>
      <c r="F546">
        <v>18.537508011</v>
      </c>
      <c r="G546">
        <v>1345.8638916</v>
      </c>
      <c r="H546">
        <v>1342.1412353999999</v>
      </c>
      <c r="I546">
        <v>1312.4260254000001</v>
      </c>
      <c r="J546">
        <v>1303.2448730000001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133.269488</v>
      </c>
      <c r="B547" s="1">
        <f>DATE(2010,9,11) + TIME(6,28,3)</f>
        <v>40432.269479166665</v>
      </c>
      <c r="C547">
        <v>80</v>
      </c>
      <c r="D547">
        <v>79.938575744999994</v>
      </c>
      <c r="E547">
        <v>50</v>
      </c>
      <c r="F547">
        <v>18.698942184</v>
      </c>
      <c r="G547">
        <v>1345.8579102000001</v>
      </c>
      <c r="H547">
        <v>1342.1359863</v>
      </c>
      <c r="I547">
        <v>1312.4359131000001</v>
      </c>
      <c r="J547">
        <v>1303.2623291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133.650846</v>
      </c>
      <c r="B548" s="1">
        <f>DATE(2010,9,11) + TIME(15,37,13)</f>
        <v>40432.65084490741</v>
      </c>
      <c r="C548">
        <v>80</v>
      </c>
      <c r="D548">
        <v>79.938591002999999</v>
      </c>
      <c r="E548">
        <v>50</v>
      </c>
      <c r="F548">
        <v>18.864398955999999</v>
      </c>
      <c r="G548">
        <v>1345.8519286999999</v>
      </c>
      <c r="H548">
        <v>1342.1308594</v>
      </c>
      <c r="I548">
        <v>1312.4456786999999</v>
      </c>
      <c r="J548">
        <v>1303.2801514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134.03220300000001</v>
      </c>
      <c r="B549" s="1">
        <f>DATE(2010,9,12) + TIME(0,46,22)</f>
        <v>40433.032199074078</v>
      </c>
      <c r="C549">
        <v>80</v>
      </c>
      <c r="D549">
        <v>79.938613892000006</v>
      </c>
      <c r="E549">
        <v>50</v>
      </c>
      <c r="F549">
        <v>19.033763884999999</v>
      </c>
      <c r="G549">
        <v>1345.8459473</v>
      </c>
      <c r="H549">
        <v>1342.1257324000001</v>
      </c>
      <c r="I549">
        <v>1312.4554443</v>
      </c>
      <c r="J549">
        <v>1303.2982178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134.79491899999999</v>
      </c>
      <c r="B550" s="1">
        <f>DATE(2010,9,12) + TIME(19,4,40)</f>
        <v>40433.794907407406</v>
      </c>
      <c r="C550">
        <v>80</v>
      </c>
      <c r="D550">
        <v>79.938667296999995</v>
      </c>
      <c r="E550">
        <v>50</v>
      </c>
      <c r="F550">
        <v>19.288166046000001</v>
      </c>
      <c r="G550">
        <v>1345.8399658000001</v>
      </c>
      <c r="H550">
        <v>1342.1206055</v>
      </c>
      <c r="I550">
        <v>1312.4567870999999</v>
      </c>
      <c r="J550">
        <v>1303.3193358999999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135.55769799999999</v>
      </c>
      <c r="B551" s="1">
        <f>DATE(2010,9,13) + TIME(13,23,5)</f>
        <v>40434.557696759257</v>
      </c>
      <c r="C551">
        <v>80</v>
      </c>
      <c r="D551">
        <v>79.938720703000001</v>
      </c>
      <c r="E551">
        <v>50</v>
      </c>
      <c r="F551">
        <v>19.602273941</v>
      </c>
      <c r="G551">
        <v>1345.828125</v>
      </c>
      <c r="H551">
        <v>1342.1104736</v>
      </c>
      <c r="I551">
        <v>1312.4794922000001</v>
      </c>
      <c r="J551">
        <v>1303.3546143000001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136.35451</v>
      </c>
      <c r="B552" s="1">
        <f>DATE(2010,9,14) + TIME(8,30,29)</f>
        <v>40435.354502314818</v>
      </c>
      <c r="C552">
        <v>80</v>
      </c>
      <c r="D552">
        <v>79.938766478999995</v>
      </c>
      <c r="E552">
        <v>50</v>
      </c>
      <c r="F552">
        <v>19.958742141999998</v>
      </c>
      <c r="G552">
        <v>1345.8161620999999</v>
      </c>
      <c r="H552">
        <v>1342.1002197</v>
      </c>
      <c r="I552">
        <v>1312.4993896000001</v>
      </c>
      <c r="J552">
        <v>1303.3923339999999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136.76912400000001</v>
      </c>
      <c r="B553" s="1">
        <f>DATE(2010,9,14) + TIME(18,27,32)</f>
        <v>40435.769120370373</v>
      </c>
      <c r="C553">
        <v>80</v>
      </c>
      <c r="D553">
        <v>79.938789368000002</v>
      </c>
      <c r="E553">
        <v>50</v>
      </c>
      <c r="F553">
        <v>20.229984283</v>
      </c>
      <c r="G553">
        <v>1345.8038329999999</v>
      </c>
      <c r="H553">
        <v>1342.0895995999999</v>
      </c>
      <c r="I553">
        <v>1312.5317382999999</v>
      </c>
      <c r="J553">
        <v>1303.4290771000001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137.521413</v>
      </c>
      <c r="B554" s="1">
        <f>DATE(2010,9,15) + TIME(12,30,50)</f>
        <v>40436.521412037036</v>
      </c>
      <c r="C554">
        <v>80</v>
      </c>
      <c r="D554">
        <v>79.938835143999995</v>
      </c>
      <c r="E554">
        <v>50</v>
      </c>
      <c r="F554">
        <v>20.575468062999999</v>
      </c>
      <c r="G554">
        <v>1345.7973632999999</v>
      </c>
      <c r="H554">
        <v>1342.0839844</v>
      </c>
      <c r="I554">
        <v>1312.5286865</v>
      </c>
      <c r="J554">
        <v>1303.4560547000001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138.33230900000001</v>
      </c>
      <c r="B555" s="1">
        <f>DATE(2010,9,16) + TIME(7,58,31)</f>
        <v>40437.332303240742</v>
      </c>
      <c r="C555">
        <v>80</v>
      </c>
      <c r="D555">
        <v>79.938880920000003</v>
      </c>
      <c r="E555">
        <v>50</v>
      </c>
      <c r="F555">
        <v>20.967689514</v>
      </c>
      <c r="G555">
        <v>1345.7858887</v>
      </c>
      <c r="H555">
        <v>1342.0740966999999</v>
      </c>
      <c r="I555">
        <v>1312.5471190999999</v>
      </c>
      <c r="J555">
        <v>1303.4963379000001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139.15573800000001</v>
      </c>
      <c r="B556" s="1">
        <f>DATE(2010,9,17) + TIME(3,44,15)</f>
        <v>40438.155729166669</v>
      </c>
      <c r="C556">
        <v>80</v>
      </c>
      <c r="D556">
        <v>79.938934325999995</v>
      </c>
      <c r="E556">
        <v>50</v>
      </c>
      <c r="F556">
        <v>21.388582230000001</v>
      </c>
      <c r="G556">
        <v>1345.7734375</v>
      </c>
      <c r="H556">
        <v>1342.0633545000001</v>
      </c>
      <c r="I556">
        <v>1312.567749</v>
      </c>
      <c r="J556">
        <v>1303.5404053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139.99886100000001</v>
      </c>
      <c r="B557" s="1">
        <f>DATE(2010,9,17) + TIME(23,58,21)</f>
        <v>40438.998854166668</v>
      </c>
      <c r="C557">
        <v>80</v>
      </c>
      <c r="D557">
        <v>79.938987732000001</v>
      </c>
      <c r="E557">
        <v>50</v>
      </c>
      <c r="F557">
        <v>21.832324981999999</v>
      </c>
      <c r="G557">
        <v>1345.7608643000001</v>
      </c>
      <c r="H557">
        <v>1342.0526123</v>
      </c>
      <c r="I557">
        <v>1312.5881348</v>
      </c>
      <c r="J557">
        <v>1303.5864257999999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140.85884899999999</v>
      </c>
      <c r="B558" s="1">
        <f>DATE(2010,9,18) + TIME(20,36,44)</f>
        <v>40439.858842592592</v>
      </c>
      <c r="C558">
        <v>80</v>
      </c>
      <c r="D558">
        <v>79.939033507999994</v>
      </c>
      <c r="E558">
        <v>50</v>
      </c>
      <c r="F558">
        <v>22.298732758</v>
      </c>
      <c r="G558">
        <v>1345.7481689000001</v>
      </c>
      <c r="H558">
        <v>1342.041626</v>
      </c>
      <c r="I558">
        <v>1312.6091309000001</v>
      </c>
      <c r="J558">
        <v>1303.6347656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141.72636800000001</v>
      </c>
      <c r="B559" s="1">
        <f>DATE(2010,9,19) + TIME(17,25,58)</f>
        <v>40440.726365740738</v>
      </c>
      <c r="C559">
        <v>80</v>
      </c>
      <c r="D559">
        <v>79.939086914000001</v>
      </c>
      <c r="E559">
        <v>50</v>
      </c>
      <c r="F559">
        <v>22.785284042000001</v>
      </c>
      <c r="G559">
        <v>1345.7352295000001</v>
      </c>
      <c r="H559">
        <v>1342.0303954999999</v>
      </c>
      <c r="I559">
        <v>1312.6303711</v>
      </c>
      <c r="J559">
        <v>1303.6853027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142.60985400000001</v>
      </c>
      <c r="B560" s="1">
        <f>DATE(2010,9,20) + TIME(14,38,11)</f>
        <v>40441.609849537039</v>
      </c>
      <c r="C560">
        <v>80</v>
      </c>
      <c r="D560">
        <v>79.939140320000007</v>
      </c>
      <c r="E560">
        <v>50</v>
      </c>
      <c r="F560">
        <v>23.290205002</v>
      </c>
      <c r="G560">
        <v>1345.7222899999999</v>
      </c>
      <c r="H560">
        <v>1342.0191649999999</v>
      </c>
      <c r="I560">
        <v>1312.6513672000001</v>
      </c>
      <c r="J560">
        <v>1303.7375488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143.520115</v>
      </c>
      <c r="B561" s="1">
        <f>DATE(2010,9,21) + TIME(12,28,57)</f>
        <v>40442.520104166666</v>
      </c>
      <c r="C561">
        <v>80</v>
      </c>
      <c r="D561">
        <v>79.939201354999994</v>
      </c>
      <c r="E561">
        <v>50</v>
      </c>
      <c r="F561">
        <v>23.813093185</v>
      </c>
      <c r="G561">
        <v>1345.7091064000001</v>
      </c>
      <c r="H561">
        <v>1342.0079346</v>
      </c>
      <c r="I561">
        <v>1312.6724853999999</v>
      </c>
      <c r="J561">
        <v>1303.7917480000001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143.978846</v>
      </c>
      <c r="B562" s="1">
        <f>DATE(2010,9,21) + TIME(23,29,32)</f>
        <v>40442.978842592594</v>
      </c>
      <c r="C562">
        <v>80</v>
      </c>
      <c r="D562">
        <v>79.939216614000003</v>
      </c>
      <c r="E562">
        <v>50</v>
      </c>
      <c r="F562">
        <v>24.195306777999999</v>
      </c>
      <c r="G562">
        <v>1345.6956786999999</v>
      </c>
      <c r="H562">
        <v>1341.9963379000001</v>
      </c>
      <c r="I562">
        <v>1312.7084961</v>
      </c>
      <c r="J562">
        <v>1303.8422852000001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144.86895899999999</v>
      </c>
      <c r="B563" s="1">
        <f>DATE(2010,9,22) + TIME(20,51,18)</f>
        <v>40443.868958333333</v>
      </c>
      <c r="C563">
        <v>80</v>
      </c>
      <c r="D563">
        <v>79.939277649000005</v>
      </c>
      <c r="E563">
        <v>50</v>
      </c>
      <c r="F563">
        <v>24.657093048</v>
      </c>
      <c r="G563">
        <v>1345.6889647999999</v>
      </c>
      <c r="H563">
        <v>1341.9904785000001</v>
      </c>
      <c r="I563">
        <v>1312.7034911999999</v>
      </c>
      <c r="J563">
        <v>1303.8796387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145.77033299999999</v>
      </c>
      <c r="B564" s="1">
        <f>DATE(2010,9,23) + TIME(18,29,16)</f>
        <v>40444.770324074074</v>
      </c>
      <c r="C564">
        <v>80</v>
      </c>
      <c r="D564">
        <v>79.939331054999997</v>
      </c>
      <c r="E564">
        <v>50</v>
      </c>
      <c r="F564">
        <v>25.156009674</v>
      </c>
      <c r="G564">
        <v>1345.6760254000001</v>
      </c>
      <c r="H564">
        <v>1341.9792480000001</v>
      </c>
      <c r="I564">
        <v>1312.7274170000001</v>
      </c>
      <c r="J564">
        <v>1303.9348144999999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146.675162</v>
      </c>
      <c r="B565" s="1">
        <f>DATE(2010,9,24) + TIME(16,12,14)</f>
        <v>40445.675162037034</v>
      </c>
      <c r="C565">
        <v>80</v>
      </c>
      <c r="D565">
        <v>79.939384459999999</v>
      </c>
      <c r="E565">
        <v>50</v>
      </c>
      <c r="F565">
        <v>25.668081283999999</v>
      </c>
      <c r="G565">
        <v>1345.6630858999999</v>
      </c>
      <c r="H565">
        <v>1341.9680175999999</v>
      </c>
      <c r="I565">
        <v>1312.7512207</v>
      </c>
      <c r="J565">
        <v>1303.9919434000001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147.58678499999999</v>
      </c>
      <c r="B566" s="1">
        <f>DATE(2010,9,25) + TIME(14,4,58)</f>
        <v>40446.586782407408</v>
      </c>
      <c r="C566">
        <v>80</v>
      </c>
      <c r="D566">
        <v>79.939445496000005</v>
      </c>
      <c r="E566">
        <v>50</v>
      </c>
      <c r="F566">
        <v>26.18230629</v>
      </c>
      <c r="G566">
        <v>1345.6501464999999</v>
      </c>
      <c r="H566">
        <v>1341.9567870999999</v>
      </c>
      <c r="I566">
        <v>1312.7751464999999</v>
      </c>
      <c r="J566">
        <v>1304.0501709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148.508849</v>
      </c>
      <c r="B567" s="1">
        <f>DATE(2010,9,26) + TIME(12,12,44)</f>
        <v>40447.508842592593</v>
      </c>
      <c r="C567">
        <v>80</v>
      </c>
      <c r="D567">
        <v>79.939498900999993</v>
      </c>
      <c r="E567">
        <v>50</v>
      </c>
      <c r="F567">
        <v>26.695320128999999</v>
      </c>
      <c r="G567">
        <v>1345.637207</v>
      </c>
      <c r="H567">
        <v>1341.9455565999999</v>
      </c>
      <c r="I567">
        <v>1312.7998047000001</v>
      </c>
      <c r="J567">
        <v>1304.1096190999999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149.44525300000001</v>
      </c>
      <c r="B568" s="1">
        <f>DATE(2010,9,27) + TIME(10,41,9)</f>
        <v>40448.445243055554</v>
      </c>
      <c r="C568">
        <v>80</v>
      </c>
      <c r="D568">
        <v>79.939552307</v>
      </c>
      <c r="E568">
        <v>50</v>
      </c>
      <c r="F568">
        <v>27.206941605000001</v>
      </c>
      <c r="G568">
        <v>1345.6241454999999</v>
      </c>
      <c r="H568">
        <v>1341.9343262</v>
      </c>
      <c r="I568">
        <v>1312.8251952999999</v>
      </c>
      <c r="J568">
        <v>1304.1701660000001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150.39279300000001</v>
      </c>
      <c r="B569" s="1">
        <f>DATE(2010,9,28) + TIME(9,25,37)</f>
        <v>40449.392789351848</v>
      </c>
      <c r="C569">
        <v>80</v>
      </c>
      <c r="D569">
        <v>79.939613342000001</v>
      </c>
      <c r="E569">
        <v>50</v>
      </c>
      <c r="F569">
        <v>27.716848373000001</v>
      </c>
      <c r="G569">
        <v>1345.6110839999999</v>
      </c>
      <c r="H569">
        <v>1341.9230957</v>
      </c>
      <c r="I569">
        <v>1312.8516846</v>
      </c>
      <c r="J569">
        <v>1304.2321777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151.34503699999999</v>
      </c>
      <c r="B570" s="1">
        <f>DATE(2010,9,29) + TIME(8,16,51)</f>
        <v>40450.345034722224</v>
      </c>
      <c r="C570">
        <v>80</v>
      </c>
      <c r="D570">
        <v>79.939674377000003</v>
      </c>
      <c r="E570">
        <v>50</v>
      </c>
      <c r="F570">
        <v>28.223239898999999</v>
      </c>
      <c r="G570">
        <v>1345.5980225000001</v>
      </c>
      <c r="H570">
        <v>1341.9117432</v>
      </c>
      <c r="I570">
        <v>1312.8793945</v>
      </c>
      <c r="J570">
        <v>1304.2951660000001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152.307275</v>
      </c>
      <c r="B571" s="1">
        <f>DATE(2010,9,30) + TIME(7,22,28)</f>
        <v>40451.307268518518</v>
      </c>
      <c r="C571">
        <v>80</v>
      </c>
      <c r="D571">
        <v>79.939727782999995</v>
      </c>
      <c r="E571">
        <v>50</v>
      </c>
      <c r="F571">
        <v>28.725725174000001</v>
      </c>
      <c r="G571">
        <v>1345.5849608999999</v>
      </c>
      <c r="H571">
        <v>1341.9003906</v>
      </c>
      <c r="I571">
        <v>1312.9075928</v>
      </c>
      <c r="J571">
        <v>1304.3588867000001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153</v>
      </c>
      <c r="B572" s="1">
        <f>DATE(2010,10,1) + TIME(0,0,0)</f>
        <v>40452</v>
      </c>
      <c r="C572">
        <v>80</v>
      </c>
      <c r="D572">
        <v>79.939765929999993</v>
      </c>
      <c r="E572">
        <v>50</v>
      </c>
      <c r="F572">
        <v>29.160179138</v>
      </c>
      <c r="G572">
        <v>1345.5718993999999</v>
      </c>
      <c r="H572">
        <v>1341.8891602000001</v>
      </c>
      <c r="I572">
        <v>1312.9414062000001</v>
      </c>
      <c r="J572">
        <v>1304.4202881000001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153.97788700000001</v>
      </c>
      <c r="B573" s="1">
        <f>DATE(2010,10,1) + TIME(23,28,9)</f>
        <v>40452.977881944447</v>
      </c>
      <c r="C573">
        <v>80</v>
      </c>
      <c r="D573">
        <v>79.939826964999995</v>
      </c>
      <c r="E573">
        <v>50</v>
      </c>
      <c r="F573">
        <v>29.606653214000001</v>
      </c>
      <c r="G573">
        <v>1345.5626221</v>
      </c>
      <c r="H573">
        <v>1341.8809814000001</v>
      </c>
      <c r="I573">
        <v>1312.9561768000001</v>
      </c>
      <c r="J573">
        <v>1304.4729004000001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155.00146100000001</v>
      </c>
      <c r="B574" s="1">
        <f>DATE(2010,10,3) + TIME(0,2,6)</f>
        <v>40454.001458333332</v>
      </c>
      <c r="C574">
        <v>80</v>
      </c>
      <c r="D574">
        <v>79.939895629999995</v>
      </c>
      <c r="E574">
        <v>50</v>
      </c>
      <c r="F574">
        <v>30.086908340000001</v>
      </c>
      <c r="G574">
        <v>1345.5495605000001</v>
      </c>
      <c r="H574">
        <v>1341.869751</v>
      </c>
      <c r="I574">
        <v>1312.9870605000001</v>
      </c>
      <c r="J574">
        <v>1304.5377197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155.52082300000001</v>
      </c>
      <c r="B575" s="1">
        <f>DATE(2010,10,3) + TIME(12,29,59)</f>
        <v>40454.520821759259</v>
      </c>
      <c r="C575">
        <v>80</v>
      </c>
      <c r="D575">
        <v>79.939918517999999</v>
      </c>
      <c r="E575">
        <v>50</v>
      </c>
      <c r="F575">
        <v>30.454832076999999</v>
      </c>
      <c r="G575">
        <v>1345.5361327999999</v>
      </c>
      <c r="H575">
        <v>1341.8580322</v>
      </c>
      <c r="I575">
        <v>1313.0290527</v>
      </c>
      <c r="J575">
        <v>1304.5991211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156.04018400000001</v>
      </c>
      <c r="B576" s="1">
        <f>DATE(2010,10,4) + TIME(0,57,51)</f>
        <v>40455.040173611109</v>
      </c>
      <c r="C576">
        <v>80</v>
      </c>
      <c r="D576">
        <v>79.939949036000002</v>
      </c>
      <c r="E576">
        <v>50</v>
      </c>
      <c r="F576">
        <v>30.765737533999999</v>
      </c>
      <c r="G576">
        <v>1345.5291748</v>
      </c>
      <c r="H576">
        <v>1341.8521728999999</v>
      </c>
      <c r="I576">
        <v>1313.0419922000001</v>
      </c>
      <c r="J576">
        <v>1304.6386719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156.55954500000001</v>
      </c>
      <c r="B577" s="1">
        <f>DATE(2010,10,4) + TIME(13,25,44)</f>
        <v>40455.559537037036</v>
      </c>
      <c r="C577">
        <v>80</v>
      </c>
      <c r="D577">
        <v>79.939979553000001</v>
      </c>
      <c r="E577">
        <v>50</v>
      </c>
      <c r="F577">
        <v>31.045759200999999</v>
      </c>
      <c r="G577">
        <v>1345.5224608999999</v>
      </c>
      <c r="H577">
        <v>1341.8463135</v>
      </c>
      <c r="I577">
        <v>1313.0568848</v>
      </c>
      <c r="J577">
        <v>1304.6762695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157.07890599999999</v>
      </c>
      <c r="B578" s="1">
        <f>DATE(2010,10,5) + TIME(1,53,37)</f>
        <v>40456.078900462962</v>
      </c>
      <c r="C578">
        <v>80</v>
      </c>
      <c r="D578">
        <v>79.940010071000003</v>
      </c>
      <c r="E578">
        <v>50</v>
      </c>
      <c r="F578">
        <v>31.308492660999999</v>
      </c>
      <c r="G578">
        <v>1345.5157471</v>
      </c>
      <c r="H578">
        <v>1341.8404541</v>
      </c>
      <c r="I578">
        <v>1313.0726318</v>
      </c>
      <c r="J578">
        <v>1304.7126464999999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157.59816000000001</v>
      </c>
      <c r="B579" s="1">
        <f>DATE(2010,10,5) + TIME(14,21,21)</f>
        <v>40456.59815972222</v>
      </c>
      <c r="C579">
        <v>80</v>
      </c>
      <c r="D579">
        <v>79.940040588000002</v>
      </c>
      <c r="E579">
        <v>50</v>
      </c>
      <c r="F579">
        <v>31.560964584000001</v>
      </c>
      <c r="G579">
        <v>1345.5090332</v>
      </c>
      <c r="H579">
        <v>1341.8347168</v>
      </c>
      <c r="I579">
        <v>1313.0888672000001</v>
      </c>
      <c r="J579">
        <v>1304.7482910000001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158.11693</v>
      </c>
      <c r="B580" s="1">
        <f>DATE(2010,10,6) + TIME(2,48,22)</f>
        <v>40457.1169212963</v>
      </c>
      <c r="C580">
        <v>80</v>
      </c>
      <c r="D580">
        <v>79.940071106000005</v>
      </c>
      <c r="E580">
        <v>50</v>
      </c>
      <c r="F580">
        <v>31.806716918999999</v>
      </c>
      <c r="G580">
        <v>1345.5024414</v>
      </c>
      <c r="H580">
        <v>1341.8289795000001</v>
      </c>
      <c r="I580">
        <v>1313.1054687999999</v>
      </c>
      <c r="J580">
        <v>1304.7835693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158.63563099999999</v>
      </c>
      <c r="B581" s="1">
        <f>DATE(2010,10,6) + TIME(15,15,18)</f>
        <v>40457.635625000003</v>
      </c>
      <c r="C581">
        <v>80</v>
      </c>
      <c r="D581">
        <v>79.940101623999993</v>
      </c>
      <c r="E581">
        <v>50</v>
      </c>
      <c r="F581">
        <v>32.047691344999997</v>
      </c>
      <c r="G581">
        <v>1345.4958495999999</v>
      </c>
      <c r="H581">
        <v>1341.8232422000001</v>
      </c>
      <c r="I581">
        <v>1313.1223144999999</v>
      </c>
      <c r="J581">
        <v>1304.8184814000001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159.15433300000001</v>
      </c>
      <c r="B582" s="1">
        <f>DATE(2010,10,7) + TIME(3,42,14)</f>
        <v>40458.154328703706</v>
      </c>
      <c r="C582">
        <v>80</v>
      </c>
      <c r="D582">
        <v>79.940132141000007</v>
      </c>
      <c r="E582">
        <v>50</v>
      </c>
      <c r="F582">
        <v>32.284889221</v>
      </c>
      <c r="G582">
        <v>1345.4892577999999</v>
      </c>
      <c r="H582">
        <v>1341.8175048999999</v>
      </c>
      <c r="I582">
        <v>1313.1391602000001</v>
      </c>
      <c r="J582">
        <v>1304.8532714999999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159.673034</v>
      </c>
      <c r="B583" s="1">
        <f>DATE(2010,10,7) + TIME(16,9,10)</f>
        <v>40458.673032407409</v>
      </c>
      <c r="C583">
        <v>80</v>
      </c>
      <c r="D583">
        <v>79.940162658999995</v>
      </c>
      <c r="E583">
        <v>50</v>
      </c>
      <c r="F583">
        <v>32.51883316</v>
      </c>
      <c r="G583">
        <v>1345.4827881000001</v>
      </c>
      <c r="H583">
        <v>1341.8118896000001</v>
      </c>
      <c r="I583">
        <v>1313.1561279</v>
      </c>
      <c r="J583">
        <v>1304.8878173999999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160.19173599999999</v>
      </c>
      <c r="B584" s="1">
        <f>DATE(2010,10,8) + TIME(4,36,5)</f>
        <v>40459.191724537035</v>
      </c>
      <c r="C584">
        <v>80</v>
      </c>
      <c r="D584">
        <v>79.940200806000007</v>
      </c>
      <c r="E584">
        <v>50</v>
      </c>
      <c r="F584">
        <v>32.749801636000001</v>
      </c>
      <c r="G584">
        <v>1345.4763184000001</v>
      </c>
      <c r="H584">
        <v>1341.8062743999999</v>
      </c>
      <c r="I584">
        <v>1313.1732178</v>
      </c>
      <c r="J584">
        <v>1304.9222411999999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160.71043800000001</v>
      </c>
      <c r="B585" s="1">
        <f>DATE(2010,10,8) + TIME(17,3,1)</f>
        <v>40459.710428240738</v>
      </c>
      <c r="C585">
        <v>80</v>
      </c>
      <c r="D585">
        <v>79.940231323000006</v>
      </c>
      <c r="E585">
        <v>50</v>
      </c>
      <c r="F585">
        <v>32.977954865000001</v>
      </c>
      <c r="G585">
        <v>1345.4698486</v>
      </c>
      <c r="H585">
        <v>1341.8007812000001</v>
      </c>
      <c r="I585">
        <v>1313.1904297000001</v>
      </c>
      <c r="J585">
        <v>1304.9566649999999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161.74784099999999</v>
      </c>
      <c r="B586" s="1">
        <f>DATE(2010,10,9) + TIME(17,56,53)</f>
        <v>40460.747835648152</v>
      </c>
      <c r="C586">
        <v>80</v>
      </c>
      <c r="D586">
        <v>79.940299988000007</v>
      </c>
      <c r="E586">
        <v>50</v>
      </c>
      <c r="F586">
        <v>33.28055191</v>
      </c>
      <c r="G586">
        <v>1345.463501</v>
      </c>
      <c r="H586">
        <v>1341.7951660000001</v>
      </c>
      <c r="I586">
        <v>1313.2026367000001</v>
      </c>
      <c r="J586">
        <v>1304.9954834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162.78680900000001</v>
      </c>
      <c r="B587" s="1">
        <f>DATE(2010,10,10) + TIME(18,53,0)</f>
        <v>40461.786805555559</v>
      </c>
      <c r="C587">
        <v>80</v>
      </c>
      <c r="D587">
        <v>79.940368652000004</v>
      </c>
      <c r="E587">
        <v>50</v>
      </c>
      <c r="F587">
        <v>33.673728943</v>
      </c>
      <c r="G587">
        <v>1345.4508057</v>
      </c>
      <c r="H587">
        <v>1341.7843018000001</v>
      </c>
      <c r="I587">
        <v>1313.2392577999999</v>
      </c>
      <c r="J587">
        <v>1305.0581055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163.845663</v>
      </c>
      <c r="B588" s="1">
        <f>DATE(2010,10,11) + TIME(20,17,45)</f>
        <v>40462.845659722225</v>
      </c>
      <c r="C588">
        <v>80</v>
      </c>
      <c r="D588">
        <v>79.940437317000004</v>
      </c>
      <c r="E588">
        <v>50</v>
      </c>
      <c r="F588">
        <v>34.094482421999999</v>
      </c>
      <c r="G588">
        <v>1345.4382324000001</v>
      </c>
      <c r="H588">
        <v>1341.7734375</v>
      </c>
      <c r="I588">
        <v>1313.2747803</v>
      </c>
      <c r="J588">
        <v>1305.1242675999999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164.92561799999999</v>
      </c>
      <c r="B589" s="1">
        <f>DATE(2010,10,12) + TIME(22,12,53)</f>
        <v>40463.925613425927</v>
      </c>
      <c r="C589">
        <v>80</v>
      </c>
      <c r="D589">
        <v>79.940505981000001</v>
      </c>
      <c r="E589">
        <v>50</v>
      </c>
      <c r="F589">
        <v>34.523937224999997</v>
      </c>
      <c r="G589">
        <v>1345.4255370999999</v>
      </c>
      <c r="H589">
        <v>1341.7624512</v>
      </c>
      <c r="I589">
        <v>1313.3107910000001</v>
      </c>
      <c r="J589">
        <v>1305.1923827999999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166.02331799999999</v>
      </c>
      <c r="B590" s="1">
        <f>DATE(2010,10,14) + TIME(0,33,34)</f>
        <v>40465.023310185185</v>
      </c>
      <c r="C590">
        <v>80</v>
      </c>
      <c r="D590">
        <v>79.940567017000006</v>
      </c>
      <c r="E590">
        <v>50</v>
      </c>
      <c r="F590">
        <v>34.955257416000002</v>
      </c>
      <c r="G590">
        <v>1345.4127197</v>
      </c>
      <c r="H590">
        <v>1341.7513428</v>
      </c>
      <c r="I590">
        <v>1313.3476562000001</v>
      </c>
      <c r="J590">
        <v>1305.2619629000001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167.13966199999999</v>
      </c>
      <c r="B591" s="1">
        <f>DATE(2010,10,15) + TIME(3,21,6)</f>
        <v>40466.139652777776</v>
      </c>
      <c r="C591">
        <v>80</v>
      </c>
      <c r="D591">
        <v>79.940643311000002</v>
      </c>
      <c r="E591">
        <v>50</v>
      </c>
      <c r="F591">
        <v>35.385704040999997</v>
      </c>
      <c r="G591">
        <v>1345.3999022999999</v>
      </c>
      <c r="H591">
        <v>1341.7402344</v>
      </c>
      <c r="I591">
        <v>1313.3852539</v>
      </c>
      <c r="J591">
        <v>1305.3325195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167.70350099999999</v>
      </c>
      <c r="B592" s="1">
        <f>DATE(2010,10,15) + TIME(16,53,2)</f>
        <v>40466.70349537037</v>
      </c>
      <c r="C592">
        <v>80</v>
      </c>
      <c r="D592">
        <v>79.940666199000006</v>
      </c>
      <c r="E592">
        <v>50</v>
      </c>
      <c r="F592">
        <v>35.710395812999998</v>
      </c>
      <c r="G592">
        <v>1345.3869629000001</v>
      </c>
      <c r="H592">
        <v>1341.729126</v>
      </c>
      <c r="I592">
        <v>1313.4296875</v>
      </c>
      <c r="J592">
        <v>1305.3973389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168.26734099999999</v>
      </c>
      <c r="B593" s="1">
        <f>DATE(2010,10,16) + TIME(6,24,58)</f>
        <v>40467.267337962963</v>
      </c>
      <c r="C593">
        <v>80</v>
      </c>
      <c r="D593">
        <v>79.940696716000005</v>
      </c>
      <c r="E593">
        <v>50</v>
      </c>
      <c r="F593">
        <v>35.975460052000003</v>
      </c>
      <c r="G593">
        <v>1345.3804932</v>
      </c>
      <c r="H593">
        <v>1341.7235106999999</v>
      </c>
      <c r="I593">
        <v>1313.4471435999999</v>
      </c>
      <c r="J593">
        <v>1305.4387207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168.83117999999999</v>
      </c>
      <c r="B594" s="1">
        <f>DATE(2010,10,16) + TIME(19,56,53)</f>
        <v>40467.83116898148</v>
      </c>
      <c r="C594">
        <v>80</v>
      </c>
      <c r="D594">
        <v>79.940727233999993</v>
      </c>
      <c r="E594">
        <v>50</v>
      </c>
      <c r="F594">
        <v>36.210571289000001</v>
      </c>
      <c r="G594">
        <v>1345.3740233999999</v>
      </c>
      <c r="H594">
        <v>1341.7178954999999</v>
      </c>
      <c r="I594">
        <v>1313.4658202999999</v>
      </c>
      <c r="J594">
        <v>1305.4774170000001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169.39501999999999</v>
      </c>
      <c r="B595" s="1">
        <f>DATE(2010,10,17) + TIME(9,28,49)</f>
        <v>40468.395011574074</v>
      </c>
      <c r="C595">
        <v>80</v>
      </c>
      <c r="D595">
        <v>79.940765381000006</v>
      </c>
      <c r="E595">
        <v>50</v>
      </c>
      <c r="F595">
        <v>36.430038451999998</v>
      </c>
      <c r="G595">
        <v>1345.3676757999999</v>
      </c>
      <c r="H595">
        <v>1341.7124022999999</v>
      </c>
      <c r="I595">
        <v>1313.4849853999999</v>
      </c>
      <c r="J595">
        <v>1305.5146483999999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169.95885899999999</v>
      </c>
      <c r="B596" s="1">
        <f>DATE(2010,10,17) + TIME(23,0,45)</f>
        <v>40468.958854166667</v>
      </c>
      <c r="C596">
        <v>80</v>
      </c>
      <c r="D596">
        <v>79.940795898000005</v>
      </c>
      <c r="E596">
        <v>50</v>
      </c>
      <c r="F596">
        <v>36.640777587999999</v>
      </c>
      <c r="G596">
        <v>1345.3613281</v>
      </c>
      <c r="H596">
        <v>1341.7069091999999</v>
      </c>
      <c r="I596">
        <v>1313.5043945</v>
      </c>
      <c r="J596">
        <v>1305.5510254000001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170.52249800000001</v>
      </c>
      <c r="B597" s="1">
        <f>DATE(2010,10,18) + TIME(12,32,23)</f>
        <v>40469.522488425922</v>
      </c>
      <c r="C597">
        <v>80</v>
      </c>
      <c r="D597">
        <v>79.940834045000003</v>
      </c>
      <c r="E597">
        <v>50</v>
      </c>
      <c r="F597">
        <v>36.846084595000001</v>
      </c>
      <c r="G597">
        <v>1345.3549805</v>
      </c>
      <c r="H597">
        <v>1341.7015381000001</v>
      </c>
      <c r="I597">
        <v>1313.5239257999999</v>
      </c>
      <c r="J597">
        <v>1305.5870361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171.086029</v>
      </c>
      <c r="B598" s="1">
        <f>DATE(2010,10,19) + TIME(2,3,52)</f>
        <v>40470.086018518516</v>
      </c>
      <c r="C598">
        <v>80</v>
      </c>
      <c r="D598">
        <v>79.940864563000005</v>
      </c>
      <c r="E598">
        <v>50</v>
      </c>
      <c r="F598">
        <v>37.047584534000002</v>
      </c>
      <c r="G598">
        <v>1345.3487548999999</v>
      </c>
      <c r="H598">
        <v>1341.6960449000001</v>
      </c>
      <c r="I598">
        <v>1313.543457</v>
      </c>
      <c r="J598">
        <v>1305.6225586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171.64956000000001</v>
      </c>
      <c r="B599" s="1">
        <f>DATE(2010,10,19) + TIME(15,35,22)</f>
        <v>40470.649560185186</v>
      </c>
      <c r="C599">
        <v>80</v>
      </c>
      <c r="D599">
        <v>79.940902710000003</v>
      </c>
      <c r="E599">
        <v>50</v>
      </c>
      <c r="F599">
        <v>37.24609375</v>
      </c>
      <c r="G599">
        <v>1345.3425293</v>
      </c>
      <c r="H599">
        <v>1341.6906738</v>
      </c>
      <c r="I599">
        <v>1313.5631103999999</v>
      </c>
      <c r="J599">
        <v>1305.6579589999999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172.21309199999999</v>
      </c>
      <c r="B600" s="1">
        <f>DATE(2010,10,20) + TIME(5,6,51)</f>
        <v>40471.213090277779</v>
      </c>
      <c r="C600">
        <v>80</v>
      </c>
      <c r="D600">
        <v>79.940933228000006</v>
      </c>
      <c r="E600">
        <v>50</v>
      </c>
      <c r="F600">
        <v>37.442016602000002</v>
      </c>
      <c r="G600">
        <v>1345.3363036999999</v>
      </c>
      <c r="H600">
        <v>1341.6854248</v>
      </c>
      <c r="I600">
        <v>1313.5826416</v>
      </c>
      <c r="J600">
        <v>1305.6931152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172.776623</v>
      </c>
      <c r="B601" s="1">
        <f>DATE(2010,10,20) + TIME(18,38,20)</f>
        <v>40471.776620370372</v>
      </c>
      <c r="C601">
        <v>80</v>
      </c>
      <c r="D601">
        <v>79.940971375000004</v>
      </c>
      <c r="E601">
        <v>50</v>
      </c>
      <c r="F601">
        <v>37.635559082</v>
      </c>
      <c r="G601">
        <v>1345.3302002</v>
      </c>
      <c r="H601">
        <v>1341.6800536999999</v>
      </c>
      <c r="I601">
        <v>1313.6021728999999</v>
      </c>
      <c r="J601">
        <v>1305.7281493999999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173.34015400000001</v>
      </c>
      <c r="B602" s="1">
        <f>DATE(2010,10,21) + TIME(8,9,49)</f>
        <v>40472.340150462966</v>
      </c>
      <c r="C602">
        <v>80</v>
      </c>
      <c r="D602">
        <v>79.941009520999998</v>
      </c>
      <c r="E602">
        <v>50</v>
      </c>
      <c r="F602">
        <v>37.826839446999998</v>
      </c>
      <c r="G602">
        <v>1345.3240966999999</v>
      </c>
      <c r="H602">
        <v>1341.6748047000001</v>
      </c>
      <c r="I602">
        <v>1313.6218262</v>
      </c>
      <c r="J602">
        <v>1305.7629394999999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174.46721700000001</v>
      </c>
      <c r="B603" s="1">
        <f>DATE(2010,10,22) + TIME(11,12,47)</f>
        <v>40473.467210648145</v>
      </c>
      <c r="C603">
        <v>80</v>
      </c>
      <c r="D603">
        <v>79.941085814999994</v>
      </c>
      <c r="E603">
        <v>50</v>
      </c>
      <c r="F603">
        <v>38.074981688999998</v>
      </c>
      <c r="G603">
        <v>1345.3181152</v>
      </c>
      <c r="H603">
        <v>1341.6696777</v>
      </c>
      <c r="I603">
        <v>1313.6383057</v>
      </c>
      <c r="J603">
        <v>1305.8018798999999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175.59530000000001</v>
      </c>
      <c r="B604" s="1">
        <f>DATE(2010,10,23) + TIME(14,17,13)</f>
        <v>40474.595289351855</v>
      </c>
      <c r="C604">
        <v>80</v>
      </c>
      <c r="D604">
        <v>79.941154479999994</v>
      </c>
      <c r="E604">
        <v>50</v>
      </c>
      <c r="F604">
        <v>38.406776428000001</v>
      </c>
      <c r="G604">
        <v>1345.3060303</v>
      </c>
      <c r="H604">
        <v>1341.6593018000001</v>
      </c>
      <c r="I604">
        <v>1313.6778564000001</v>
      </c>
      <c r="J604">
        <v>1305.8648682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176.74472900000001</v>
      </c>
      <c r="B605" s="1">
        <f>DATE(2010,10,24) + TIME(17,52,24)</f>
        <v>40475.744722222225</v>
      </c>
      <c r="C605">
        <v>80</v>
      </c>
      <c r="D605">
        <v>79.941230774000005</v>
      </c>
      <c r="E605">
        <v>50</v>
      </c>
      <c r="F605">
        <v>38.761253357000001</v>
      </c>
      <c r="G605">
        <v>1345.2941894999999</v>
      </c>
      <c r="H605">
        <v>1341.6490478999999</v>
      </c>
      <c r="I605">
        <v>1313.7169189000001</v>
      </c>
      <c r="J605">
        <v>1305.9313964999999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177.91776100000001</v>
      </c>
      <c r="B606" s="1">
        <f>DATE(2010,10,25) + TIME(22,1,34)</f>
        <v>40476.917754629627</v>
      </c>
      <c r="C606">
        <v>80</v>
      </c>
      <c r="D606">
        <v>79.941299438000001</v>
      </c>
      <c r="E606">
        <v>50</v>
      </c>
      <c r="F606">
        <v>39.122203827</v>
      </c>
      <c r="G606">
        <v>1345.2822266000001</v>
      </c>
      <c r="H606">
        <v>1341.6386719</v>
      </c>
      <c r="I606">
        <v>1313.7565918</v>
      </c>
      <c r="J606">
        <v>1305.9997559000001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179.11003400000001</v>
      </c>
      <c r="B607" s="1">
        <f>DATE(2010,10,27) + TIME(2,38,26)</f>
        <v>40478.110023148147</v>
      </c>
      <c r="C607">
        <v>80</v>
      </c>
      <c r="D607">
        <v>79.941375731999997</v>
      </c>
      <c r="E607">
        <v>50</v>
      </c>
      <c r="F607">
        <v>39.484146117999998</v>
      </c>
      <c r="G607">
        <v>1345.2701416</v>
      </c>
      <c r="H607">
        <v>1341.6282959</v>
      </c>
      <c r="I607">
        <v>1313.7971190999999</v>
      </c>
      <c r="J607">
        <v>1306.0693358999999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180.313008</v>
      </c>
      <c r="B608" s="1">
        <f>DATE(2010,10,28) + TIME(7,30,43)</f>
        <v>40479.312997685185</v>
      </c>
      <c r="C608">
        <v>80</v>
      </c>
      <c r="D608">
        <v>79.941444396999998</v>
      </c>
      <c r="E608">
        <v>50</v>
      </c>
      <c r="F608">
        <v>39.843997954999999</v>
      </c>
      <c r="G608">
        <v>1345.2579346</v>
      </c>
      <c r="H608">
        <v>1341.6179199000001</v>
      </c>
      <c r="I608">
        <v>1313.8381348</v>
      </c>
      <c r="J608">
        <v>1306.1396483999999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181.53018299999999</v>
      </c>
      <c r="B609" s="1">
        <f>DATE(2010,10,29) + TIME(12,43,27)</f>
        <v>40480.530173611114</v>
      </c>
      <c r="C609">
        <v>80</v>
      </c>
      <c r="D609">
        <v>79.941520690999994</v>
      </c>
      <c r="E609">
        <v>50</v>
      </c>
      <c r="F609">
        <v>40.200122833000002</v>
      </c>
      <c r="G609">
        <v>1345.2458495999999</v>
      </c>
      <c r="H609">
        <v>1341.6075439000001</v>
      </c>
      <c r="I609">
        <v>1313.8795166</v>
      </c>
      <c r="J609">
        <v>1306.2100829999999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182.14255399999999</v>
      </c>
      <c r="B610" s="1">
        <f>DATE(2010,10,30) + TIME(3,25,16)</f>
        <v>40481.142546296294</v>
      </c>
      <c r="C610">
        <v>80</v>
      </c>
      <c r="D610">
        <v>79.941551208000007</v>
      </c>
      <c r="E610">
        <v>50</v>
      </c>
      <c r="F610">
        <v>40.472797393999997</v>
      </c>
      <c r="G610">
        <v>1345.2338867000001</v>
      </c>
      <c r="H610">
        <v>1341.597168</v>
      </c>
      <c r="I610">
        <v>1313.9248047000001</v>
      </c>
      <c r="J610">
        <v>1306.2747803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182.75492499999999</v>
      </c>
      <c r="B611" s="1">
        <f>DATE(2010,10,30) + TIME(18,7,5)</f>
        <v>40481.754918981482</v>
      </c>
      <c r="C611">
        <v>80</v>
      </c>
      <c r="D611">
        <v>79.941589355000005</v>
      </c>
      <c r="E611">
        <v>50</v>
      </c>
      <c r="F611">
        <v>40.689891815000003</v>
      </c>
      <c r="G611">
        <v>1345.2277832</v>
      </c>
      <c r="H611">
        <v>1341.5919189000001</v>
      </c>
      <c r="I611">
        <v>1313.9450684000001</v>
      </c>
      <c r="J611">
        <v>1306.3157959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183.37746200000001</v>
      </c>
      <c r="B612" s="1">
        <f>DATE(2010,10,31) + TIME(9,3,32)</f>
        <v>40482.377453703702</v>
      </c>
      <c r="C612">
        <v>80</v>
      </c>
      <c r="D612">
        <v>79.941619872999993</v>
      </c>
      <c r="E612">
        <v>50</v>
      </c>
      <c r="F612">
        <v>40.882347107000001</v>
      </c>
      <c r="G612">
        <v>1345.2218018000001</v>
      </c>
      <c r="H612">
        <v>1341.5867920000001</v>
      </c>
      <c r="I612">
        <v>1313.9658202999999</v>
      </c>
      <c r="J612">
        <v>1306.3538818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184</v>
      </c>
      <c r="B613" s="1">
        <f>DATE(2010,11,1) + TIME(0,0,0)</f>
        <v>40483</v>
      </c>
      <c r="C613">
        <v>80</v>
      </c>
      <c r="D613">
        <v>79.941658020000006</v>
      </c>
      <c r="E613">
        <v>50</v>
      </c>
      <c r="F613">
        <v>41.062698363999999</v>
      </c>
      <c r="G613">
        <v>1345.2158202999999</v>
      </c>
      <c r="H613">
        <v>1341.5816649999999</v>
      </c>
      <c r="I613">
        <v>1313.9870605000001</v>
      </c>
      <c r="J613">
        <v>1306.3908690999999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184.000001</v>
      </c>
      <c r="B614" s="1">
        <f>DATE(2010,11,1) + TIME(0,0,0)</f>
        <v>40483</v>
      </c>
      <c r="C614">
        <v>80</v>
      </c>
      <c r="D614">
        <v>79.941543578999998</v>
      </c>
      <c r="E614">
        <v>50</v>
      </c>
      <c r="F614">
        <v>41.062877655000001</v>
      </c>
      <c r="G614">
        <v>1340.7684326000001</v>
      </c>
      <c r="H614">
        <v>1338.5999756000001</v>
      </c>
      <c r="I614">
        <v>1322.9095459</v>
      </c>
      <c r="J614">
        <v>1315.3162841999999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184.00000399999999</v>
      </c>
      <c r="B615" s="1">
        <f>DATE(2010,11,1) + TIME(0,0,0)</f>
        <v>40483</v>
      </c>
      <c r="C615">
        <v>80</v>
      </c>
      <c r="D615">
        <v>79.941345214999998</v>
      </c>
      <c r="E615">
        <v>50</v>
      </c>
      <c r="F615">
        <v>41.063255310000002</v>
      </c>
      <c r="G615">
        <v>1339.3778076000001</v>
      </c>
      <c r="H615">
        <v>1337.2094727000001</v>
      </c>
      <c r="I615">
        <v>1325.0640868999999</v>
      </c>
      <c r="J615">
        <v>1317.9990233999999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184.000013</v>
      </c>
      <c r="B616" s="1">
        <f>DATE(2010,11,1) + TIME(0,0,1)</f>
        <v>40483.000011574077</v>
      </c>
      <c r="C616">
        <v>80</v>
      </c>
      <c r="D616">
        <v>79.941101074000002</v>
      </c>
      <c r="E616">
        <v>50</v>
      </c>
      <c r="F616">
        <v>41.063865661999998</v>
      </c>
      <c r="G616">
        <v>1337.675293</v>
      </c>
      <c r="H616">
        <v>1335.5069579999999</v>
      </c>
      <c r="I616">
        <v>1328.6634521000001</v>
      </c>
      <c r="J616">
        <v>1321.8452147999999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184.00004000000001</v>
      </c>
      <c r="B617" s="1">
        <f>DATE(2010,11,1) + TIME(0,0,3)</f>
        <v>40483.000034722223</v>
      </c>
      <c r="C617">
        <v>80</v>
      </c>
      <c r="D617">
        <v>79.940849303999997</v>
      </c>
      <c r="E617">
        <v>50</v>
      </c>
      <c r="F617">
        <v>41.064830780000001</v>
      </c>
      <c r="G617">
        <v>1335.9549560999999</v>
      </c>
      <c r="H617">
        <v>1333.7813721</v>
      </c>
      <c r="I617">
        <v>1333.1026611</v>
      </c>
      <c r="J617">
        <v>1326.2374268000001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184.00012100000001</v>
      </c>
      <c r="B618" s="1">
        <f>DATE(2010,11,1) + TIME(0,0,10)</f>
        <v>40483.000115740739</v>
      </c>
      <c r="C618">
        <v>80</v>
      </c>
      <c r="D618">
        <v>79.940582274999997</v>
      </c>
      <c r="E618">
        <v>50</v>
      </c>
      <c r="F618">
        <v>41.066699982000003</v>
      </c>
      <c r="G618">
        <v>1334.2363281</v>
      </c>
      <c r="H618">
        <v>1332.0340576000001</v>
      </c>
      <c r="I618">
        <v>1337.7089844</v>
      </c>
      <c r="J618">
        <v>1330.7780762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184.00036399999999</v>
      </c>
      <c r="B619" s="1">
        <f>DATE(2010,11,1) + TIME(0,0,31)</f>
        <v>40483.000358796293</v>
      </c>
      <c r="C619">
        <v>80</v>
      </c>
      <c r="D619">
        <v>79.940254210999996</v>
      </c>
      <c r="E619">
        <v>50</v>
      </c>
      <c r="F619">
        <v>41.071243285999998</v>
      </c>
      <c r="G619">
        <v>1332.4141846</v>
      </c>
      <c r="H619">
        <v>1330.1376952999999</v>
      </c>
      <c r="I619">
        <v>1342.2932129000001</v>
      </c>
      <c r="J619">
        <v>1335.2944336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184.001093</v>
      </c>
      <c r="B620" s="1">
        <f>DATE(2010,11,1) + TIME(0,1,34)</f>
        <v>40483.001087962963</v>
      </c>
      <c r="C620">
        <v>80</v>
      </c>
      <c r="D620">
        <v>79.939750670999999</v>
      </c>
      <c r="E620">
        <v>50</v>
      </c>
      <c r="F620">
        <v>41.083938599</v>
      </c>
      <c r="G620">
        <v>1330.3857422000001</v>
      </c>
      <c r="H620">
        <v>1328.0048827999999</v>
      </c>
      <c r="I620">
        <v>1346.7062988</v>
      </c>
      <c r="J620">
        <v>1339.5977783000001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184.00327999999999</v>
      </c>
      <c r="B621" s="1">
        <f>DATE(2010,11,1) + TIME(0,4,43)</f>
        <v>40483.003275462965</v>
      </c>
      <c r="C621">
        <v>80</v>
      </c>
      <c r="D621">
        <v>79.938789368000002</v>
      </c>
      <c r="E621">
        <v>50</v>
      </c>
      <c r="F621">
        <v>41.121448516999997</v>
      </c>
      <c r="G621">
        <v>1328.3383789</v>
      </c>
      <c r="H621">
        <v>1325.8782959</v>
      </c>
      <c r="I621">
        <v>1350.4001464999999</v>
      </c>
      <c r="J621">
        <v>1343.1586914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184.00984099999999</v>
      </c>
      <c r="B622" s="1">
        <f>DATE(2010,11,1) + TIME(0,14,10)</f>
        <v>40483.009837962964</v>
      </c>
      <c r="C622">
        <v>80</v>
      </c>
      <c r="D622">
        <v>79.936569214000002</v>
      </c>
      <c r="E622">
        <v>50</v>
      </c>
      <c r="F622">
        <v>41.232864380000002</v>
      </c>
      <c r="G622">
        <v>1326.8492432</v>
      </c>
      <c r="H622">
        <v>1324.3554687999999</v>
      </c>
      <c r="I622">
        <v>1352.5529785000001</v>
      </c>
      <c r="J622">
        <v>1345.2397461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184.02952400000001</v>
      </c>
      <c r="B623" s="1">
        <f>DATE(2010,11,1) + TIME(0,42,30)</f>
        <v>40483.029513888891</v>
      </c>
      <c r="C623">
        <v>80</v>
      </c>
      <c r="D623">
        <v>79.930534363000007</v>
      </c>
      <c r="E623">
        <v>50</v>
      </c>
      <c r="F623">
        <v>41.553642273000001</v>
      </c>
      <c r="G623">
        <v>1326.2462158000001</v>
      </c>
      <c r="H623">
        <v>1323.7434082</v>
      </c>
      <c r="I623">
        <v>1353.0522461</v>
      </c>
      <c r="J623">
        <v>1345.7945557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184.05529300000001</v>
      </c>
      <c r="B624" s="1">
        <f>DATE(2010,11,1) + TIME(1,19,37)</f>
        <v>40483.055289351854</v>
      </c>
      <c r="C624">
        <v>80</v>
      </c>
      <c r="D624">
        <v>79.922843932999996</v>
      </c>
      <c r="E624">
        <v>50</v>
      </c>
      <c r="F624">
        <v>41.951084137000002</v>
      </c>
      <c r="G624">
        <v>1326.1433105000001</v>
      </c>
      <c r="H624">
        <v>1323.6392822</v>
      </c>
      <c r="I624">
        <v>1352.9168701000001</v>
      </c>
      <c r="J624">
        <v>1345.7592772999999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184.08175600000001</v>
      </c>
      <c r="B625" s="1">
        <f>DATE(2010,11,1) + TIME(1,57,43)</f>
        <v>40483.081747685188</v>
      </c>
      <c r="C625">
        <v>80</v>
      </c>
      <c r="D625">
        <v>79.915039062000005</v>
      </c>
      <c r="E625">
        <v>50</v>
      </c>
      <c r="F625">
        <v>42.337146758999999</v>
      </c>
      <c r="G625">
        <v>1326.1270752</v>
      </c>
      <c r="H625">
        <v>1323.6226807</v>
      </c>
      <c r="I625">
        <v>1352.7307129000001</v>
      </c>
      <c r="J625">
        <v>1345.6693115</v>
      </c>
      <c r="K625">
        <v>0</v>
      </c>
      <c r="L625">
        <v>2750</v>
      </c>
      <c r="M625">
        <v>2750</v>
      </c>
      <c r="N625">
        <v>0</v>
      </c>
    </row>
    <row r="626" spans="1:14" x14ac:dyDescent="0.25">
      <c r="A626">
        <v>184.10894099999999</v>
      </c>
      <c r="B626" s="1">
        <f>DATE(2010,11,1) + TIME(2,36,52)</f>
        <v>40483.108935185184</v>
      </c>
      <c r="C626">
        <v>80</v>
      </c>
      <c r="D626">
        <v>79.907096863000007</v>
      </c>
      <c r="E626">
        <v>50</v>
      </c>
      <c r="F626">
        <v>42.711944580000001</v>
      </c>
      <c r="G626">
        <v>1326.1236572</v>
      </c>
      <c r="H626">
        <v>1323.6191406</v>
      </c>
      <c r="I626">
        <v>1352.5498047000001</v>
      </c>
      <c r="J626">
        <v>1345.5800781</v>
      </c>
      <c r="K626">
        <v>0</v>
      </c>
      <c r="L626">
        <v>2750</v>
      </c>
      <c r="M626">
        <v>2750</v>
      </c>
      <c r="N626">
        <v>0</v>
      </c>
    </row>
    <row r="627" spans="1:14" x14ac:dyDescent="0.25">
      <c r="A627">
        <v>184.136887</v>
      </c>
      <c r="B627" s="1">
        <f>DATE(2010,11,1) + TIME(3,17,7)</f>
        <v>40483.136886574073</v>
      </c>
      <c r="C627">
        <v>80</v>
      </c>
      <c r="D627">
        <v>79.899017334000007</v>
      </c>
      <c r="E627">
        <v>50</v>
      </c>
      <c r="F627">
        <v>43.075767517000003</v>
      </c>
      <c r="G627">
        <v>1326.1224365</v>
      </c>
      <c r="H627">
        <v>1323.6177978999999</v>
      </c>
      <c r="I627">
        <v>1352.3778076000001</v>
      </c>
      <c r="J627">
        <v>1345.4954834</v>
      </c>
      <c r="K627">
        <v>0</v>
      </c>
      <c r="L627">
        <v>2750</v>
      </c>
      <c r="M627">
        <v>2750</v>
      </c>
      <c r="N627">
        <v>0</v>
      </c>
    </row>
    <row r="628" spans="1:14" x14ac:dyDescent="0.25">
      <c r="A628">
        <v>184.16563400000001</v>
      </c>
      <c r="B628" s="1">
        <f>DATE(2010,11,1) + TIME(3,58,30)</f>
        <v>40483.165625000001</v>
      </c>
      <c r="C628">
        <v>80</v>
      </c>
      <c r="D628">
        <v>79.890792847</v>
      </c>
      <c r="E628">
        <v>50</v>
      </c>
      <c r="F628">
        <v>43.428825377999999</v>
      </c>
      <c r="G628">
        <v>1326.121582</v>
      </c>
      <c r="H628">
        <v>1323.6168213000001</v>
      </c>
      <c r="I628">
        <v>1352.2144774999999</v>
      </c>
      <c r="J628">
        <v>1345.4151611</v>
      </c>
      <c r="K628">
        <v>0</v>
      </c>
      <c r="L628">
        <v>2750</v>
      </c>
      <c r="M628">
        <v>2750</v>
      </c>
      <c r="N628">
        <v>0</v>
      </c>
    </row>
    <row r="629" spans="1:14" x14ac:dyDescent="0.25">
      <c r="A629">
        <v>184.19521800000001</v>
      </c>
      <c r="B629" s="1">
        <f>DATE(2010,11,1) + TIME(4,41,6)</f>
        <v>40483.195208333331</v>
      </c>
      <c r="C629">
        <v>80</v>
      </c>
      <c r="D629">
        <v>79.882408142000003</v>
      </c>
      <c r="E629">
        <v>50</v>
      </c>
      <c r="F629">
        <v>43.771236420000001</v>
      </c>
      <c r="G629">
        <v>1326.1208495999999</v>
      </c>
      <c r="H629">
        <v>1323.6158447</v>
      </c>
      <c r="I629">
        <v>1352.059082</v>
      </c>
      <c r="J629">
        <v>1345.3386230000001</v>
      </c>
      <c r="K629">
        <v>0</v>
      </c>
      <c r="L629">
        <v>2750</v>
      </c>
      <c r="M629">
        <v>2750</v>
      </c>
      <c r="N629">
        <v>0</v>
      </c>
    </row>
    <row r="630" spans="1:14" x14ac:dyDescent="0.25">
      <c r="A630">
        <v>184.22572400000001</v>
      </c>
      <c r="B630" s="1">
        <f>DATE(2010,11,1) + TIME(5,25,2)</f>
        <v>40483.225717592592</v>
      </c>
      <c r="C630">
        <v>80</v>
      </c>
      <c r="D630">
        <v>79.873855590999995</v>
      </c>
      <c r="E630">
        <v>50</v>
      </c>
      <c r="F630">
        <v>44.103546143000003</v>
      </c>
      <c r="G630">
        <v>1326.1199951000001</v>
      </c>
      <c r="H630">
        <v>1323.6148682</v>
      </c>
      <c r="I630">
        <v>1351.9112548999999</v>
      </c>
      <c r="J630">
        <v>1345.2657471</v>
      </c>
      <c r="K630">
        <v>0</v>
      </c>
      <c r="L630">
        <v>2750</v>
      </c>
      <c r="M630">
        <v>2750</v>
      </c>
      <c r="N630">
        <v>0</v>
      </c>
    </row>
    <row r="631" spans="1:14" x14ac:dyDescent="0.25">
      <c r="A631">
        <v>184.25720799999999</v>
      </c>
      <c r="B631" s="1">
        <f>DATE(2010,11,1) + TIME(6,10,22)</f>
        <v>40483.257199074076</v>
      </c>
      <c r="C631">
        <v>80</v>
      </c>
      <c r="D631">
        <v>79.865119934000006</v>
      </c>
      <c r="E631">
        <v>50</v>
      </c>
      <c r="F631">
        <v>44.425937652999998</v>
      </c>
      <c r="G631">
        <v>1326.1191406</v>
      </c>
      <c r="H631">
        <v>1323.6138916</v>
      </c>
      <c r="I631">
        <v>1351.7706298999999</v>
      </c>
      <c r="J631">
        <v>1345.1964111</v>
      </c>
      <c r="K631">
        <v>0</v>
      </c>
      <c r="L631">
        <v>2750</v>
      </c>
      <c r="M631">
        <v>2750</v>
      </c>
      <c r="N631">
        <v>0</v>
      </c>
    </row>
    <row r="632" spans="1:14" x14ac:dyDescent="0.25">
      <c r="A632">
        <v>184.28974500000001</v>
      </c>
      <c r="B632" s="1">
        <f>DATE(2010,11,1) + TIME(6,57,13)</f>
        <v>40483.289733796293</v>
      </c>
      <c r="C632">
        <v>80</v>
      </c>
      <c r="D632">
        <v>79.856193542</v>
      </c>
      <c r="E632">
        <v>50</v>
      </c>
      <c r="F632">
        <v>44.738704681000002</v>
      </c>
      <c r="G632">
        <v>1326.1182861</v>
      </c>
      <c r="H632">
        <v>1323.612793</v>
      </c>
      <c r="I632">
        <v>1351.6367187999999</v>
      </c>
      <c r="J632">
        <v>1345.1303711</v>
      </c>
      <c r="K632">
        <v>0</v>
      </c>
      <c r="L632">
        <v>2750</v>
      </c>
      <c r="M632">
        <v>2750</v>
      </c>
      <c r="N632">
        <v>0</v>
      </c>
    </row>
    <row r="633" spans="1:14" x14ac:dyDescent="0.25">
      <c r="A633">
        <v>184.32341700000001</v>
      </c>
      <c r="B633" s="1">
        <f>DATE(2010,11,1) + TIME(7,45,43)</f>
        <v>40483.323414351849</v>
      </c>
      <c r="C633">
        <v>80</v>
      </c>
      <c r="D633">
        <v>79.847045898000005</v>
      </c>
      <c r="E633">
        <v>50</v>
      </c>
      <c r="F633">
        <v>45.042098998999997</v>
      </c>
      <c r="G633">
        <v>1326.1174315999999</v>
      </c>
      <c r="H633">
        <v>1323.6118164</v>
      </c>
      <c r="I633">
        <v>1351.5092772999999</v>
      </c>
      <c r="J633">
        <v>1345.0673827999999</v>
      </c>
      <c r="K633">
        <v>0</v>
      </c>
      <c r="L633">
        <v>2750</v>
      </c>
      <c r="M633">
        <v>2750</v>
      </c>
      <c r="N633">
        <v>0</v>
      </c>
    </row>
    <row r="634" spans="1:14" x14ac:dyDescent="0.25">
      <c r="A634">
        <v>184.35829899999999</v>
      </c>
      <c r="B634" s="1">
        <f>DATE(2010,11,1) + TIME(8,35,57)</f>
        <v>40483.358298611114</v>
      </c>
      <c r="C634">
        <v>80</v>
      </c>
      <c r="D634">
        <v>79.837677002000007</v>
      </c>
      <c r="E634">
        <v>50</v>
      </c>
      <c r="F634">
        <v>45.336219788000001</v>
      </c>
      <c r="G634">
        <v>1326.1165771000001</v>
      </c>
      <c r="H634">
        <v>1323.6107178</v>
      </c>
      <c r="I634">
        <v>1351.3880615</v>
      </c>
      <c r="J634">
        <v>1345.0075684000001</v>
      </c>
      <c r="K634">
        <v>0</v>
      </c>
      <c r="L634">
        <v>2750</v>
      </c>
      <c r="M634">
        <v>2750</v>
      </c>
      <c r="N634">
        <v>0</v>
      </c>
    </row>
    <row r="635" spans="1:14" x14ac:dyDescent="0.25">
      <c r="A635">
        <v>184.39451500000001</v>
      </c>
      <c r="B635" s="1">
        <f>DATE(2010,11,1) + TIME(9,28,6)</f>
        <v>40483.394513888888</v>
      </c>
      <c r="C635">
        <v>80</v>
      </c>
      <c r="D635">
        <v>79.828056334999999</v>
      </c>
      <c r="E635">
        <v>50</v>
      </c>
      <c r="F635">
        <v>45.621459960999999</v>
      </c>
      <c r="G635">
        <v>1326.1156006000001</v>
      </c>
      <c r="H635">
        <v>1323.6094971</v>
      </c>
      <c r="I635">
        <v>1351.2727050999999</v>
      </c>
      <c r="J635">
        <v>1344.9505615</v>
      </c>
      <c r="K635">
        <v>0</v>
      </c>
      <c r="L635">
        <v>2750</v>
      </c>
      <c r="M635">
        <v>2750</v>
      </c>
      <c r="N635">
        <v>0</v>
      </c>
    </row>
    <row r="636" spans="1:14" x14ac:dyDescent="0.25">
      <c r="A636">
        <v>184.43218200000001</v>
      </c>
      <c r="B636" s="1">
        <f>DATE(2010,11,1) + TIME(10,22,20)</f>
        <v>40483.432175925926</v>
      </c>
      <c r="C636">
        <v>80</v>
      </c>
      <c r="D636">
        <v>79.818161011000001</v>
      </c>
      <c r="E636">
        <v>50</v>
      </c>
      <c r="F636">
        <v>45.898021698000001</v>
      </c>
      <c r="G636">
        <v>1326.114624</v>
      </c>
      <c r="H636">
        <v>1323.6082764</v>
      </c>
      <c r="I636">
        <v>1351.1627197</v>
      </c>
      <c r="J636">
        <v>1344.8961182</v>
      </c>
      <c r="K636">
        <v>0</v>
      </c>
      <c r="L636">
        <v>2750</v>
      </c>
      <c r="M636">
        <v>2750</v>
      </c>
      <c r="N636">
        <v>0</v>
      </c>
    </row>
    <row r="637" spans="1:14" x14ac:dyDescent="0.25">
      <c r="A637">
        <v>184.47143399999999</v>
      </c>
      <c r="B637" s="1">
        <f>DATE(2010,11,1) + TIME(11,18,51)</f>
        <v>40483.47142361111</v>
      </c>
      <c r="C637">
        <v>80</v>
      </c>
      <c r="D637">
        <v>79.80796814</v>
      </c>
      <c r="E637">
        <v>50</v>
      </c>
      <c r="F637">
        <v>46.166076660000002</v>
      </c>
      <c r="G637">
        <v>1326.1135254000001</v>
      </c>
      <c r="H637">
        <v>1323.6070557</v>
      </c>
      <c r="I637">
        <v>1351.0578613</v>
      </c>
      <c r="J637">
        <v>1344.8442382999999</v>
      </c>
      <c r="K637">
        <v>0</v>
      </c>
      <c r="L637">
        <v>2750</v>
      </c>
      <c r="M637">
        <v>2750</v>
      </c>
      <c r="N637">
        <v>0</v>
      </c>
    </row>
    <row r="638" spans="1:14" x14ac:dyDescent="0.25">
      <c r="A638">
        <v>184.51242300000001</v>
      </c>
      <c r="B638" s="1">
        <f>DATE(2010,11,1) + TIME(12,17,53)</f>
        <v>40483.512418981481</v>
      </c>
      <c r="C638">
        <v>80</v>
      </c>
      <c r="D638">
        <v>79.797447204999997</v>
      </c>
      <c r="E638">
        <v>50</v>
      </c>
      <c r="F638">
        <v>46.425773620999998</v>
      </c>
      <c r="G638">
        <v>1326.1125488</v>
      </c>
      <c r="H638">
        <v>1323.6058350000001</v>
      </c>
      <c r="I638">
        <v>1350.9578856999999</v>
      </c>
      <c r="J638">
        <v>1344.7946777</v>
      </c>
      <c r="K638">
        <v>0</v>
      </c>
      <c r="L638">
        <v>2750</v>
      </c>
      <c r="M638">
        <v>2750</v>
      </c>
      <c r="N638">
        <v>0</v>
      </c>
    </row>
    <row r="639" spans="1:14" x14ac:dyDescent="0.25">
      <c r="A639">
        <v>184.55531199999999</v>
      </c>
      <c r="B639" s="1">
        <f>DATE(2010,11,1) + TIME(13,19,38)</f>
        <v>40483.555300925924</v>
      </c>
      <c r="C639">
        <v>80</v>
      </c>
      <c r="D639">
        <v>79.786567688000005</v>
      </c>
      <c r="E639">
        <v>50</v>
      </c>
      <c r="F639">
        <v>46.677196502999998</v>
      </c>
      <c r="G639">
        <v>1326.1114502</v>
      </c>
      <c r="H639">
        <v>1323.6043701000001</v>
      </c>
      <c r="I639">
        <v>1350.8626709</v>
      </c>
      <c r="J639">
        <v>1344.7474365</v>
      </c>
      <c r="K639">
        <v>0</v>
      </c>
      <c r="L639">
        <v>2750</v>
      </c>
      <c r="M639">
        <v>2750</v>
      </c>
      <c r="N639">
        <v>0</v>
      </c>
    </row>
    <row r="640" spans="1:14" x14ac:dyDescent="0.25">
      <c r="A640">
        <v>184.60030800000001</v>
      </c>
      <c r="B640" s="1">
        <f>DATE(2010,11,1) + TIME(14,24,26)</f>
        <v>40483.600300925929</v>
      </c>
      <c r="C640">
        <v>80</v>
      </c>
      <c r="D640">
        <v>79.775299071999996</v>
      </c>
      <c r="E640">
        <v>50</v>
      </c>
      <c r="F640">
        <v>46.920494079999997</v>
      </c>
      <c r="G640">
        <v>1326.1102295000001</v>
      </c>
      <c r="H640">
        <v>1323.6030272999999</v>
      </c>
      <c r="I640">
        <v>1350.7716064000001</v>
      </c>
      <c r="J640">
        <v>1344.7021483999999</v>
      </c>
      <c r="K640">
        <v>0</v>
      </c>
      <c r="L640">
        <v>2750</v>
      </c>
      <c r="M640">
        <v>2750</v>
      </c>
      <c r="N640">
        <v>0</v>
      </c>
    </row>
    <row r="641" spans="1:14" x14ac:dyDescent="0.25">
      <c r="A641">
        <v>184.64764199999999</v>
      </c>
      <c r="B641" s="1">
        <f>DATE(2010,11,1) + TIME(15,32,36)</f>
        <v>40483.647638888891</v>
      </c>
      <c r="C641">
        <v>80</v>
      </c>
      <c r="D641">
        <v>79.763580321999996</v>
      </c>
      <c r="E641">
        <v>50</v>
      </c>
      <c r="F641">
        <v>47.155750275000003</v>
      </c>
      <c r="G641">
        <v>1326.1090088000001</v>
      </c>
      <c r="H641">
        <v>1323.6014404</v>
      </c>
      <c r="I641">
        <v>1350.6846923999999</v>
      </c>
      <c r="J641">
        <v>1344.6588135</v>
      </c>
      <c r="K641">
        <v>0</v>
      </c>
      <c r="L641">
        <v>2750</v>
      </c>
      <c r="M641">
        <v>2750</v>
      </c>
      <c r="N641">
        <v>0</v>
      </c>
    </row>
    <row r="642" spans="1:14" x14ac:dyDescent="0.25">
      <c r="A642">
        <v>184.69758300000001</v>
      </c>
      <c r="B642" s="1">
        <f>DATE(2010,11,1) + TIME(16,44,31)</f>
        <v>40483.697581018518</v>
      </c>
      <c r="C642">
        <v>80</v>
      </c>
      <c r="D642">
        <v>79.751380920000003</v>
      </c>
      <c r="E642">
        <v>50</v>
      </c>
      <c r="F642">
        <v>47.383026123</v>
      </c>
      <c r="G642">
        <v>1326.1076660000001</v>
      </c>
      <c r="H642">
        <v>1323.5998535000001</v>
      </c>
      <c r="I642">
        <v>1350.6014404</v>
      </c>
      <c r="J642">
        <v>1344.6171875</v>
      </c>
      <c r="K642">
        <v>0</v>
      </c>
      <c r="L642">
        <v>2750</v>
      </c>
      <c r="M642">
        <v>2750</v>
      </c>
      <c r="N642">
        <v>0</v>
      </c>
    </row>
    <row r="643" spans="1:14" x14ac:dyDescent="0.25">
      <c r="A643">
        <v>184.75044800000001</v>
      </c>
      <c r="B643" s="1">
        <f>DATE(2010,11,1) + TIME(18,0,38)</f>
        <v>40483.750439814816</v>
      </c>
      <c r="C643">
        <v>80</v>
      </c>
      <c r="D643">
        <v>79.738639832000004</v>
      </c>
      <c r="E643">
        <v>50</v>
      </c>
      <c r="F643">
        <v>47.602352142000001</v>
      </c>
      <c r="G643">
        <v>1326.1063231999999</v>
      </c>
      <c r="H643">
        <v>1323.5981445</v>
      </c>
      <c r="I643">
        <v>1350.5218506000001</v>
      </c>
      <c r="J643">
        <v>1344.5771483999999</v>
      </c>
      <c r="K643">
        <v>0</v>
      </c>
      <c r="L643">
        <v>2750</v>
      </c>
      <c r="M643">
        <v>2750</v>
      </c>
      <c r="N643">
        <v>0</v>
      </c>
    </row>
    <row r="644" spans="1:14" x14ac:dyDescent="0.25">
      <c r="A644">
        <v>184.806611</v>
      </c>
      <c r="B644" s="1">
        <f>DATE(2010,11,1) + TIME(19,21,31)</f>
        <v>40483.806608796294</v>
      </c>
      <c r="C644">
        <v>80</v>
      </c>
      <c r="D644">
        <v>79.725280761999997</v>
      </c>
      <c r="E644">
        <v>50</v>
      </c>
      <c r="F644">
        <v>47.813732147000003</v>
      </c>
      <c r="G644">
        <v>1326.1048584</v>
      </c>
      <c r="H644">
        <v>1323.5964355000001</v>
      </c>
      <c r="I644">
        <v>1350.4453125</v>
      </c>
      <c r="J644">
        <v>1344.5384521000001</v>
      </c>
      <c r="K644">
        <v>0</v>
      </c>
      <c r="L644">
        <v>2750</v>
      </c>
      <c r="M644">
        <v>2750</v>
      </c>
      <c r="N644">
        <v>0</v>
      </c>
    </row>
    <row r="645" spans="1:14" x14ac:dyDescent="0.25">
      <c r="A645">
        <v>184.866523</v>
      </c>
      <c r="B645" s="1">
        <f>DATE(2010,11,1) + TIME(20,47,47)</f>
        <v>40483.866516203707</v>
      </c>
      <c r="C645">
        <v>80</v>
      </c>
      <c r="D645">
        <v>79.711235045999999</v>
      </c>
      <c r="E645">
        <v>50</v>
      </c>
      <c r="F645">
        <v>48.017143249999997</v>
      </c>
      <c r="G645">
        <v>1326.1032714999999</v>
      </c>
      <c r="H645">
        <v>1323.5944824000001</v>
      </c>
      <c r="I645">
        <v>1350.3717041</v>
      </c>
      <c r="J645">
        <v>1344.5009766000001</v>
      </c>
      <c r="K645">
        <v>0</v>
      </c>
      <c r="L645">
        <v>2750</v>
      </c>
      <c r="M645">
        <v>2750</v>
      </c>
      <c r="N645">
        <v>0</v>
      </c>
    </row>
    <row r="646" spans="1:14" x14ac:dyDescent="0.25">
      <c r="A646">
        <v>184.93072900000001</v>
      </c>
      <c r="B646" s="1">
        <f>DATE(2010,11,1) + TIME(22,20,14)</f>
        <v>40483.930717592593</v>
      </c>
      <c r="C646">
        <v>80</v>
      </c>
      <c r="D646">
        <v>79.696403502999999</v>
      </c>
      <c r="E646">
        <v>50</v>
      </c>
      <c r="F646">
        <v>48.212528229</v>
      </c>
      <c r="G646">
        <v>1326.1015625</v>
      </c>
      <c r="H646">
        <v>1323.5924072</v>
      </c>
      <c r="I646">
        <v>1350.3007812000001</v>
      </c>
      <c r="J646">
        <v>1344.4644774999999</v>
      </c>
      <c r="K646">
        <v>0</v>
      </c>
      <c r="L646">
        <v>2750</v>
      </c>
      <c r="M646">
        <v>2750</v>
      </c>
      <c r="N646">
        <v>0</v>
      </c>
    </row>
    <row r="647" spans="1:14" x14ac:dyDescent="0.25">
      <c r="A647">
        <v>184.99989600000001</v>
      </c>
      <c r="B647" s="1">
        <f>DATE(2010,11,1) + TIME(23,59,51)</f>
        <v>40483.999895833331</v>
      </c>
      <c r="C647">
        <v>80</v>
      </c>
      <c r="D647">
        <v>79.680664062000005</v>
      </c>
      <c r="E647">
        <v>50</v>
      </c>
      <c r="F647">
        <v>48.399795531999999</v>
      </c>
      <c r="G647">
        <v>1326.0998535000001</v>
      </c>
      <c r="H647">
        <v>1323.5900879000001</v>
      </c>
      <c r="I647">
        <v>1350.2321777</v>
      </c>
      <c r="J647">
        <v>1344.4288329999999</v>
      </c>
      <c r="K647">
        <v>0</v>
      </c>
      <c r="L647">
        <v>2750</v>
      </c>
      <c r="M647">
        <v>2750</v>
      </c>
      <c r="N647">
        <v>0</v>
      </c>
    </row>
    <row r="648" spans="1:14" x14ac:dyDescent="0.25">
      <c r="A648">
        <v>185.07485800000001</v>
      </c>
      <c r="B648" s="1">
        <f>DATE(2010,11,2) + TIME(1,47,47)</f>
        <v>40484.074849537035</v>
      </c>
      <c r="C648">
        <v>80</v>
      </c>
      <c r="D648">
        <v>79.663879394999995</v>
      </c>
      <c r="E648">
        <v>50</v>
      </c>
      <c r="F648">
        <v>48.578819275000001</v>
      </c>
      <c r="G648">
        <v>1326.0977783000001</v>
      </c>
      <c r="H648">
        <v>1323.5876464999999</v>
      </c>
      <c r="I648">
        <v>1350.1655272999999</v>
      </c>
      <c r="J648">
        <v>1344.3936768000001</v>
      </c>
      <c r="K648">
        <v>0</v>
      </c>
      <c r="L648">
        <v>2750</v>
      </c>
      <c r="M648">
        <v>2750</v>
      </c>
      <c r="N648">
        <v>0</v>
      </c>
    </row>
    <row r="649" spans="1:14" x14ac:dyDescent="0.25">
      <c r="A649">
        <v>185.15665899999999</v>
      </c>
      <c r="B649" s="1">
        <f>DATE(2010,11,2) + TIME(3,45,35)</f>
        <v>40484.156655092593</v>
      </c>
      <c r="C649">
        <v>80</v>
      </c>
      <c r="D649">
        <v>79.645874023000005</v>
      </c>
      <c r="E649">
        <v>50</v>
      </c>
      <c r="F649">
        <v>48.749408721999998</v>
      </c>
      <c r="G649">
        <v>1326.0957031</v>
      </c>
      <c r="H649">
        <v>1323.5850829999999</v>
      </c>
      <c r="I649">
        <v>1350.1004639</v>
      </c>
      <c r="J649">
        <v>1344.3588867000001</v>
      </c>
      <c r="K649">
        <v>0</v>
      </c>
      <c r="L649">
        <v>2750</v>
      </c>
      <c r="M649">
        <v>2750</v>
      </c>
      <c r="N649">
        <v>0</v>
      </c>
    </row>
    <row r="650" spans="1:14" x14ac:dyDescent="0.25">
      <c r="A650">
        <v>185.24664200000001</v>
      </c>
      <c r="B650" s="1">
        <f>DATE(2010,11,2) + TIME(5,55,9)</f>
        <v>40484.246631944443</v>
      </c>
      <c r="C650">
        <v>80</v>
      </c>
      <c r="D650">
        <v>79.626426696999999</v>
      </c>
      <c r="E650">
        <v>50</v>
      </c>
      <c r="F650">
        <v>48.911327362000002</v>
      </c>
      <c r="G650">
        <v>1326.0932617000001</v>
      </c>
      <c r="H650">
        <v>1323.5820312000001</v>
      </c>
      <c r="I650">
        <v>1350.0367432</v>
      </c>
      <c r="J650">
        <v>1344.3240966999999</v>
      </c>
      <c r="K650">
        <v>0</v>
      </c>
      <c r="L650">
        <v>2750</v>
      </c>
      <c r="M650">
        <v>2750</v>
      </c>
      <c r="N650">
        <v>0</v>
      </c>
    </row>
    <row r="651" spans="1:14" x14ac:dyDescent="0.25">
      <c r="A651">
        <v>185.346598</v>
      </c>
      <c r="B651" s="1">
        <f>DATE(2010,11,2) + TIME(8,19,6)</f>
        <v>40484.346597222226</v>
      </c>
      <c r="C651">
        <v>80</v>
      </c>
      <c r="D651">
        <v>79.605247497999997</v>
      </c>
      <c r="E651">
        <v>50</v>
      </c>
      <c r="F651">
        <v>49.064300537000001</v>
      </c>
      <c r="G651">
        <v>1326.0906981999999</v>
      </c>
      <c r="H651">
        <v>1323.5787353999999</v>
      </c>
      <c r="I651">
        <v>1349.9736327999999</v>
      </c>
      <c r="J651">
        <v>1344.2889404</v>
      </c>
      <c r="K651">
        <v>0</v>
      </c>
      <c r="L651">
        <v>2750</v>
      </c>
      <c r="M651">
        <v>2750</v>
      </c>
      <c r="N651">
        <v>0</v>
      </c>
    </row>
    <row r="652" spans="1:14" x14ac:dyDescent="0.25">
      <c r="A652">
        <v>185.44986499999999</v>
      </c>
      <c r="B652" s="1">
        <f>DATE(2010,11,2) + TIME(10,47,48)</f>
        <v>40484.449861111112</v>
      </c>
      <c r="C652">
        <v>80</v>
      </c>
      <c r="D652">
        <v>79.583610535000005</v>
      </c>
      <c r="E652">
        <v>50</v>
      </c>
      <c r="F652">
        <v>49.198169708000002</v>
      </c>
      <c r="G652">
        <v>1326.0876464999999</v>
      </c>
      <c r="H652">
        <v>1323.5750731999999</v>
      </c>
      <c r="I652">
        <v>1349.9167480000001</v>
      </c>
      <c r="J652">
        <v>1344.2561035000001</v>
      </c>
      <c r="K652">
        <v>0</v>
      </c>
      <c r="L652">
        <v>2750</v>
      </c>
      <c r="M652">
        <v>2750</v>
      </c>
      <c r="N652">
        <v>0</v>
      </c>
    </row>
    <row r="653" spans="1:14" x14ac:dyDescent="0.25">
      <c r="A653">
        <v>185.553718</v>
      </c>
      <c r="B653" s="1">
        <f>DATE(2010,11,2) + TIME(13,17,21)</f>
        <v>40484.553715277776</v>
      </c>
      <c r="C653">
        <v>80</v>
      </c>
      <c r="D653">
        <v>79.562034607000001</v>
      </c>
      <c r="E653">
        <v>50</v>
      </c>
      <c r="F653">
        <v>49.312175750999998</v>
      </c>
      <c r="G653">
        <v>1326.0845947</v>
      </c>
      <c r="H653">
        <v>1323.5712891000001</v>
      </c>
      <c r="I653">
        <v>1349.8651123</v>
      </c>
      <c r="J653">
        <v>1344.2255858999999</v>
      </c>
      <c r="K653">
        <v>0</v>
      </c>
      <c r="L653">
        <v>2750</v>
      </c>
      <c r="M653">
        <v>2750</v>
      </c>
      <c r="N653">
        <v>0</v>
      </c>
    </row>
    <row r="654" spans="1:14" x14ac:dyDescent="0.25">
      <c r="A654">
        <v>185.658874</v>
      </c>
      <c r="B654" s="1">
        <f>DATE(2010,11,2) + TIME(15,48,46)</f>
        <v>40484.658865740741</v>
      </c>
      <c r="C654">
        <v>80</v>
      </c>
      <c r="D654">
        <v>79.540374756000006</v>
      </c>
      <c r="E654">
        <v>50</v>
      </c>
      <c r="F654">
        <v>49.409790039000001</v>
      </c>
      <c r="G654">
        <v>1326.0812988</v>
      </c>
      <c r="H654">
        <v>1323.5672606999999</v>
      </c>
      <c r="I654">
        <v>1349.8168945</v>
      </c>
      <c r="J654">
        <v>1344.1962891000001</v>
      </c>
      <c r="K654">
        <v>0</v>
      </c>
      <c r="L654">
        <v>2750</v>
      </c>
      <c r="M654">
        <v>2750</v>
      </c>
      <c r="N654">
        <v>0</v>
      </c>
    </row>
    <row r="655" spans="1:14" x14ac:dyDescent="0.25">
      <c r="A655">
        <v>185.76581899999999</v>
      </c>
      <c r="B655" s="1">
        <f>DATE(2010,11,2) + TIME(18,22,46)</f>
        <v>40484.765810185185</v>
      </c>
      <c r="C655">
        <v>80</v>
      </c>
      <c r="D655">
        <v>79.518547057999996</v>
      </c>
      <c r="E655">
        <v>50</v>
      </c>
      <c r="F655">
        <v>49.493560791</v>
      </c>
      <c r="G655">
        <v>1326.0780029</v>
      </c>
      <c r="H655">
        <v>1323.5632324000001</v>
      </c>
      <c r="I655">
        <v>1349.7714844</v>
      </c>
      <c r="J655">
        <v>1344.1679687999999</v>
      </c>
      <c r="K655">
        <v>0</v>
      </c>
      <c r="L655">
        <v>2750</v>
      </c>
      <c r="M655">
        <v>2750</v>
      </c>
      <c r="N655">
        <v>0</v>
      </c>
    </row>
    <row r="656" spans="1:14" x14ac:dyDescent="0.25">
      <c r="A656">
        <v>185.875047</v>
      </c>
      <c r="B656" s="1">
        <f>DATE(2010,11,2) + TIME(21,0,4)</f>
        <v>40484.8750462963</v>
      </c>
      <c r="C656">
        <v>80</v>
      </c>
      <c r="D656">
        <v>79.496452332000004</v>
      </c>
      <c r="E656">
        <v>50</v>
      </c>
      <c r="F656">
        <v>49.565551757999998</v>
      </c>
      <c r="G656">
        <v>1326.0745850000001</v>
      </c>
      <c r="H656">
        <v>1323.5589600000001</v>
      </c>
      <c r="I656">
        <v>1349.7281493999999</v>
      </c>
      <c r="J656">
        <v>1344.1402588000001</v>
      </c>
      <c r="K656">
        <v>0</v>
      </c>
      <c r="L656">
        <v>2750</v>
      </c>
      <c r="M656">
        <v>2750</v>
      </c>
      <c r="N656">
        <v>0</v>
      </c>
    </row>
    <row r="657" spans="1:14" x14ac:dyDescent="0.25">
      <c r="A657">
        <v>185.987053</v>
      </c>
      <c r="B657" s="1">
        <f>DATE(2010,11,2) + TIME(23,41,21)</f>
        <v>40484.98704861111</v>
      </c>
      <c r="C657">
        <v>80</v>
      </c>
      <c r="D657">
        <v>79.474006653000004</v>
      </c>
      <c r="E657">
        <v>50</v>
      </c>
      <c r="F657">
        <v>49.627449036000002</v>
      </c>
      <c r="G657">
        <v>1326.0710449000001</v>
      </c>
      <c r="H657">
        <v>1323.5545654</v>
      </c>
      <c r="I657">
        <v>1349.6865233999999</v>
      </c>
      <c r="J657">
        <v>1344.1131591999999</v>
      </c>
      <c r="K657">
        <v>0</v>
      </c>
      <c r="L657">
        <v>2750</v>
      </c>
      <c r="M657">
        <v>2750</v>
      </c>
      <c r="N657">
        <v>0</v>
      </c>
    </row>
    <row r="658" spans="1:14" x14ac:dyDescent="0.25">
      <c r="A658">
        <v>186.10236800000001</v>
      </c>
      <c r="B658" s="1">
        <f>DATE(2010,11,3) + TIME(2,27,24)</f>
        <v>40485.102361111109</v>
      </c>
      <c r="C658">
        <v>80</v>
      </c>
      <c r="D658">
        <v>79.451118468999994</v>
      </c>
      <c r="E658">
        <v>50</v>
      </c>
      <c r="F658">
        <v>49.680660248000002</v>
      </c>
      <c r="G658">
        <v>1326.0673827999999</v>
      </c>
      <c r="H658">
        <v>1323.5500488</v>
      </c>
      <c r="I658">
        <v>1349.6462402</v>
      </c>
      <c r="J658">
        <v>1344.0863036999999</v>
      </c>
      <c r="K658">
        <v>0</v>
      </c>
      <c r="L658">
        <v>2750</v>
      </c>
      <c r="M658">
        <v>2750</v>
      </c>
      <c r="N658">
        <v>0</v>
      </c>
    </row>
    <row r="659" spans="1:14" x14ac:dyDescent="0.25">
      <c r="A659">
        <v>186.22157799999999</v>
      </c>
      <c r="B659" s="1">
        <f>DATE(2010,11,3) + TIME(5,19,4)</f>
        <v>40485.221574074072</v>
      </c>
      <c r="C659">
        <v>80</v>
      </c>
      <c r="D659">
        <v>79.427680968999994</v>
      </c>
      <c r="E659">
        <v>50</v>
      </c>
      <c r="F659">
        <v>49.726356506000002</v>
      </c>
      <c r="G659">
        <v>1326.0634766000001</v>
      </c>
      <c r="H659">
        <v>1323.5451660000001</v>
      </c>
      <c r="I659">
        <v>1349.6068115</v>
      </c>
      <c r="J659">
        <v>1344.0595702999999</v>
      </c>
      <c r="K659">
        <v>0</v>
      </c>
      <c r="L659">
        <v>2750</v>
      </c>
      <c r="M659">
        <v>2750</v>
      </c>
      <c r="N659">
        <v>0</v>
      </c>
    </row>
    <row r="660" spans="1:14" x14ac:dyDescent="0.25">
      <c r="A660">
        <v>186.34481099999999</v>
      </c>
      <c r="B660" s="1">
        <f>DATE(2010,11,3) + TIME(8,16,31)</f>
        <v>40485.34480324074</v>
      </c>
      <c r="C660">
        <v>80</v>
      </c>
      <c r="D660">
        <v>79.403686523000005</v>
      </c>
      <c r="E660">
        <v>50</v>
      </c>
      <c r="F660">
        <v>49.765399932999998</v>
      </c>
      <c r="G660">
        <v>1326.0594481999999</v>
      </c>
      <c r="H660">
        <v>1323.5401611</v>
      </c>
      <c r="I660">
        <v>1349.5682373</v>
      </c>
      <c r="J660">
        <v>1344.0329589999999</v>
      </c>
      <c r="K660">
        <v>0</v>
      </c>
      <c r="L660">
        <v>2750</v>
      </c>
      <c r="M660">
        <v>2750</v>
      </c>
      <c r="N660">
        <v>0</v>
      </c>
    </row>
    <row r="661" spans="1:14" x14ac:dyDescent="0.25">
      <c r="A661">
        <v>186.472723</v>
      </c>
      <c r="B661" s="1">
        <f>DATE(2010,11,3) + TIME(11,20,43)</f>
        <v>40485.472719907404</v>
      </c>
      <c r="C661">
        <v>80</v>
      </c>
      <c r="D661">
        <v>79.379028320000003</v>
      </c>
      <c r="E661">
        <v>50</v>
      </c>
      <c r="F661">
        <v>49.798702239999997</v>
      </c>
      <c r="G661">
        <v>1326.0551757999999</v>
      </c>
      <c r="H661">
        <v>1323.5347899999999</v>
      </c>
      <c r="I661">
        <v>1349.5302733999999</v>
      </c>
      <c r="J661">
        <v>1344.0062256000001</v>
      </c>
      <c r="K661">
        <v>0</v>
      </c>
      <c r="L661">
        <v>2750</v>
      </c>
      <c r="M661">
        <v>2750</v>
      </c>
      <c r="N661">
        <v>0</v>
      </c>
    </row>
    <row r="662" spans="1:14" x14ac:dyDescent="0.25">
      <c r="A662">
        <v>186.60602600000001</v>
      </c>
      <c r="B662" s="1">
        <f>DATE(2010,11,3) + TIME(14,32,40)</f>
        <v>40485.60601851852</v>
      </c>
      <c r="C662">
        <v>80</v>
      </c>
      <c r="D662">
        <v>79.353584290000001</v>
      </c>
      <c r="E662">
        <v>50</v>
      </c>
      <c r="F662">
        <v>49.827022552000003</v>
      </c>
      <c r="G662">
        <v>1326.0507812000001</v>
      </c>
      <c r="H662">
        <v>1323.5291748</v>
      </c>
      <c r="I662">
        <v>1349.4925536999999</v>
      </c>
      <c r="J662">
        <v>1343.9794922000001</v>
      </c>
      <c r="K662">
        <v>0</v>
      </c>
      <c r="L662">
        <v>2750</v>
      </c>
      <c r="M662">
        <v>2750</v>
      </c>
      <c r="N662">
        <v>0</v>
      </c>
    </row>
    <row r="663" spans="1:14" x14ac:dyDescent="0.25">
      <c r="A663">
        <v>186.745531</v>
      </c>
      <c r="B663" s="1">
        <f>DATE(2010,11,3) + TIME(17,53,33)</f>
        <v>40485.745520833334</v>
      </c>
      <c r="C663">
        <v>80</v>
      </c>
      <c r="D663">
        <v>79.327232361</v>
      </c>
      <c r="E663">
        <v>50</v>
      </c>
      <c r="F663">
        <v>49.851028442</v>
      </c>
      <c r="G663">
        <v>1326.0460204999999</v>
      </c>
      <c r="H663">
        <v>1323.5231934000001</v>
      </c>
      <c r="I663">
        <v>1349.4549560999999</v>
      </c>
      <c r="J663">
        <v>1343.9525146000001</v>
      </c>
      <c r="K663">
        <v>0</v>
      </c>
      <c r="L663">
        <v>2750</v>
      </c>
      <c r="M663">
        <v>2750</v>
      </c>
      <c r="N663">
        <v>0</v>
      </c>
    </row>
    <row r="664" spans="1:14" x14ac:dyDescent="0.25">
      <c r="A664">
        <v>186.892177</v>
      </c>
      <c r="B664" s="1">
        <f>DATE(2010,11,3) + TIME(21,24,44)</f>
        <v>40485.892175925925</v>
      </c>
      <c r="C664">
        <v>80</v>
      </c>
      <c r="D664">
        <v>79.299827575999998</v>
      </c>
      <c r="E664">
        <v>50</v>
      </c>
      <c r="F664">
        <v>49.871288300000003</v>
      </c>
      <c r="G664">
        <v>1326.0410156</v>
      </c>
      <c r="H664">
        <v>1323.5168457</v>
      </c>
      <c r="I664">
        <v>1349.4173584</v>
      </c>
      <c r="J664">
        <v>1343.9251709</v>
      </c>
      <c r="K664">
        <v>0</v>
      </c>
      <c r="L664">
        <v>2750</v>
      </c>
      <c r="M664">
        <v>2750</v>
      </c>
      <c r="N664">
        <v>0</v>
      </c>
    </row>
    <row r="665" spans="1:14" x14ac:dyDescent="0.25">
      <c r="A665">
        <v>187.047067</v>
      </c>
      <c r="B665" s="1">
        <f>DATE(2010,11,4) + TIME(1,7,46)</f>
        <v>40486.047060185185</v>
      </c>
      <c r="C665">
        <v>80</v>
      </c>
      <c r="D665">
        <v>79.271209717000005</v>
      </c>
      <c r="E665">
        <v>50</v>
      </c>
      <c r="F665">
        <v>49.888301849000001</v>
      </c>
      <c r="G665">
        <v>1326.0356445</v>
      </c>
      <c r="H665">
        <v>1323.5101318</v>
      </c>
      <c r="I665">
        <v>1349.3795166</v>
      </c>
      <c r="J665">
        <v>1343.8973389</v>
      </c>
      <c r="K665">
        <v>0</v>
      </c>
      <c r="L665">
        <v>2750</v>
      </c>
      <c r="M665">
        <v>2750</v>
      </c>
      <c r="N665">
        <v>0</v>
      </c>
    </row>
    <row r="666" spans="1:14" x14ac:dyDescent="0.25">
      <c r="A666">
        <v>187.211364</v>
      </c>
      <c r="B666" s="1">
        <f>DATE(2010,11,4) + TIME(5,4,21)</f>
        <v>40486.211354166669</v>
      </c>
      <c r="C666">
        <v>80</v>
      </c>
      <c r="D666">
        <v>79.241203307999996</v>
      </c>
      <c r="E666">
        <v>50</v>
      </c>
      <c r="F666">
        <v>49.902488708</v>
      </c>
      <c r="G666">
        <v>1326.0299072</v>
      </c>
      <c r="H666">
        <v>1323.5028076000001</v>
      </c>
      <c r="I666">
        <v>1349.3413086</v>
      </c>
      <c r="J666">
        <v>1343.8690185999999</v>
      </c>
      <c r="K666">
        <v>0</v>
      </c>
      <c r="L666">
        <v>2750</v>
      </c>
      <c r="M666">
        <v>2750</v>
      </c>
      <c r="N666">
        <v>0</v>
      </c>
    </row>
    <row r="667" spans="1:14" x14ac:dyDescent="0.25">
      <c r="A667">
        <v>187.38611900000001</v>
      </c>
      <c r="B667" s="1">
        <f>DATE(2010,11,4) + TIME(9,16,0)</f>
        <v>40486.386111111111</v>
      </c>
      <c r="C667">
        <v>80</v>
      </c>
      <c r="D667">
        <v>79.209671021000005</v>
      </c>
      <c r="E667">
        <v>50</v>
      </c>
      <c r="F667">
        <v>49.914211272999999</v>
      </c>
      <c r="G667">
        <v>1326.0238036999999</v>
      </c>
      <c r="H667">
        <v>1323.4949951000001</v>
      </c>
      <c r="I667">
        <v>1349.3024902</v>
      </c>
      <c r="J667">
        <v>1343.8400879000001</v>
      </c>
      <c r="K667">
        <v>0</v>
      </c>
      <c r="L667">
        <v>2750</v>
      </c>
      <c r="M667">
        <v>2750</v>
      </c>
      <c r="N667">
        <v>0</v>
      </c>
    </row>
    <row r="668" spans="1:14" x14ac:dyDescent="0.25">
      <c r="A668">
        <v>187.57260400000001</v>
      </c>
      <c r="B668" s="1">
        <f>DATE(2010,11,4) + TIME(13,44,32)</f>
        <v>40486.572592592594</v>
      </c>
      <c r="C668">
        <v>80</v>
      </c>
      <c r="D668">
        <v>79.176422118999994</v>
      </c>
      <c r="E668">
        <v>50</v>
      </c>
      <c r="F668">
        <v>49.923805237000003</v>
      </c>
      <c r="G668">
        <v>1326.0172118999999</v>
      </c>
      <c r="H668">
        <v>1323.4865723</v>
      </c>
      <c r="I668">
        <v>1349.2630615</v>
      </c>
      <c r="J668">
        <v>1343.8105469</v>
      </c>
      <c r="K668">
        <v>0</v>
      </c>
      <c r="L668">
        <v>2750</v>
      </c>
      <c r="M668">
        <v>2750</v>
      </c>
      <c r="N668">
        <v>0</v>
      </c>
    </row>
    <row r="669" spans="1:14" x14ac:dyDescent="0.25">
      <c r="A669">
        <v>187.77057400000001</v>
      </c>
      <c r="B669" s="1">
        <f>DATE(2010,11,4) + TIME(18,29,37)</f>
        <v>40486.770567129628</v>
      </c>
      <c r="C669">
        <v>80</v>
      </c>
      <c r="D669">
        <v>79.141502380000006</v>
      </c>
      <c r="E669">
        <v>50</v>
      </c>
      <c r="F669">
        <v>49.931529998999999</v>
      </c>
      <c r="G669">
        <v>1326.0100098</v>
      </c>
      <c r="H669">
        <v>1323.4775391000001</v>
      </c>
      <c r="I669">
        <v>1349.2227783000001</v>
      </c>
      <c r="J669">
        <v>1343.7801514</v>
      </c>
      <c r="K669">
        <v>0</v>
      </c>
      <c r="L669">
        <v>2750</v>
      </c>
      <c r="M669">
        <v>2750</v>
      </c>
      <c r="N669">
        <v>0</v>
      </c>
    </row>
    <row r="670" spans="1:14" x14ac:dyDescent="0.25">
      <c r="A670">
        <v>187.981776</v>
      </c>
      <c r="B670" s="1">
        <f>DATE(2010,11,4) + TIME(23,33,45)</f>
        <v>40486.981770833336</v>
      </c>
      <c r="C670">
        <v>80</v>
      </c>
      <c r="D670">
        <v>79.104682921999995</v>
      </c>
      <c r="E670">
        <v>50</v>
      </c>
      <c r="F670">
        <v>49.937694550000003</v>
      </c>
      <c r="G670">
        <v>1326.0024414</v>
      </c>
      <c r="H670">
        <v>1323.4676514</v>
      </c>
      <c r="I670">
        <v>1349.1820068</v>
      </c>
      <c r="J670">
        <v>1343.7492675999999</v>
      </c>
      <c r="K670">
        <v>0</v>
      </c>
      <c r="L670">
        <v>2750</v>
      </c>
      <c r="M670">
        <v>2750</v>
      </c>
      <c r="N670">
        <v>0</v>
      </c>
    </row>
    <row r="671" spans="1:14" x14ac:dyDescent="0.25">
      <c r="A671">
        <v>188.19713899999999</v>
      </c>
      <c r="B671" s="1">
        <f>DATE(2010,11,5) + TIME(4,43,52)</f>
        <v>40487.197129629632</v>
      </c>
      <c r="C671">
        <v>80</v>
      </c>
      <c r="D671">
        <v>79.067207335999996</v>
      </c>
      <c r="E671">
        <v>50</v>
      </c>
      <c r="F671">
        <v>49.942390441999997</v>
      </c>
      <c r="G671">
        <v>1325.9941406</v>
      </c>
      <c r="H671">
        <v>1323.4570312000001</v>
      </c>
      <c r="I671">
        <v>1349.140625</v>
      </c>
      <c r="J671">
        <v>1343.7176514</v>
      </c>
      <c r="K671">
        <v>0</v>
      </c>
      <c r="L671">
        <v>2750</v>
      </c>
      <c r="M671">
        <v>2750</v>
      </c>
      <c r="N671">
        <v>0</v>
      </c>
    </row>
    <row r="672" spans="1:14" x14ac:dyDescent="0.25">
      <c r="A672">
        <v>188.41379699999999</v>
      </c>
      <c r="B672" s="1">
        <f>DATE(2010,11,5) + TIME(9,55,52)</f>
        <v>40487.4137962963</v>
      </c>
      <c r="C672">
        <v>80</v>
      </c>
      <c r="D672">
        <v>79.029502868999998</v>
      </c>
      <c r="E672">
        <v>50</v>
      </c>
      <c r="F672">
        <v>49.945926665999998</v>
      </c>
      <c r="G672">
        <v>1325.9854736</v>
      </c>
      <c r="H672">
        <v>1323.4460449000001</v>
      </c>
      <c r="I672">
        <v>1349.1003418</v>
      </c>
      <c r="J672">
        <v>1343.6868896000001</v>
      </c>
      <c r="K672">
        <v>0</v>
      </c>
      <c r="L672">
        <v>2750</v>
      </c>
      <c r="M672">
        <v>2750</v>
      </c>
      <c r="N672">
        <v>0</v>
      </c>
    </row>
    <row r="673" spans="1:14" x14ac:dyDescent="0.25">
      <c r="A673">
        <v>188.63262800000001</v>
      </c>
      <c r="B673" s="1">
        <f>DATE(2010,11,5) + TIME(15,10,59)</f>
        <v>40487.632627314815</v>
      </c>
      <c r="C673">
        <v>80</v>
      </c>
      <c r="D673">
        <v>78.991523743000002</v>
      </c>
      <c r="E673">
        <v>50</v>
      </c>
      <c r="F673">
        <v>49.948608397999998</v>
      </c>
      <c r="G673">
        <v>1325.9768065999999</v>
      </c>
      <c r="H673">
        <v>1323.4348144999999</v>
      </c>
      <c r="I673">
        <v>1349.0614014</v>
      </c>
      <c r="J673">
        <v>1343.6571045000001</v>
      </c>
      <c r="K673">
        <v>0</v>
      </c>
      <c r="L673">
        <v>2750</v>
      </c>
      <c r="M673">
        <v>2750</v>
      </c>
      <c r="N673">
        <v>0</v>
      </c>
    </row>
    <row r="674" spans="1:14" x14ac:dyDescent="0.25">
      <c r="A674">
        <v>188.854738</v>
      </c>
      <c r="B674" s="1">
        <f>DATE(2010,11,5) + TIME(20,30,49)</f>
        <v>40487.854733796295</v>
      </c>
      <c r="C674">
        <v>80</v>
      </c>
      <c r="D674">
        <v>78.953155518000003</v>
      </c>
      <c r="E674">
        <v>50</v>
      </c>
      <c r="F674">
        <v>49.950649261000002</v>
      </c>
      <c r="G674">
        <v>1325.9677733999999</v>
      </c>
      <c r="H674">
        <v>1323.4232178</v>
      </c>
      <c r="I674">
        <v>1349.0238036999999</v>
      </c>
      <c r="J674">
        <v>1343.6282959</v>
      </c>
      <c r="K674">
        <v>0</v>
      </c>
      <c r="L674">
        <v>2750</v>
      </c>
      <c r="M674">
        <v>2750</v>
      </c>
      <c r="N674">
        <v>0</v>
      </c>
    </row>
    <row r="675" spans="1:14" x14ac:dyDescent="0.25">
      <c r="A675">
        <v>189.08122299999999</v>
      </c>
      <c r="B675" s="1">
        <f>DATE(2010,11,6) + TIME(1,56,57)</f>
        <v>40488.08121527778</v>
      </c>
      <c r="C675">
        <v>80</v>
      </c>
      <c r="D675">
        <v>78.914268493999998</v>
      </c>
      <c r="E675">
        <v>50</v>
      </c>
      <c r="F675">
        <v>49.952217101999999</v>
      </c>
      <c r="G675">
        <v>1325.9586182</v>
      </c>
      <c r="H675">
        <v>1323.4112548999999</v>
      </c>
      <c r="I675">
        <v>1348.9871826000001</v>
      </c>
      <c r="J675">
        <v>1343.6002197</v>
      </c>
      <c r="K675">
        <v>0</v>
      </c>
      <c r="L675">
        <v>2750</v>
      </c>
      <c r="M675">
        <v>2750</v>
      </c>
      <c r="N675">
        <v>0</v>
      </c>
    </row>
    <row r="676" spans="1:14" x14ac:dyDescent="0.25">
      <c r="A676">
        <v>189.31323800000001</v>
      </c>
      <c r="B676" s="1">
        <f>DATE(2010,11,6) + TIME(7,31,3)</f>
        <v>40488.31322916667</v>
      </c>
      <c r="C676">
        <v>80</v>
      </c>
      <c r="D676">
        <v>78.874740600999999</v>
      </c>
      <c r="E676">
        <v>50</v>
      </c>
      <c r="F676">
        <v>49.953426360999998</v>
      </c>
      <c r="G676">
        <v>1325.9492187999999</v>
      </c>
      <c r="H676">
        <v>1323.3989257999999</v>
      </c>
      <c r="I676">
        <v>1348.9512939000001</v>
      </c>
      <c r="J676">
        <v>1343.5727539</v>
      </c>
      <c r="K676">
        <v>0</v>
      </c>
      <c r="L676">
        <v>2750</v>
      </c>
      <c r="M676">
        <v>2750</v>
      </c>
      <c r="N676">
        <v>0</v>
      </c>
    </row>
    <row r="677" spans="1:14" x14ac:dyDescent="0.25">
      <c r="A677">
        <v>189.55195900000001</v>
      </c>
      <c r="B677" s="1">
        <f>DATE(2010,11,6) + TIME(13,14,49)</f>
        <v>40488.55195601852</v>
      </c>
      <c r="C677">
        <v>80</v>
      </c>
      <c r="D677">
        <v>78.834426879999995</v>
      </c>
      <c r="E677">
        <v>50</v>
      </c>
      <c r="F677">
        <v>49.954360962000003</v>
      </c>
      <c r="G677">
        <v>1325.9393310999999</v>
      </c>
      <c r="H677">
        <v>1323.3861084</v>
      </c>
      <c r="I677">
        <v>1348.9160156</v>
      </c>
      <c r="J677">
        <v>1343.5456543</v>
      </c>
      <c r="K677">
        <v>0</v>
      </c>
      <c r="L677">
        <v>2750</v>
      </c>
      <c r="M677">
        <v>2750</v>
      </c>
      <c r="N677">
        <v>0</v>
      </c>
    </row>
    <row r="678" spans="1:14" x14ac:dyDescent="0.25">
      <c r="A678">
        <v>189.79866100000001</v>
      </c>
      <c r="B678" s="1">
        <f>DATE(2010,11,6) + TIME(19,10,4)</f>
        <v>40488.798657407409</v>
      </c>
      <c r="C678">
        <v>80</v>
      </c>
      <c r="D678">
        <v>78.793159485000004</v>
      </c>
      <c r="E678">
        <v>50</v>
      </c>
      <c r="F678">
        <v>49.955089569000002</v>
      </c>
      <c r="G678">
        <v>1325.9291992000001</v>
      </c>
      <c r="H678">
        <v>1323.3728027</v>
      </c>
      <c r="I678">
        <v>1348.8812256000001</v>
      </c>
      <c r="J678">
        <v>1343.5187988</v>
      </c>
      <c r="K678">
        <v>0</v>
      </c>
      <c r="L678">
        <v>2750</v>
      </c>
      <c r="M678">
        <v>2750</v>
      </c>
      <c r="N678">
        <v>0</v>
      </c>
    </row>
    <row r="679" spans="1:14" x14ac:dyDescent="0.25">
      <c r="A679">
        <v>190.05369400000001</v>
      </c>
      <c r="B679" s="1">
        <f>DATE(2010,11,7) + TIME(1,17,19)</f>
        <v>40489.05369212963</v>
      </c>
      <c r="C679">
        <v>80</v>
      </c>
      <c r="D679">
        <v>78.750892639</v>
      </c>
      <c r="E679">
        <v>50</v>
      </c>
      <c r="F679">
        <v>49.955657959</v>
      </c>
      <c r="G679">
        <v>1325.9185791</v>
      </c>
      <c r="H679">
        <v>1323.3587646000001</v>
      </c>
      <c r="I679">
        <v>1348.8465576000001</v>
      </c>
      <c r="J679">
        <v>1343.4921875</v>
      </c>
      <c r="K679">
        <v>0</v>
      </c>
      <c r="L679">
        <v>2750</v>
      </c>
      <c r="M679">
        <v>2750</v>
      </c>
      <c r="N679">
        <v>0</v>
      </c>
    </row>
    <row r="680" spans="1:14" x14ac:dyDescent="0.25">
      <c r="A680">
        <v>190.31809100000001</v>
      </c>
      <c r="B680" s="1">
        <f>DATE(2010,11,7) + TIME(7,38,3)</f>
        <v>40489.318090277775</v>
      </c>
      <c r="C680">
        <v>80</v>
      </c>
      <c r="D680">
        <v>78.707519531000003</v>
      </c>
      <c r="E680">
        <v>50</v>
      </c>
      <c r="F680">
        <v>49.956104279000002</v>
      </c>
      <c r="G680">
        <v>1325.9074707</v>
      </c>
      <c r="H680">
        <v>1323.3442382999999</v>
      </c>
      <c r="I680">
        <v>1348.8122559000001</v>
      </c>
      <c r="J680">
        <v>1343.4658202999999</v>
      </c>
      <c r="K680">
        <v>0</v>
      </c>
      <c r="L680">
        <v>2750</v>
      </c>
      <c r="M680">
        <v>2750</v>
      </c>
      <c r="N680">
        <v>0</v>
      </c>
    </row>
    <row r="681" spans="1:14" x14ac:dyDescent="0.25">
      <c r="A681">
        <v>190.593447</v>
      </c>
      <c r="B681" s="1">
        <f>DATE(2010,11,7) + TIME(14,14,33)</f>
        <v>40489.5934375</v>
      </c>
      <c r="C681">
        <v>80</v>
      </c>
      <c r="D681">
        <v>78.662826538000004</v>
      </c>
      <c r="E681">
        <v>50</v>
      </c>
      <c r="F681">
        <v>49.956451416</v>
      </c>
      <c r="G681">
        <v>1325.895874</v>
      </c>
      <c r="H681">
        <v>1323.3289795000001</v>
      </c>
      <c r="I681">
        <v>1348.7779541</v>
      </c>
      <c r="J681">
        <v>1343.4394531</v>
      </c>
      <c r="K681">
        <v>0</v>
      </c>
      <c r="L681">
        <v>2750</v>
      </c>
      <c r="M681">
        <v>2750</v>
      </c>
      <c r="N681">
        <v>0</v>
      </c>
    </row>
    <row r="682" spans="1:14" x14ac:dyDescent="0.25">
      <c r="A682">
        <v>190.88158899999999</v>
      </c>
      <c r="B682" s="1">
        <f>DATE(2010,11,7) + TIME(21,9,29)</f>
        <v>40489.881585648145</v>
      </c>
      <c r="C682">
        <v>80</v>
      </c>
      <c r="D682">
        <v>78.616607665999993</v>
      </c>
      <c r="E682">
        <v>50</v>
      </c>
      <c r="F682">
        <v>49.956729889000002</v>
      </c>
      <c r="G682">
        <v>1325.8836670000001</v>
      </c>
      <c r="H682">
        <v>1323.3128661999999</v>
      </c>
      <c r="I682">
        <v>1348.7437743999999</v>
      </c>
      <c r="J682">
        <v>1343.4132079999999</v>
      </c>
      <c r="K682">
        <v>0</v>
      </c>
      <c r="L682">
        <v>2750</v>
      </c>
      <c r="M682">
        <v>2750</v>
      </c>
      <c r="N682">
        <v>0</v>
      </c>
    </row>
    <row r="683" spans="1:14" x14ac:dyDescent="0.25">
      <c r="A683">
        <v>191.183268</v>
      </c>
      <c r="B683" s="1">
        <f>DATE(2010,11,8) + TIME(4,23,54)</f>
        <v>40490.183263888888</v>
      </c>
      <c r="C683">
        <v>80</v>
      </c>
      <c r="D683">
        <v>78.568756104000002</v>
      </c>
      <c r="E683">
        <v>50</v>
      </c>
      <c r="F683">
        <v>49.956947327000002</v>
      </c>
      <c r="G683">
        <v>1325.8708495999999</v>
      </c>
      <c r="H683">
        <v>1323.2958983999999</v>
      </c>
      <c r="I683">
        <v>1348.7093506000001</v>
      </c>
      <c r="J683">
        <v>1343.3867187999999</v>
      </c>
      <c r="K683">
        <v>0</v>
      </c>
      <c r="L683">
        <v>2750</v>
      </c>
      <c r="M683">
        <v>2750</v>
      </c>
      <c r="N683">
        <v>0</v>
      </c>
    </row>
    <row r="684" spans="1:14" x14ac:dyDescent="0.25">
      <c r="A684">
        <v>191.49744799999999</v>
      </c>
      <c r="B684" s="1">
        <f>DATE(2010,11,8) + TIME(11,56,19)</f>
        <v>40490.497442129628</v>
      </c>
      <c r="C684">
        <v>80</v>
      </c>
      <c r="D684">
        <v>78.519386291999993</v>
      </c>
      <c r="E684">
        <v>50</v>
      </c>
      <c r="F684">
        <v>49.957118987999998</v>
      </c>
      <c r="G684">
        <v>1325.8572998</v>
      </c>
      <c r="H684">
        <v>1323.2779541</v>
      </c>
      <c r="I684">
        <v>1348.6746826000001</v>
      </c>
      <c r="J684">
        <v>1343.3601074000001</v>
      </c>
      <c r="K684">
        <v>0</v>
      </c>
      <c r="L684">
        <v>2750</v>
      </c>
      <c r="M684">
        <v>2750</v>
      </c>
      <c r="N684">
        <v>0</v>
      </c>
    </row>
    <row r="685" spans="1:14" x14ac:dyDescent="0.25">
      <c r="A685">
        <v>191.81654599999999</v>
      </c>
      <c r="B685" s="1">
        <f>DATE(2010,11,8) + TIME(19,35,49)</f>
        <v>40490.81653935185</v>
      </c>
      <c r="C685">
        <v>80</v>
      </c>
      <c r="D685">
        <v>78.469360351999995</v>
      </c>
      <c r="E685">
        <v>50</v>
      </c>
      <c r="F685">
        <v>49.957252502000003</v>
      </c>
      <c r="G685">
        <v>1325.8430175999999</v>
      </c>
      <c r="H685">
        <v>1323.2591553</v>
      </c>
      <c r="I685">
        <v>1348.6401367000001</v>
      </c>
      <c r="J685">
        <v>1343.3336182</v>
      </c>
      <c r="K685">
        <v>0</v>
      </c>
      <c r="L685">
        <v>2750</v>
      </c>
      <c r="M685">
        <v>2750</v>
      </c>
      <c r="N685">
        <v>0</v>
      </c>
    </row>
    <row r="686" spans="1:14" x14ac:dyDescent="0.25">
      <c r="A686">
        <v>192.141435</v>
      </c>
      <c r="B686" s="1">
        <f>DATE(2010,11,9) + TIME(3,23,40)</f>
        <v>40491.141435185185</v>
      </c>
      <c r="C686">
        <v>80</v>
      </c>
      <c r="D686">
        <v>78.418663025000001</v>
      </c>
      <c r="E686">
        <v>50</v>
      </c>
      <c r="F686">
        <v>49.957351684999999</v>
      </c>
      <c r="G686">
        <v>1325.8284911999999</v>
      </c>
      <c r="H686">
        <v>1323.2398682</v>
      </c>
      <c r="I686">
        <v>1348.6064452999999</v>
      </c>
      <c r="J686">
        <v>1343.3077393000001</v>
      </c>
      <c r="K686">
        <v>0</v>
      </c>
      <c r="L686">
        <v>2750</v>
      </c>
      <c r="M686">
        <v>2750</v>
      </c>
      <c r="N686">
        <v>0</v>
      </c>
    </row>
    <row r="687" spans="1:14" x14ac:dyDescent="0.25">
      <c r="A687">
        <v>192.47277800000001</v>
      </c>
      <c r="B687" s="1">
        <f>DATE(2010,11,9) + TIME(11,20,47)</f>
        <v>40491.472766203704</v>
      </c>
      <c r="C687">
        <v>80</v>
      </c>
      <c r="D687">
        <v>78.367294311999999</v>
      </c>
      <c r="E687">
        <v>50</v>
      </c>
      <c r="F687">
        <v>49.957427979000002</v>
      </c>
      <c r="G687">
        <v>1325.8134766000001</v>
      </c>
      <c r="H687">
        <v>1323.2199707</v>
      </c>
      <c r="I687">
        <v>1348.5734863</v>
      </c>
      <c r="J687">
        <v>1343.2824707</v>
      </c>
      <c r="K687">
        <v>0</v>
      </c>
      <c r="L687">
        <v>2750</v>
      </c>
      <c r="M687">
        <v>2750</v>
      </c>
      <c r="N687">
        <v>0</v>
      </c>
    </row>
    <row r="688" spans="1:14" x14ac:dyDescent="0.25">
      <c r="A688">
        <v>192.81123700000001</v>
      </c>
      <c r="B688" s="1">
        <f>DATE(2010,11,9) + TIME(19,28,10)</f>
        <v>40491.811226851853</v>
      </c>
      <c r="C688">
        <v>80</v>
      </c>
      <c r="D688">
        <v>78.315223693999997</v>
      </c>
      <c r="E688">
        <v>50</v>
      </c>
      <c r="F688">
        <v>49.957489013999997</v>
      </c>
      <c r="G688">
        <v>1325.7980957</v>
      </c>
      <c r="H688">
        <v>1323.1993408000001</v>
      </c>
      <c r="I688">
        <v>1348.5411377</v>
      </c>
      <c r="J688">
        <v>1343.2576904</v>
      </c>
      <c r="K688">
        <v>0</v>
      </c>
      <c r="L688">
        <v>2750</v>
      </c>
      <c r="M688">
        <v>2750</v>
      </c>
      <c r="N688">
        <v>0</v>
      </c>
    </row>
    <row r="689" spans="1:14" x14ac:dyDescent="0.25">
      <c r="A689">
        <v>193.15749600000001</v>
      </c>
      <c r="B689" s="1">
        <f>DATE(2010,11,10) + TIME(3,46,47)</f>
        <v>40492.157488425924</v>
      </c>
      <c r="C689">
        <v>80</v>
      </c>
      <c r="D689">
        <v>78.262405396000005</v>
      </c>
      <c r="E689">
        <v>50</v>
      </c>
      <c r="F689">
        <v>49.957530974999997</v>
      </c>
      <c r="G689">
        <v>1325.7822266000001</v>
      </c>
      <c r="H689">
        <v>1323.1782227000001</v>
      </c>
      <c r="I689">
        <v>1348.5093993999999</v>
      </c>
      <c r="J689">
        <v>1343.2332764</v>
      </c>
      <c r="K689">
        <v>0</v>
      </c>
      <c r="L689">
        <v>2750</v>
      </c>
      <c r="M689">
        <v>2750</v>
      </c>
      <c r="N689">
        <v>0</v>
      </c>
    </row>
    <row r="690" spans="1:14" x14ac:dyDescent="0.25">
      <c r="A690">
        <v>193.512269</v>
      </c>
      <c r="B690" s="1">
        <f>DATE(2010,11,10) + TIME(12,17,40)</f>
        <v>40492.51226851852</v>
      </c>
      <c r="C690">
        <v>80</v>
      </c>
      <c r="D690">
        <v>78.208786011000001</v>
      </c>
      <c r="E690">
        <v>50</v>
      </c>
      <c r="F690">
        <v>49.957561493</v>
      </c>
      <c r="G690">
        <v>1325.7658690999999</v>
      </c>
      <c r="H690">
        <v>1323.1563721</v>
      </c>
      <c r="I690">
        <v>1348.4780272999999</v>
      </c>
      <c r="J690">
        <v>1343.2093506000001</v>
      </c>
      <c r="K690">
        <v>0</v>
      </c>
      <c r="L690">
        <v>2750</v>
      </c>
      <c r="M690">
        <v>2750</v>
      </c>
      <c r="N690">
        <v>0</v>
      </c>
    </row>
    <row r="691" spans="1:14" x14ac:dyDescent="0.25">
      <c r="A691">
        <v>193.87630799999999</v>
      </c>
      <c r="B691" s="1">
        <f>DATE(2010,11,10) + TIME(21,1,52)</f>
        <v>40492.876296296294</v>
      </c>
      <c r="C691">
        <v>80</v>
      </c>
      <c r="D691">
        <v>78.154296875</v>
      </c>
      <c r="E691">
        <v>50</v>
      </c>
      <c r="F691">
        <v>49.957584380999997</v>
      </c>
      <c r="G691">
        <v>1325.7489014</v>
      </c>
      <c r="H691">
        <v>1323.1337891000001</v>
      </c>
      <c r="I691">
        <v>1348.4472656</v>
      </c>
      <c r="J691">
        <v>1343.1856689000001</v>
      </c>
      <c r="K691">
        <v>0</v>
      </c>
      <c r="L691">
        <v>2750</v>
      </c>
      <c r="M691">
        <v>2750</v>
      </c>
      <c r="N691">
        <v>0</v>
      </c>
    </row>
    <row r="692" spans="1:14" x14ac:dyDescent="0.25">
      <c r="A692">
        <v>194.25039200000001</v>
      </c>
      <c r="B692" s="1">
        <f>DATE(2010,11,11) + TIME(6,0,33)</f>
        <v>40493.250381944446</v>
      </c>
      <c r="C692">
        <v>80</v>
      </c>
      <c r="D692">
        <v>78.098869324000006</v>
      </c>
      <c r="E692">
        <v>50</v>
      </c>
      <c r="F692">
        <v>49.957595824999999</v>
      </c>
      <c r="G692">
        <v>1325.7315673999999</v>
      </c>
      <c r="H692">
        <v>1323.1104736</v>
      </c>
      <c r="I692">
        <v>1348.4167480000001</v>
      </c>
      <c r="J692">
        <v>1343.1623535000001</v>
      </c>
      <c r="K692">
        <v>0</v>
      </c>
      <c r="L692">
        <v>2750</v>
      </c>
      <c r="M692">
        <v>2750</v>
      </c>
      <c r="N692">
        <v>0</v>
      </c>
    </row>
    <row r="693" spans="1:14" x14ac:dyDescent="0.25">
      <c r="A693">
        <v>194.63536099999999</v>
      </c>
      <c r="B693" s="1">
        <f>DATE(2010,11,11) + TIME(15,14,55)</f>
        <v>40493.635358796295</v>
      </c>
      <c r="C693">
        <v>80</v>
      </c>
      <c r="D693">
        <v>78.042419433999996</v>
      </c>
      <c r="E693">
        <v>50</v>
      </c>
      <c r="F693">
        <v>49.957603454999997</v>
      </c>
      <c r="G693">
        <v>1325.713501</v>
      </c>
      <c r="H693">
        <v>1323.0864257999999</v>
      </c>
      <c r="I693">
        <v>1348.3865966999999</v>
      </c>
      <c r="J693">
        <v>1343.1392822</v>
      </c>
      <c r="K693">
        <v>0</v>
      </c>
      <c r="L693">
        <v>2750</v>
      </c>
      <c r="M693">
        <v>2750</v>
      </c>
      <c r="N693">
        <v>0</v>
      </c>
    </row>
    <row r="694" spans="1:14" x14ac:dyDescent="0.25">
      <c r="A694">
        <v>195.03210999999999</v>
      </c>
      <c r="B694" s="1">
        <f>DATE(2010,11,12) + TIME(0,46,14)</f>
        <v>40494.032106481478</v>
      </c>
      <c r="C694">
        <v>80</v>
      </c>
      <c r="D694">
        <v>77.984863281000003</v>
      </c>
      <c r="E694">
        <v>50</v>
      </c>
      <c r="F694">
        <v>49.957607269</v>
      </c>
      <c r="G694">
        <v>1325.6949463000001</v>
      </c>
      <c r="H694">
        <v>1323.0614014</v>
      </c>
      <c r="I694">
        <v>1348.3566894999999</v>
      </c>
      <c r="J694">
        <v>1343.1164550999999</v>
      </c>
      <c r="K694">
        <v>0</v>
      </c>
      <c r="L694">
        <v>2750</v>
      </c>
      <c r="M694">
        <v>2750</v>
      </c>
      <c r="N694">
        <v>0</v>
      </c>
    </row>
    <row r="695" spans="1:14" x14ac:dyDescent="0.25">
      <c r="A695">
        <v>195.44141999999999</v>
      </c>
      <c r="B695" s="1">
        <f>DATE(2010,11,12) + TIME(10,35,38)</f>
        <v>40494.441412037035</v>
      </c>
      <c r="C695">
        <v>80</v>
      </c>
      <c r="D695">
        <v>77.926124572999996</v>
      </c>
      <c r="E695">
        <v>50</v>
      </c>
      <c r="F695">
        <v>49.957603454999997</v>
      </c>
      <c r="G695">
        <v>1325.6755370999999</v>
      </c>
      <c r="H695">
        <v>1323.0354004000001</v>
      </c>
      <c r="I695">
        <v>1348.3269043</v>
      </c>
      <c r="J695">
        <v>1343.09375</v>
      </c>
      <c r="K695">
        <v>0</v>
      </c>
      <c r="L695">
        <v>2750</v>
      </c>
      <c r="M695">
        <v>2750</v>
      </c>
      <c r="N695">
        <v>0</v>
      </c>
    </row>
    <row r="696" spans="1:14" x14ac:dyDescent="0.25">
      <c r="A696">
        <v>195.86448200000001</v>
      </c>
      <c r="B696" s="1">
        <f>DATE(2010,11,12) + TIME(20,44,51)</f>
        <v>40494.864479166667</v>
      </c>
      <c r="C696">
        <v>80</v>
      </c>
      <c r="D696">
        <v>77.866088867000002</v>
      </c>
      <c r="E696">
        <v>50</v>
      </c>
      <c r="F696">
        <v>49.957599639999998</v>
      </c>
      <c r="G696">
        <v>1325.6555175999999</v>
      </c>
      <c r="H696">
        <v>1323.0085449000001</v>
      </c>
      <c r="I696">
        <v>1348.2973632999999</v>
      </c>
      <c r="J696">
        <v>1343.0711670000001</v>
      </c>
      <c r="K696">
        <v>0</v>
      </c>
      <c r="L696">
        <v>2750</v>
      </c>
      <c r="M696">
        <v>2750</v>
      </c>
      <c r="N696">
        <v>0</v>
      </c>
    </row>
    <row r="697" spans="1:14" x14ac:dyDescent="0.25">
      <c r="A697">
        <v>196.30243100000001</v>
      </c>
      <c r="B697" s="1">
        <f>DATE(2010,11,13) + TIME(7,15,30)</f>
        <v>40495.302430555559</v>
      </c>
      <c r="C697">
        <v>80</v>
      </c>
      <c r="D697">
        <v>77.804649353000002</v>
      </c>
      <c r="E697">
        <v>50</v>
      </c>
      <c r="F697">
        <v>49.957592009999999</v>
      </c>
      <c r="G697">
        <v>1325.6347656</v>
      </c>
      <c r="H697">
        <v>1322.9804687999999</v>
      </c>
      <c r="I697">
        <v>1348.2679443</v>
      </c>
      <c r="J697">
        <v>1343.0487060999999</v>
      </c>
      <c r="K697">
        <v>0</v>
      </c>
      <c r="L697">
        <v>2750</v>
      </c>
      <c r="M697">
        <v>2750</v>
      </c>
      <c r="N697">
        <v>0</v>
      </c>
    </row>
    <row r="698" spans="1:14" x14ac:dyDescent="0.25">
      <c r="A698">
        <v>196.756506</v>
      </c>
      <c r="B698" s="1">
        <f>DATE(2010,11,13) + TIME(18,9,22)</f>
        <v>40495.756504629629</v>
      </c>
      <c r="C698">
        <v>80</v>
      </c>
      <c r="D698">
        <v>77.741699218999997</v>
      </c>
      <c r="E698">
        <v>50</v>
      </c>
      <c r="F698">
        <v>49.957580565999997</v>
      </c>
      <c r="G698">
        <v>1325.6130370999999</v>
      </c>
      <c r="H698">
        <v>1322.9512939000001</v>
      </c>
      <c r="I698">
        <v>1348.2385254000001</v>
      </c>
      <c r="J698">
        <v>1343.0262451000001</v>
      </c>
      <c r="K698">
        <v>0</v>
      </c>
      <c r="L698">
        <v>2750</v>
      </c>
      <c r="M698">
        <v>2750</v>
      </c>
      <c r="N698">
        <v>0</v>
      </c>
    </row>
    <row r="699" spans="1:14" x14ac:dyDescent="0.25">
      <c r="A699">
        <v>197.22759300000001</v>
      </c>
      <c r="B699" s="1">
        <f>DATE(2010,11,14) + TIME(5,27,44)</f>
        <v>40496.227592592593</v>
      </c>
      <c r="C699">
        <v>80</v>
      </c>
      <c r="D699">
        <v>77.677139281999999</v>
      </c>
      <c r="E699">
        <v>50</v>
      </c>
      <c r="F699">
        <v>49.957569122000002</v>
      </c>
      <c r="G699">
        <v>1325.5904541</v>
      </c>
      <c r="H699">
        <v>1322.9208983999999</v>
      </c>
      <c r="I699">
        <v>1348.2091064000001</v>
      </c>
      <c r="J699">
        <v>1343.0039062000001</v>
      </c>
      <c r="K699">
        <v>0</v>
      </c>
      <c r="L699">
        <v>2750</v>
      </c>
      <c r="M699">
        <v>2750</v>
      </c>
      <c r="N699">
        <v>0</v>
      </c>
    </row>
    <row r="700" spans="1:14" x14ac:dyDescent="0.25">
      <c r="A700">
        <v>197.70179999999999</v>
      </c>
      <c r="B700" s="1">
        <f>DATE(2010,11,14) + TIME(16,50,35)</f>
        <v>40496.701793981483</v>
      </c>
      <c r="C700">
        <v>80</v>
      </c>
      <c r="D700">
        <v>77.612159728999998</v>
      </c>
      <c r="E700">
        <v>50</v>
      </c>
      <c r="F700">
        <v>49.957553863999998</v>
      </c>
      <c r="G700">
        <v>1325.5670166</v>
      </c>
      <c r="H700">
        <v>1322.8892822</v>
      </c>
      <c r="I700">
        <v>1348.1796875</v>
      </c>
      <c r="J700">
        <v>1342.9815673999999</v>
      </c>
      <c r="K700">
        <v>0</v>
      </c>
      <c r="L700">
        <v>2750</v>
      </c>
      <c r="M700">
        <v>2750</v>
      </c>
      <c r="N700">
        <v>0</v>
      </c>
    </row>
    <row r="701" spans="1:14" x14ac:dyDescent="0.25">
      <c r="A701">
        <v>198.181702</v>
      </c>
      <c r="B701" s="1">
        <f>DATE(2010,11,15) + TIME(4,21,39)</f>
        <v>40497.181701388887</v>
      </c>
      <c r="C701">
        <v>80</v>
      </c>
      <c r="D701">
        <v>77.546791076999995</v>
      </c>
      <c r="E701">
        <v>50</v>
      </c>
      <c r="F701">
        <v>49.957542418999999</v>
      </c>
      <c r="G701">
        <v>1325.5432129000001</v>
      </c>
      <c r="H701">
        <v>1322.8571777</v>
      </c>
      <c r="I701">
        <v>1348.1512451000001</v>
      </c>
      <c r="J701">
        <v>1342.9598389</v>
      </c>
      <c r="K701">
        <v>0</v>
      </c>
      <c r="L701">
        <v>2750</v>
      </c>
      <c r="M701">
        <v>2750</v>
      </c>
      <c r="N701">
        <v>0</v>
      </c>
    </row>
    <row r="702" spans="1:14" x14ac:dyDescent="0.25">
      <c r="A702">
        <v>198.669826</v>
      </c>
      <c r="B702" s="1">
        <f>DATE(2010,11,15) + TIME(16,4,33)</f>
        <v>40497.66982638889</v>
      </c>
      <c r="C702">
        <v>80</v>
      </c>
      <c r="D702">
        <v>77.480934142999999</v>
      </c>
      <c r="E702">
        <v>50</v>
      </c>
      <c r="F702">
        <v>49.957527161000002</v>
      </c>
      <c r="G702">
        <v>1325.5189209</v>
      </c>
      <c r="H702">
        <v>1322.8243408000001</v>
      </c>
      <c r="I702">
        <v>1348.1234131000001</v>
      </c>
      <c r="J702">
        <v>1342.9387207</v>
      </c>
      <c r="K702">
        <v>0</v>
      </c>
      <c r="L702">
        <v>2750</v>
      </c>
      <c r="M702">
        <v>2750</v>
      </c>
      <c r="N702">
        <v>0</v>
      </c>
    </row>
    <row r="703" spans="1:14" x14ac:dyDescent="0.25">
      <c r="A703">
        <v>199.168734</v>
      </c>
      <c r="B703" s="1">
        <f>DATE(2010,11,16) + TIME(4,2,58)</f>
        <v>40498.168726851851</v>
      </c>
      <c r="C703">
        <v>80</v>
      </c>
      <c r="D703">
        <v>77.414428710999999</v>
      </c>
      <c r="E703">
        <v>50</v>
      </c>
      <c r="F703">
        <v>49.957511902</v>
      </c>
      <c r="G703">
        <v>1325.4941406</v>
      </c>
      <c r="H703">
        <v>1322.7907714999999</v>
      </c>
      <c r="I703">
        <v>1348.0960693</v>
      </c>
      <c r="J703">
        <v>1342.9178466999999</v>
      </c>
      <c r="K703">
        <v>0</v>
      </c>
      <c r="L703">
        <v>2750</v>
      </c>
      <c r="M703">
        <v>2750</v>
      </c>
      <c r="N703">
        <v>0</v>
      </c>
    </row>
    <row r="704" spans="1:14" x14ac:dyDescent="0.25">
      <c r="A704">
        <v>199.679699</v>
      </c>
      <c r="B704" s="1">
        <f>DATE(2010,11,16) + TIME(16,18,46)</f>
        <v>40498.679699074077</v>
      </c>
      <c r="C704">
        <v>80</v>
      </c>
      <c r="D704">
        <v>77.347152710000003</v>
      </c>
      <c r="E704">
        <v>50</v>
      </c>
      <c r="F704">
        <v>49.957496642999999</v>
      </c>
      <c r="G704">
        <v>1325.46875</v>
      </c>
      <c r="H704">
        <v>1322.7563477000001</v>
      </c>
      <c r="I704">
        <v>1348.0689697</v>
      </c>
      <c r="J704">
        <v>1342.8974608999999</v>
      </c>
      <c r="K704">
        <v>0</v>
      </c>
      <c r="L704">
        <v>2750</v>
      </c>
      <c r="M704">
        <v>2750</v>
      </c>
      <c r="N704">
        <v>0</v>
      </c>
    </row>
    <row r="705" spans="1:14" x14ac:dyDescent="0.25">
      <c r="A705">
        <v>200.20299399999999</v>
      </c>
      <c r="B705" s="1">
        <f>DATE(2010,11,17) + TIME(4,52,18)</f>
        <v>40499.202986111108</v>
      </c>
      <c r="C705">
        <v>80</v>
      </c>
      <c r="D705">
        <v>77.279060364000003</v>
      </c>
      <c r="E705">
        <v>50</v>
      </c>
      <c r="F705">
        <v>49.957485198999997</v>
      </c>
      <c r="G705">
        <v>1325.4426269999999</v>
      </c>
      <c r="H705">
        <v>1322.7210693</v>
      </c>
      <c r="I705">
        <v>1348.0422363</v>
      </c>
      <c r="J705">
        <v>1342.8771973</v>
      </c>
      <c r="K705">
        <v>0</v>
      </c>
      <c r="L705">
        <v>2750</v>
      </c>
      <c r="M705">
        <v>2750</v>
      </c>
      <c r="N705">
        <v>0</v>
      </c>
    </row>
    <row r="706" spans="1:14" x14ac:dyDescent="0.25">
      <c r="A706">
        <v>200.741512</v>
      </c>
      <c r="B706" s="1">
        <f>DATE(2010,11,17) + TIME(17,47,46)</f>
        <v>40499.74150462963</v>
      </c>
      <c r="C706">
        <v>80</v>
      </c>
      <c r="D706">
        <v>77.209938049000002</v>
      </c>
      <c r="E706">
        <v>50</v>
      </c>
      <c r="F706">
        <v>49.957473755000002</v>
      </c>
      <c r="G706">
        <v>1325.4157714999999</v>
      </c>
      <c r="H706">
        <v>1322.6845702999999</v>
      </c>
      <c r="I706">
        <v>1348.0158690999999</v>
      </c>
      <c r="J706">
        <v>1342.8570557</v>
      </c>
      <c r="K706">
        <v>0</v>
      </c>
      <c r="L706">
        <v>2750</v>
      </c>
      <c r="M706">
        <v>2750</v>
      </c>
      <c r="N706">
        <v>0</v>
      </c>
    </row>
    <row r="707" spans="1:14" x14ac:dyDescent="0.25">
      <c r="A707">
        <v>201.29834399999999</v>
      </c>
      <c r="B707" s="1">
        <f>DATE(2010,11,18) + TIME(7,9,36)</f>
        <v>40500.298333333332</v>
      </c>
      <c r="C707">
        <v>80</v>
      </c>
      <c r="D707">
        <v>77.139511107999994</v>
      </c>
      <c r="E707">
        <v>50</v>
      </c>
      <c r="F707">
        <v>49.957458496000001</v>
      </c>
      <c r="G707">
        <v>1325.3880615</v>
      </c>
      <c r="H707">
        <v>1322.6469727000001</v>
      </c>
      <c r="I707">
        <v>1347.9895019999999</v>
      </c>
      <c r="J707">
        <v>1342.8371582</v>
      </c>
      <c r="K707">
        <v>0</v>
      </c>
      <c r="L707">
        <v>2750</v>
      </c>
      <c r="M707">
        <v>2750</v>
      </c>
      <c r="N707">
        <v>0</v>
      </c>
    </row>
    <row r="708" spans="1:14" x14ac:dyDescent="0.25">
      <c r="A708">
        <v>201.87303499999999</v>
      </c>
      <c r="B708" s="1">
        <f>DATE(2010,11,18) + TIME(20,57,10)</f>
        <v>40500.873032407406</v>
      </c>
      <c r="C708">
        <v>80</v>
      </c>
      <c r="D708">
        <v>77.067749023000005</v>
      </c>
      <c r="E708">
        <v>50</v>
      </c>
      <c r="F708">
        <v>49.957450866999999</v>
      </c>
      <c r="G708">
        <v>1325.359375</v>
      </c>
      <c r="H708">
        <v>1322.6081543</v>
      </c>
      <c r="I708">
        <v>1347.9631348</v>
      </c>
      <c r="J708">
        <v>1342.8172606999999</v>
      </c>
      <c r="K708">
        <v>0</v>
      </c>
      <c r="L708">
        <v>2750</v>
      </c>
      <c r="M708">
        <v>2750</v>
      </c>
      <c r="N708">
        <v>0</v>
      </c>
    </row>
    <row r="709" spans="1:14" x14ac:dyDescent="0.25">
      <c r="A709">
        <v>202.46921499999999</v>
      </c>
      <c r="B709" s="1">
        <f>DATE(2010,11,19) + TIME(11,15,40)</f>
        <v>40501.469212962962</v>
      </c>
      <c r="C709">
        <v>80</v>
      </c>
      <c r="D709">
        <v>76.994384765999996</v>
      </c>
      <c r="E709">
        <v>50</v>
      </c>
      <c r="F709">
        <v>49.957439422999997</v>
      </c>
      <c r="G709">
        <v>1325.3295897999999</v>
      </c>
      <c r="H709">
        <v>1322.567749</v>
      </c>
      <c r="I709">
        <v>1347.9368896000001</v>
      </c>
      <c r="J709">
        <v>1342.7974853999999</v>
      </c>
      <c r="K709">
        <v>0</v>
      </c>
      <c r="L709">
        <v>2750</v>
      </c>
      <c r="M709">
        <v>2750</v>
      </c>
      <c r="N709">
        <v>0</v>
      </c>
    </row>
    <row r="710" spans="1:14" x14ac:dyDescent="0.25">
      <c r="A710">
        <v>203.081345</v>
      </c>
      <c r="B710" s="1">
        <f>DATE(2010,11,20) + TIME(1,57,8)</f>
        <v>40502.081342592595</v>
      </c>
      <c r="C710">
        <v>80</v>
      </c>
      <c r="D710">
        <v>76.919746399000005</v>
      </c>
      <c r="E710">
        <v>50</v>
      </c>
      <c r="F710">
        <v>49.957431792999998</v>
      </c>
      <c r="G710">
        <v>1325.2987060999999</v>
      </c>
      <c r="H710">
        <v>1322.5258789</v>
      </c>
      <c r="I710">
        <v>1347.9105225000001</v>
      </c>
      <c r="J710">
        <v>1342.7775879000001</v>
      </c>
      <c r="K710">
        <v>0</v>
      </c>
      <c r="L710">
        <v>2750</v>
      </c>
      <c r="M710">
        <v>2750</v>
      </c>
      <c r="N710">
        <v>0</v>
      </c>
    </row>
    <row r="711" spans="1:14" x14ac:dyDescent="0.25">
      <c r="A711">
        <v>203.697608</v>
      </c>
      <c r="B711" s="1">
        <f>DATE(2010,11,20) + TIME(16,44,33)</f>
        <v>40502.697604166664</v>
      </c>
      <c r="C711">
        <v>80</v>
      </c>
      <c r="D711">
        <v>76.844734192000004</v>
      </c>
      <c r="E711">
        <v>50</v>
      </c>
      <c r="F711">
        <v>49.957424164000003</v>
      </c>
      <c r="G711">
        <v>1325.2669678</v>
      </c>
      <c r="H711">
        <v>1322.4827881000001</v>
      </c>
      <c r="I711">
        <v>1347.8843993999999</v>
      </c>
      <c r="J711">
        <v>1342.7578125</v>
      </c>
      <c r="K711">
        <v>0</v>
      </c>
      <c r="L711">
        <v>2750</v>
      </c>
      <c r="M711">
        <v>2750</v>
      </c>
      <c r="N711">
        <v>0</v>
      </c>
    </row>
    <row r="712" spans="1:14" x14ac:dyDescent="0.25">
      <c r="A712">
        <v>204.32153199999999</v>
      </c>
      <c r="B712" s="1">
        <f>DATE(2010,11,21) + TIME(7,43,0)</f>
        <v>40503.321527777778</v>
      </c>
      <c r="C712">
        <v>80</v>
      </c>
      <c r="D712">
        <v>76.769454956000004</v>
      </c>
      <c r="E712">
        <v>50</v>
      </c>
      <c r="F712">
        <v>49.957416533999996</v>
      </c>
      <c r="G712">
        <v>1325.2348632999999</v>
      </c>
      <c r="H712">
        <v>1322.4390868999999</v>
      </c>
      <c r="I712">
        <v>1347.8590088000001</v>
      </c>
      <c r="J712">
        <v>1342.7386475000001</v>
      </c>
      <c r="K712">
        <v>0</v>
      </c>
      <c r="L712">
        <v>2750</v>
      </c>
      <c r="M712">
        <v>2750</v>
      </c>
      <c r="N712">
        <v>0</v>
      </c>
    </row>
    <row r="713" spans="1:14" x14ac:dyDescent="0.25">
      <c r="A713">
        <v>204.956523</v>
      </c>
      <c r="B713" s="1">
        <f>DATE(2010,11,21) + TIME(22,57,23)</f>
        <v>40503.956516203703</v>
      </c>
      <c r="C713">
        <v>80</v>
      </c>
      <c r="D713">
        <v>76.693809509000005</v>
      </c>
      <c r="E713">
        <v>50</v>
      </c>
      <c r="F713">
        <v>49.957412720000001</v>
      </c>
      <c r="G713">
        <v>1325.2021483999999</v>
      </c>
      <c r="H713">
        <v>1322.3946533000001</v>
      </c>
      <c r="I713">
        <v>1347.8341064000001</v>
      </c>
      <c r="J713">
        <v>1342.7199707</v>
      </c>
      <c r="K713">
        <v>0</v>
      </c>
      <c r="L713">
        <v>2750</v>
      </c>
      <c r="M713">
        <v>2750</v>
      </c>
      <c r="N713">
        <v>0</v>
      </c>
    </row>
    <row r="714" spans="1:14" x14ac:dyDescent="0.25">
      <c r="A714">
        <v>205.60145900000001</v>
      </c>
      <c r="B714" s="1">
        <f>DATE(2010,11,22) + TIME(14,26,6)</f>
        <v>40504.601458333331</v>
      </c>
      <c r="C714">
        <v>80</v>
      </c>
      <c r="D714">
        <v>76.617866516000007</v>
      </c>
      <c r="E714">
        <v>50</v>
      </c>
      <c r="F714">
        <v>49.957408905000001</v>
      </c>
      <c r="G714">
        <v>1325.1688231999999</v>
      </c>
      <c r="H714">
        <v>1322.3493652</v>
      </c>
      <c r="I714">
        <v>1347.8094481999999</v>
      </c>
      <c r="J714">
        <v>1342.7015381000001</v>
      </c>
      <c r="K714">
        <v>0</v>
      </c>
      <c r="L714">
        <v>2750</v>
      </c>
      <c r="M714">
        <v>2750</v>
      </c>
      <c r="N714">
        <v>0</v>
      </c>
    </row>
    <row r="715" spans="1:14" x14ac:dyDescent="0.25">
      <c r="A715">
        <v>206.25864000000001</v>
      </c>
      <c r="B715" s="1">
        <f>DATE(2010,11,23) + TIME(6,12,26)</f>
        <v>40505.258634259262</v>
      </c>
      <c r="C715">
        <v>80</v>
      </c>
      <c r="D715">
        <v>76.541511536000002</v>
      </c>
      <c r="E715">
        <v>50</v>
      </c>
      <c r="F715">
        <v>49.957405090000002</v>
      </c>
      <c r="G715">
        <v>1325.1348877</v>
      </c>
      <c r="H715">
        <v>1322.3032227000001</v>
      </c>
      <c r="I715">
        <v>1347.7854004000001</v>
      </c>
      <c r="J715">
        <v>1342.6833495999999</v>
      </c>
      <c r="K715">
        <v>0</v>
      </c>
      <c r="L715">
        <v>2750</v>
      </c>
      <c r="M715">
        <v>2750</v>
      </c>
      <c r="N715">
        <v>0</v>
      </c>
    </row>
    <row r="716" spans="1:14" x14ac:dyDescent="0.25">
      <c r="A716">
        <v>206.93158299999999</v>
      </c>
      <c r="B716" s="1">
        <f>DATE(2010,11,23) + TIME(22,21,28)</f>
        <v>40505.931574074071</v>
      </c>
      <c r="C716">
        <v>80</v>
      </c>
      <c r="D716">
        <v>76.464523314999994</v>
      </c>
      <c r="E716">
        <v>50</v>
      </c>
      <c r="F716">
        <v>49.957405090000002</v>
      </c>
      <c r="G716">
        <v>1325.1002197</v>
      </c>
      <c r="H716">
        <v>1322.2559814000001</v>
      </c>
      <c r="I716">
        <v>1347.7614745999999</v>
      </c>
      <c r="J716">
        <v>1342.6655272999999</v>
      </c>
      <c r="K716">
        <v>0</v>
      </c>
      <c r="L716">
        <v>2750</v>
      </c>
      <c r="M716">
        <v>2750</v>
      </c>
      <c r="N716">
        <v>0</v>
      </c>
    </row>
    <row r="717" spans="1:14" x14ac:dyDescent="0.25">
      <c r="A717">
        <v>207.62407400000001</v>
      </c>
      <c r="B717" s="1">
        <f>DATE(2010,11,24) + TIME(14,58,39)</f>
        <v>40506.624062499999</v>
      </c>
      <c r="C717">
        <v>80</v>
      </c>
      <c r="D717">
        <v>76.386589049999998</v>
      </c>
      <c r="E717">
        <v>50</v>
      </c>
      <c r="F717">
        <v>49.957405090000002</v>
      </c>
      <c r="G717">
        <v>1325.0646973</v>
      </c>
      <c r="H717">
        <v>1322.2076416</v>
      </c>
      <c r="I717">
        <v>1347.7379149999999</v>
      </c>
      <c r="J717">
        <v>1342.6478271000001</v>
      </c>
      <c r="K717">
        <v>0</v>
      </c>
      <c r="L717">
        <v>2750</v>
      </c>
      <c r="M717">
        <v>2750</v>
      </c>
      <c r="N717">
        <v>0</v>
      </c>
    </row>
    <row r="718" spans="1:14" x14ac:dyDescent="0.25">
      <c r="A718">
        <v>208.33524800000001</v>
      </c>
      <c r="B718" s="1">
        <f>DATE(2010,11,25) + TIME(8,2,45)</f>
        <v>40507.335243055553</v>
      </c>
      <c r="C718">
        <v>80</v>
      </c>
      <c r="D718">
        <v>76.307647704999994</v>
      </c>
      <c r="E718">
        <v>50</v>
      </c>
      <c r="F718">
        <v>49.957405090000002</v>
      </c>
      <c r="G718">
        <v>1325.0280762</v>
      </c>
      <c r="H718">
        <v>1322.1579589999999</v>
      </c>
      <c r="I718">
        <v>1347.7143555</v>
      </c>
      <c r="J718">
        <v>1342.6301269999999</v>
      </c>
      <c r="K718">
        <v>0</v>
      </c>
      <c r="L718">
        <v>2750</v>
      </c>
      <c r="M718">
        <v>2750</v>
      </c>
      <c r="N718">
        <v>0</v>
      </c>
    </row>
    <row r="719" spans="1:14" x14ac:dyDescent="0.25">
      <c r="A719">
        <v>209.068682</v>
      </c>
      <c r="B719" s="1">
        <f>DATE(2010,11,26) + TIME(1,38,54)</f>
        <v>40508.068680555552</v>
      </c>
      <c r="C719">
        <v>80</v>
      </c>
      <c r="D719">
        <v>76.227500915999997</v>
      </c>
      <c r="E719">
        <v>50</v>
      </c>
      <c r="F719">
        <v>49.957408905000001</v>
      </c>
      <c r="G719">
        <v>1324.9906006000001</v>
      </c>
      <c r="H719">
        <v>1322.1066894999999</v>
      </c>
      <c r="I719">
        <v>1347.6907959</v>
      </c>
      <c r="J719">
        <v>1342.6125488</v>
      </c>
      <c r="K719">
        <v>0</v>
      </c>
      <c r="L719">
        <v>2750</v>
      </c>
      <c r="M719">
        <v>2750</v>
      </c>
      <c r="N719">
        <v>0</v>
      </c>
    </row>
    <row r="720" spans="1:14" x14ac:dyDescent="0.25">
      <c r="A720">
        <v>209.82673700000001</v>
      </c>
      <c r="B720" s="1">
        <f>DATE(2010,11,26) + TIME(19,50,30)</f>
        <v>40508.826736111114</v>
      </c>
      <c r="C720">
        <v>80</v>
      </c>
      <c r="D720">
        <v>76.145935058999996</v>
      </c>
      <c r="E720">
        <v>50</v>
      </c>
      <c r="F720">
        <v>49.957416533999996</v>
      </c>
      <c r="G720">
        <v>1324.9517822</v>
      </c>
      <c r="H720">
        <v>1322.0539550999999</v>
      </c>
      <c r="I720">
        <v>1347.6673584</v>
      </c>
      <c r="J720">
        <v>1342.5950928</v>
      </c>
      <c r="K720">
        <v>0</v>
      </c>
      <c r="L720">
        <v>2750</v>
      </c>
      <c r="M720">
        <v>2750</v>
      </c>
      <c r="N720">
        <v>0</v>
      </c>
    </row>
    <row r="721" spans="1:14" x14ac:dyDescent="0.25">
      <c r="A721">
        <v>210.597443</v>
      </c>
      <c r="B721" s="1">
        <f>DATE(2010,11,27) + TIME(14,20,19)</f>
        <v>40509.597442129627</v>
      </c>
      <c r="C721">
        <v>80</v>
      </c>
      <c r="D721">
        <v>76.063529967999997</v>
      </c>
      <c r="E721">
        <v>50</v>
      </c>
      <c r="F721">
        <v>49.957420349000003</v>
      </c>
      <c r="G721">
        <v>1324.9117432</v>
      </c>
      <c r="H721">
        <v>1321.9995117000001</v>
      </c>
      <c r="I721">
        <v>1347.6439209</v>
      </c>
      <c r="J721">
        <v>1342.5775146000001</v>
      </c>
      <c r="K721">
        <v>0</v>
      </c>
      <c r="L721">
        <v>2750</v>
      </c>
      <c r="M721">
        <v>2750</v>
      </c>
      <c r="N721">
        <v>0</v>
      </c>
    </row>
    <row r="722" spans="1:14" x14ac:dyDescent="0.25">
      <c r="A722">
        <v>211.37336500000001</v>
      </c>
      <c r="B722" s="1">
        <f>DATE(2010,11,28) + TIME(8,57,38)</f>
        <v>40510.373356481483</v>
      </c>
      <c r="C722">
        <v>80</v>
      </c>
      <c r="D722">
        <v>75.980964661000002</v>
      </c>
      <c r="E722">
        <v>50</v>
      </c>
      <c r="F722">
        <v>49.957427979000002</v>
      </c>
      <c r="G722">
        <v>1324.8709716999999</v>
      </c>
      <c r="H722">
        <v>1321.9439697</v>
      </c>
      <c r="I722">
        <v>1347.6207274999999</v>
      </c>
      <c r="J722">
        <v>1342.5603027</v>
      </c>
      <c r="K722">
        <v>0</v>
      </c>
      <c r="L722">
        <v>2750</v>
      </c>
      <c r="M722">
        <v>2750</v>
      </c>
      <c r="N722">
        <v>0</v>
      </c>
    </row>
    <row r="723" spans="1:14" x14ac:dyDescent="0.25">
      <c r="A723">
        <v>212.158796</v>
      </c>
      <c r="B723" s="1">
        <f>DATE(2010,11,29) + TIME(3,48,39)</f>
        <v>40511.158784722225</v>
      </c>
      <c r="C723">
        <v>80</v>
      </c>
      <c r="D723">
        <v>75.898384093999994</v>
      </c>
      <c r="E723">
        <v>50</v>
      </c>
      <c r="F723">
        <v>49.957439422999997</v>
      </c>
      <c r="G723">
        <v>1324.8297118999999</v>
      </c>
      <c r="H723">
        <v>1321.8876952999999</v>
      </c>
      <c r="I723">
        <v>1347.5981445</v>
      </c>
      <c r="J723">
        <v>1342.543457</v>
      </c>
      <c r="K723">
        <v>0</v>
      </c>
      <c r="L723">
        <v>2750</v>
      </c>
      <c r="M723">
        <v>2750</v>
      </c>
      <c r="N723">
        <v>0</v>
      </c>
    </row>
    <row r="724" spans="1:14" x14ac:dyDescent="0.25">
      <c r="A724">
        <v>212.95793900000001</v>
      </c>
      <c r="B724" s="1">
        <f>DATE(2010,11,29) + TIME(22,59,25)</f>
        <v>40511.957928240743</v>
      </c>
      <c r="C724">
        <v>80</v>
      </c>
      <c r="D724">
        <v>75.815635681000003</v>
      </c>
      <c r="E724">
        <v>50</v>
      </c>
      <c r="F724">
        <v>49.957447051999999</v>
      </c>
      <c r="G724">
        <v>1324.7879639</v>
      </c>
      <c r="H724">
        <v>1321.8306885</v>
      </c>
      <c r="I724">
        <v>1347.5759277</v>
      </c>
      <c r="J724">
        <v>1342.5269774999999</v>
      </c>
      <c r="K724">
        <v>0</v>
      </c>
      <c r="L724">
        <v>2750</v>
      </c>
      <c r="M724">
        <v>2750</v>
      </c>
      <c r="N724">
        <v>0</v>
      </c>
    </row>
    <row r="725" spans="1:14" x14ac:dyDescent="0.25">
      <c r="A725">
        <v>213.77516299999999</v>
      </c>
      <c r="B725" s="1">
        <f>DATE(2010,11,30) + TIME(18,36,14)</f>
        <v>40512.77516203704</v>
      </c>
      <c r="C725">
        <v>80</v>
      </c>
      <c r="D725">
        <v>75.732452393000003</v>
      </c>
      <c r="E725">
        <v>50</v>
      </c>
      <c r="F725">
        <v>49.957458496000001</v>
      </c>
      <c r="G725">
        <v>1324.7454834</v>
      </c>
      <c r="H725">
        <v>1321.7727050999999</v>
      </c>
      <c r="I725">
        <v>1347.5540771000001</v>
      </c>
      <c r="J725">
        <v>1342.5107422000001</v>
      </c>
      <c r="K725">
        <v>0</v>
      </c>
      <c r="L725">
        <v>2750</v>
      </c>
      <c r="M725">
        <v>2750</v>
      </c>
      <c r="N725">
        <v>0</v>
      </c>
    </row>
    <row r="726" spans="1:14" x14ac:dyDescent="0.25">
      <c r="A726">
        <v>214</v>
      </c>
      <c r="B726" s="1">
        <f>DATE(2010,12,1) + TIME(0,0,0)</f>
        <v>40513</v>
      </c>
      <c r="C726">
        <v>80</v>
      </c>
      <c r="D726">
        <v>75.695503235000004</v>
      </c>
      <c r="E726">
        <v>50</v>
      </c>
      <c r="F726">
        <v>49.957454681000002</v>
      </c>
      <c r="G726">
        <v>1324.7059326000001</v>
      </c>
      <c r="H726">
        <v>1321.7214355000001</v>
      </c>
      <c r="I726">
        <v>1347.5319824000001</v>
      </c>
      <c r="J726">
        <v>1342.4942627</v>
      </c>
      <c r="K726">
        <v>0</v>
      </c>
      <c r="L726">
        <v>2750</v>
      </c>
      <c r="M726">
        <v>2750</v>
      </c>
      <c r="N726">
        <v>0</v>
      </c>
    </row>
    <row r="727" spans="1:14" x14ac:dyDescent="0.25">
      <c r="A727">
        <v>214.83327399999999</v>
      </c>
      <c r="B727" s="1">
        <f>DATE(2010,12,1) + TIME(19,59,54)</f>
        <v>40513.83326388889</v>
      </c>
      <c r="C727">
        <v>80</v>
      </c>
      <c r="D727">
        <v>75.619560242000006</v>
      </c>
      <c r="E727">
        <v>50</v>
      </c>
      <c r="F727">
        <v>49.957473755000002</v>
      </c>
      <c r="G727">
        <v>1324.6875</v>
      </c>
      <c r="H727">
        <v>1321.692749</v>
      </c>
      <c r="I727">
        <v>1347.5264893000001</v>
      </c>
      <c r="J727">
        <v>1342.4902344</v>
      </c>
      <c r="K727">
        <v>0</v>
      </c>
      <c r="L727">
        <v>2750</v>
      </c>
      <c r="M727">
        <v>2750</v>
      </c>
      <c r="N727">
        <v>0</v>
      </c>
    </row>
    <row r="728" spans="1:14" x14ac:dyDescent="0.25">
      <c r="A728">
        <v>215.69309799999999</v>
      </c>
      <c r="B728" s="1">
        <f>DATE(2010,12,2) + TIME(16,38,3)</f>
        <v>40514.693090277775</v>
      </c>
      <c r="C728">
        <v>80</v>
      </c>
      <c r="D728">
        <v>75.538749695000007</v>
      </c>
      <c r="E728">
        <v>50</v>
      </c>
      <c r="F728">
        <v>49.957492827999999</v>
      </c>
      <c r="G728">
        <v>1324.6444091999999</v>
      </c>
      <c r="H728">
        <v>1321.6345214999999</v>
      </c>
      <c r="I728">
        <v>1347.505249</v>
      </c>
      <c r="J728">
        <v>1342.4744873</v>
      </c>
      <c r="K728">
        <v>0</v>
      </c>
      <c r="L728">
        <v>2750</v>
      </c>
      <c r="M728">
        <v>2750</v>
      </c>
      <c r="N728">
        <v>0</v>
      </c>
    </row>
    <row r="729" spans="1:14" x14ac:dyDescent="0.25">
      <c r="A729">
        <v>216.57772499999999</v>
      </c>
      <c r="B729" s="1">
        <f>DATE(2010,12,3) + TIME(13,51,55)</f>
        <v>40515.577719907407</v>
      </c>
      <c r="C729">
        <v>80</v>
      </c>
      <c r="D729">
        <v>75.454925536999994</v>
      </c>
      <c r="E729">
        <v>50</v>
      </c>
      <c r="F729">
        <v>49.957508087000001</v>
      </c>
      <c r="G729">
        <v>1324.5993652</v>
      </c>
      <c r="H729">
        <v>1321.5732422000001</v>
      </c>
      <c r="I729">
        <v>1347.4838867000001</v>
      </c>
      <c r="J729">
        <v>1342.4587402</v>
      </c>
      <c r="K729">
        <v>0</v>
      </c>
      <c r="L729">
        <v>2750</v>
      </c>
      <c r="M729">
        <v>2750</v>
      </c>
      <c r="N729">
        <v>0</v>
      </c>
    </row>
    <row r="730" spans="1:14" x14ac:dyDescent="0.25">
      <c r="A730">
        <v>217.48774599999999</v>
      </c>
      <c r="B730" s="1">
        <f>DATE(2010,12,4) + TIME(11,42,21)</f>
        <v>40516.487743055557</v>
      </c>
      <c r="C730">
        <v>80</v>
      </c>
      <c r="D730">
        <v>75.369018554999997</v>
      </c>
      <c r="E730">
        <v>50</v>
      </c>
      <c r="F730">
        <v>49.957530974999997</v>
      </c>
      <c r="G730">
        <v>1324.5527344</v>
      </c>
      <c r="H730">
        <v>1321.5096435999999</v>
      </c>
      <c r="I730">
        <v>1347.4625243999999</v>
      </c>
      <c r="J730">
        <v>1342.4428711</v>
      </c>
      <c r="K730">
        <v>0</v>
      </c>
      <c r="L730">
        <v>2750</v>
      </c>
      <c r="M730">
        <v>2750</v>
      </c>
      <c r="N730">
        <v>0</v>
      </c>
    </row>
    <row r="731" spans="1:14" x14ac:dyDescent="0.25">
      <c r="A731">
        <v>218.40979999999999</v>
      </c>
      <c r="B731" s="1">
        <f>DATE(2010,12,5) + TIME(9,50,6)</f>
        <v>40517.409791666665</v>
      </c>
      <c r="C731">
        <v>80</v>
      </c>
      <c r="D731">
        <v>75.282043457</v>
      </c>
      <c r="E731">
        <v>50</v>
      </c>
      <c r="F731">
        <v>49.957550048999998</v>
      </c>
      <c r="G731">
        <v>1324.5045166</v>
      </c>
      <c r="H731">
        <v>1321.4440918</v>
      </c>
      <c r="I731">
        <v>1347.4411620999999</v>
      </c>
      <c r="J731">
        <v>1342.427124</v>
      </c>
      <c r="K731">
        <v>0</v>
      </c>
      <c r="L731">
        <v>2750</v>
      </c>
      <c r="M731">
        <v>2750</v>
      </c>
      <c r="N731">
        <v>0</v>
      </c>
    </row>
    <row r="732" spans="1:14" x14ac:dyDescent="0.25">
      <c r="A732">
        <v>219.33911000000001</v>
      </c>
      <c r="B732" s="1">
        <f>DATE(2010,12,6) + TIME(8,8,19)</f>
        <v>40518.339108796295</v>
      </c>
      <c r="C732">
        <v>80</v>
      </c>
      <c r="D732">
        <v>75.194816588999998</v>
      </c>
      <c r="E732">
        <v>50</v>
      </c>
      <c r="F732">
        <v>49.957569122000002</v>
      </c>
      <c r="G732">
        <v>1324.4555664</v>
      </c>
      <c r="H732">
        <v>1321.3773193</v>
      </c>
      <c r="I732">
        <v>1347.4201660000001</v>
      </c>
      <c r="J732">
        <v>1342.4117432</v>
      </c>
      <c r="K732">
        <v>0</v>
      </c>
      <c r="L732">
        <v>2750</v>
      </c>
      <c r="M732">
        <v>2750</v>
      </c>
      <c r="N732">
        <v>0</v>
      </c>
    </row>
    <row r="733" spans="1:14" x14ac:dyDescent="0.25">
      <c r="A733">
        <v>220.28088099999999</v>
      </c>
      <c r="B733" s="1">
        <f>DATE(2010,12,7) + TIME(6,44,28)</f>
        <v>40519.28087962963</v>
      </c>
      <c r="C733">
        <v>80</v>
      </c>
      <c r="D733">
        <v>75.107574463000006</v>
      </c>
      <c r="E733">
        <v>50</v>
      </c>
      <c r="F733">
        <v>49.957592009999999</v>
      </c>
      <c r="G733">
        <v>1324.4061279</v>
      </c>
      <c r="H733">
        <v>1321.3098144999999</v>
      </c>
      <c r="I733">
        <v>1347.3996582</v>
      </c>
      <c r="J733">
        <v>1342.3966064000001</v>
      </c>
      <c r="K733">
        <v>0</v>
      </c>
      <c r="L733">
        <v>2750</v>
      </c>
      <c r="M733">
        <v>2750</v>
      </c>
      <c r="N733">
        <v>0</v>
      </c>
    </row>
    <row r="734" spans="1:14" x14ac:dyDescent="0.25">
      <c r="A734">
        <v>221.24037300000001</v>
      </c>
      <c r="B734" s="1">
        <f>DATE(2010,12,8) + TIME(5,46,8)</f>
        <v>40520.240370370368</v>
      </c>
      <c r="C734">
        <v>80</v>
      </c>
      <c r="D734">
        <v>75.020133971999996</v>
      </c>
      <c r="E734">
        <v>50</v>
      </c>
      <c r="F734">
        <v>49.957618713000002</v>
      </c>
      <c r="G734">
        <v>1324.3560791</v>
      </c>
      <c r="H734">
        <v>1321.2412108999999</v>
      </c>
      <c r="I734">
        <v>1347.3795166</v>
      </c>
      <c r="J734">
        <v>1342.3817139</v>
      </c>
      <c r="K734">
        <v>0</v>
      </c>
      <c r="L734">
        <v>2750</v>
      </c>
      <c r="M734">
        <v>2750</v>
      </c>
      <c r="N734">
        <v>0</v>
      </c>
    </row>
    <row r="735" spans="1:14" x14ac:dyDescent="0.25">
      <c r="A735">
        <v>222.214889</v>
      </c>
      <c r="B735" s="1">
        <f>DATE(2010,12,9) + TIME(5,9,26)</f>
        <v>40521.214884259258</v>
      </c>
      <c r="C735">
        <v>80</v>
      </c>
      <c r="D735">
        <v>74.932411193999997</v>
      </c>
      <c r="E735">
        <v>50</v>
      </c>
      <c r="F735">
        <v>49.957641602000002</v>
      </c>
      <c r="G735">
        <v>1324.3050536999999</v>
      </c>
      <c r="H735">
        <v>1321.1716309000001</v>
      </c>
      <c r="I735">
        <v>1347.3594971</v>
      </c>
      <c r="J735">
        <v>1342.3669434000001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223.20815099999999</v>
      </c>
      <c r="B736" s="1">
        <f>DATE(2010,12,10) + TIME(4,59,44)</f>
        <v>40522.208148148151</v>
      </c>
      <c r="C736">
        <v>80</v>
      </c>
      <c r="D736">
        <v>74.844299316000004</v>
      </c>
      <c r="E736">
        <v>50</v>
      </c>
      <c r="F736">
        <v>49.957672119000001</v>
      </c>
      <c r="G736">
        <v>1324.2532959</v>
      </c>
      <c r="H736">
        <v>1321.1009521000001</v>
      </c>
      <c r="I736">
        <v>1347.3397216999999</v>
      </c>
      <c r="J736">
        <v>1342.3525391000001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224.22566499999999</v>
      </c>
      <c r="B737" s="1">
        <f>DATE(2010,12,11) + TIME(5,24,57)</f>
        <v>40523.225659722222</v>
      </c>
      <c r="C737">
        <v>80</v>
      </c>
      <c r="D737">
        <v>74.755561829000001</v>
      </c>
      <c r="E737">
        <v>50</v>
      </c>
      <c r="F737">
        <v>49.957698821999998</v>
      </c>
      <c r="G737">
        <v>1324.2005615</v>
      </c>
      <c r="H737">
        <v>1321.0288086</v>
      </c>
      <c r="I737">
        <v>1347.3200684000001</v>
      </c>
      <c r="J737">
        <v>1342.3381348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225.27150599999999</v>
      </c>
      <c r="B738" s="1">
        <f>DATE(2010,12,12) + TIME(6,30,58)</f>
        <v>40524.271504629629</v>
      </c>
      <c r="C738">
        <v>80</v>
      </c>
      <c r="D738">
        <v>74.665863036999994</v>
      </c>
      <c r="E738">
        <v>50</v>
      </c>
      <c r="F738">
        <v>49.95772934</v>
      </c>
      <c r="G738">
        <v>1324.1467285000001</v>
      </c>
      <c r="H738">
        <v>1320.9552002</v>
      </c>
      <c r="I738">
        <v>1347.3005370999999</v>
      </c>
      <c r="J738">
        <v>1342.3238524999999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226.344233</v>
      </c>
      <c r="B739" s="1">
        <f>DATE(2010,12,13) + TIME(8,15,41)</f>
        <v>40525.344224537039</v>
      </c>
      <c r="C739">
        <v>80</v>
      </c>
      <c r="D739">
        <v>74.575057982999994</v>
      </c>
      <c r="E739">
        <v>50</v>
      </c>
      <c r="F739">
        <v>49.957763671999999</v>
      </c>
      <c r="G739">
        <v>1324.0914307</v>
      </c>
      <c r="H739">
        <v>1320.8797606999999</v>
      </c>
      <c r="I739">
        <v>1347.2810059000001</v>
      </c>
      <c r="J739">
        <v>1342.3095702999999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227.43719100000001</v>
      </c>
      <c r="B740" s="1">
        <f>DATE(2010,12,14) + TIME(10,29,33)</f>
        <v>40526.4371875</v>
      </c>
      <c r="C740">
        <v>80</v>
      </c>
      <c r="D740">
        <v>74.483345032000003</v>
      </c>
      <c r="E740">
        <v>50</v>
      </c>
      <c r="F740">
        <v>49.957798003999997</v>
      </c>
      <c r="G740">
        <v>1324.0347899999999</v>
      </c>
      <c r="H740">
        <v>1320.8023682</v>
      </c>
      <c r="I740">
        <v>1347.2615966999999</v>
      </c>
      <c r="J740">
        <v>1342.2952881000001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228.540876</v>
      </c>
      <c r="B741" s="1">
        <f>DATE(2010,12,15) + TIME(12,58,51)</f>
        <v>40527.540868055556</v>
      </c>
      <c r="C741">
        <v>80</v>
      </c>
      <c r="D741">
        <v>74.391235351999995</v>
      </c>
      <c r="E741">
        <v>50</v>
      </c>
      <c r="F741">
        <v>49.957832336000003</v>
      </c>
      <c r="G741">
        <v>1323.9771728999999</v>
      </c>
      <c r="H741">
        <v>1320.7236327999999</v>
      </c>
      <c r="I741">
        <v>1347.2423096</v>
      </c>
      <c r="J741">
        <v>1342.28125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229.66107199999999</v>
      </c>
      <c r="B742" s="1">
        <f>DATE(2010,12,16) + TIME(15,51,56)</f>
        <v>40528.661064814813</v>
      </c>
      <c r="C742">
        <v>80</v>
      </c>
      <c r="D742">
        <v>74.298912048000005</v>
      </c>
      <c r="E742">
        <v>50</v>
      </c>
      <c r="F742">
        <v>49.957866668999998</v>
      </c>
      <c r="G742">
        <v>1323.9189452999999</v>
      </c>
      <c r="H742">
        <v>1320.6439209</v>
      </c>
      <c r="I742">
        <v>1347.2233887</v>
      </c>
      <c r="J742">
        <v>1342.2674560999999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230.79527100000001</v>
      </c>
      <c r="B743" s="1">
        <f>DATE(2010,12,17) + TIME(19,5,11)</f>
        <v>40529.795266203706</v>
      </c>
      <c r="C743">
        <v>80</v>
      </c>
      <c r="D743">
        <v>74.206413268999995</v>
      </c>
      <c r="E743">
        <v>50</v>
      </c>
      <c r="F743">
        <v>49.957904816000003</v>
      </c>
      <c r="G743">
        <v>1323.8598632999999</v>
      </c>
      <c r="H743">
        <v>1320.5631103999999</v>
      </c>
      <c r="I743">
        <v>1347.2045897999999</v>
      </c>
      <c r="J743">
        <v>1342.2537841999999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231.94656900000001</v>
      </c>
      <c r="B744" s="1">
        <f>DATE(2010,12,18) + TIME(22,43,3)</f>
        <v>40530.946562500001</v>
      </c>
      <c r="C744">
        <v>80</v>
      </c>
      <c r="D744">
        <v>74.113677979000002</v>
      </c>
      <c r="E744">
        <v>50</v>
      </c>
      <c r="F744">
        <v>49.957946776999997</v>
      </c>
      <c r="G744">
        <v>1323.8001709</v>
      </c>
      <c r="H744">
        <v>1320.4814452999999</v>
      </c>
      <c r="I744">
        <v>1347.1861572</v>
      </c>
      <c r="J744">
        <v>1342.2403564000001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233.121329</v>
      </c>
      <c r="B745" s="1">
        <f>DATE(2010,12,20) + TIME(2,54,42)</f>
        <v>40532.121319444443</v>
      </c>
      <c r="C745">
        <v>80</v>
      </c>
      <c r="D745">
        <v>74.020439147999994</v>
      </c>
      <c r="E745">
        <v>50</v>
      </c>
      <c r="F745">
        <v>49.957984924000002</v>
      </c>
      <c r="G745">
        <v>1323.739624</v>
      </c>
      <c r="H745">
        <v>1320.3985596</v>
      </c>
      <c r="I745">
        <v>1347.1679687999999</v>
      </c>
      <c r="J745">
        <v>1342.2270507999999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234.32628500000001</v>
      </c>
      <c r="B746" s="1">
        <f>DATE(2010,12,21) + TIME(7,49,50)</f>
        <v>40533.326273148145</v>
      </c>
      <c r="C746">
        <v>80</v>
      </c>
      <c r="D746">
        <v>73.926239014000004</v>
      </c>
      <c r="E746">
        <v>50</v>
      </c>
      <c r="F746">
        <v>49.958030700999998</v>
      </c>
      <c r="G746">
        <v>1323.6779785000001</v>
      </c>
      <c r="H746">
        <v>1320.3142089999999</v>
      </c>
      <c r="I746">
        <v>1347.1497803</v>
      </c>
      <c r="J746">
        <v>1342.2139893000001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235.55601999999999</v>
      </c>
      <c r="B747" s="1">
        <f>DATE(2010,12,22) + TIME(13,20,40)</f>
        <v>40534.556018518517</v>
      </c>
      <c r="C747">
        <v>80</v>
      </c>
      <c r="D747">
        <v>73.830924988000007</v>
      </c>
      <c r="E747">
        <v>50</v>
      </c>
      <c r="F747">
        <v>49.958072661999999</v>
      </c>
      <c r="G747">
        <v>1323.6151123</v>
      </c>
      <c r="H747">
        <v>1320.2281493999999</v>
      </c>
      <c r="I747">
        <v>1347.1317139</v>
      </c>
      <c r="J747">
        <v>1342.2008057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236.80709200000001</v>
      </c>
      <c r="B748" s="1">
        <f>DATE(2010,12,23) + TIME(19,22,12)</f>
        <v>40535.807083333333</v>
      </c>
      <c r="C748">
        <v>80</v>
      </c>
      <c r="D748">
        <v>73.734626770000006</v>
      </c>
      <c r="E748">
        <v>50</v>
      </c>
      <c r="F748">
        <v>49.958122252999999</v>
      </c>
      <c r="G748">
        <v>1323.5510254000001</v>
      </c>
      <c r="H748">
        <v>1320.1403809000001</v>
      </c>
      <c r="I748">
        <v>1347.1136475000001</v>
      </c>
      <c r="J748">
        <v>1342.1877440999999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238.076064</v>
      </c>
      <c r="B749" s="1">
        <f>DATE(2010,12,25) + TIME(1,49,31)</f>
        <v>40537.076053240744</v>
      </c>
      <c r="C749">
        <v>80</v>
      </c>
      <c r="D749">
        <v>73.637535095000004</v>
      </c>
      <c r="E749">
        <v>50</v>
      </c>
      <c r="F749">
        <v>49.958168030000003</v>
      </c>
      <c r="G749">
        <v>1323.4858397999999</v>
      </c>
      <c r="H749">
        <v>1320.0511475000001</v>
      </c>
      <c r="I749">
        <v>1347.0958252</v>
      </c>
      <c r="J749">
        <v>1342.1748047000001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239.355782</v>
      </c>
      <c r="B750" s="1">
        <f>DATE(2010,12,26) + TIME(8,32,19)</f>
        <v>40538.355775462966</v>
      </c>
      <c r="C750">
        <v>80</v>
      </c>
      <c r="D750">
        <v>73.539970397999994</v>
      </c>
      <c r="E750">
        <v>50</v>
      </c>
      <c r="F750">
        <v>49.958217621000003</v>
      </c>
      <c r="G750">
        <v>1323.4199219</v>
      </c>
      <c r="H750">
        <v>1319.9609375</v>
      </c>
      <c r="I750">
        <v>1347.078125</v>
      </c>
      <c r="J750">
        <v>1342.1621094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240.65351100000001</v>
      </c>
      <c r="B751" s="1">
        <f>DATE(2010,12,27) + TIME(15,41,3)</f>
        <v>40539.653506944444</v>
      </c>
      <c r="C751">
        <v>80</v>
      </c>
      <c r="D751">
        <v>73.441978454999997</v>
      </c>
      <c r="E751">
        <v>50</v>
      </c>
      <c r="F751">
        <v>49.958267212000003</v>
      </c>
      <c r="G751">
        <v>1323.3535156</v>
      </c>
      <c r="H751">
        <v>1319.8698730000001</v>
      </c>
      <c r="I751">
        <v>1347.0607910000001</v>
      </c>
      <c r="J751">
        <v>1342.1495361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241.97665900000001</v>
      </c>
      <c r="B752" s="1">
        <f>DATE(2010,12,28) + TIME(23,26,23)</f>
        <v>40540.976655092592</v>
      </c>
      <c r="C752">
        <v>80</v>
      </c>
      <c r="D752">
        <v>73.343185425000001</v>
      </c>
      <c r="E752">
        <v>50</v>
      </c>
      <c r="F752">
        <v>49.958316803000002</v>
      </c>
      <c r="G752">
        <v>1323.2862548999999</v>
      </c>
      <c r="H752">
        <v>1319.7777100000001</v>
      </c>
      <c r="I752">
        <v>1347.0435791</v>
      </c>
      <c r="J752">
        <v>1342.1370850000001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243.324848</v>
      </c>
      <c r="B753" s="1">
        <f>DATE(2010,12,30) + TIME(7,47,46)</f>
        <v>40542.324837962966</v>
      </c>
      <c r="C753">
        <v>80</v>
      </c>
      <c r="D753">
        <v>73.243232727000006</v>
      </c>
      <c r="E753">
        <v>50</v>
      </c>
      <c r="F753">
        <v>49.958370209000002</v>
      </c>
      <c r="G753">
        <v>1323.2180175999999</v>
      </c>
      <c r="H753">
        <v>1319.6842041</v>
      </c>
      <c r="I753">
        <v>1347.0266113</v>
      </c>
      <c r="J753">
        <v>1342.1247559000001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244.69828899999999</v>
      </c>
      <c r="B754" s="1">
        <f>DATE(2010,12,31) + TIME(16,45,32)</f>
        <v>40543.698287037034</v>
      </c>
      <c r="C754">
        <v>80</v>
      </c>
      <c r="D754">
        <v>73.141983031999999</v>
      </c>
      <c r="E754">
        <v>50</v>
      </c>
      <c r="F754">
        <v>49.958423615000001</v>
      </c>
      <c r="G754">
        <v>1323.1488036999999</v>
      </c>
      <c r="H754">
        <v>1319.5891113</v>
      </c>
      <c r="I754">
        <v>1347.0096435999999</v>
      </c>
      <c r="J754">
        <v>1342.1125488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245</v>
      </c>
      <c r="B755" s="1">
        <f>DATE(2011,1,1) + TIME(0,0,0)</f>
        <v>40544</v>
      </c>
      <c r="C755">
        <v>80</v>
      </c>
      <c r="D755">
        <v>73.093841553000004</v>
      </c>
      <c r="E755">
        <v>50</v>
      </c>
      <c r="F755">
        <v>49.958427428999997</v>
      </c>
      <c r="G755">
        <v>1323.0847168</v>
      </c>
      <c r="H755">
        <v>1319.5056152</v>
      </c>
      <c r="I755">
        <v>1346.9924315999999</v>
      </c>
      <c r="J755">
        <v>1342.1000977000001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246.40450899999999</v>
      </c>
      <c r="B756" s="1">
        <f>DATE(2011,1,2) + TIME(9,42,29)</f>
        <v>40545.404502314814</v>
      </c>
      <c r="C756">
        <v>80</v>
      </c>
      <c r="D756">
        <v>73.008781432999996</v>
      </c>
      <c r="E756">
        <v>50</v>
      </c>
      <c r="F756">
        <v>49.958492278999998</v>
      </c>
      <c r="G756">
        <v>1323.0574951000001</v>
      </c>
      <c r="H756">
        <v>1319.4619141000001</v>
      </c>
      <c r="I756">
        <v>1346.9891356999999</v>
      </c>
      <c r="J756">
        <v>1342.0977783000001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247.83183700000001</v>
      </c>
      <c r="B757" s="1">
        <f>DATE(2011,1,3) + TIME(19,57,50)</f>
        <v>40546.831828703704</v>
      </c>
      <c r="C757">
        <v>80</v>
      </c>
      <c r="D757">
        <v>72.909950256000002</v>
      </c>
      <c r="E757">
        <v>50</v>
      </c>
      <c r="F757">
        <v>49.958553314</v>
      </c>
      <c r="G757">
        <v>1322.9895019999999</v>
      </c>
      <c r="H757">
        <v>1319.3699951000001</v>
      </c>
      <c r="I757">
        <v>1346.9722899999999</v>
      </c>
      <c r="J757">
        <v>1342.0856934000001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249.28167999999999</v>
      </c>
      <c r="B758" s="1">
        <f>DATE(2011,1,5) + TIME(6,45,37)</f>
        <v>40548.281678240739</v>
      </c>
      <c r="C758">
        <v>80</v>
      </c>
      <c r="D758">
        <v>72.805755614999995</v>
      </c>
      <c r="E758">
        <v>50</v>
      </c>
      <c r="F758">
        <v>49.958610534999998</v>
      </c>
      <c r="G758">
        <v>1322.9179687999999</v>
      </c>
      <c r="H758">
        <v>1319.2723389</v>
      </c>
      <c r="I758">
        <v>1346.9556885</v>
      </c>
      <c r="J758">
        <v>1342.0737305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250.74885399999999</v>
      </c>
      <c r="B759" s="1">
        <f>DATE(2011,1,6) + TIME(17,58,20)</f>
        <v>40549.748842592591</v>
      </c>
      <c r="C759">
        <v>80</v>
      </c>
      <c r="D759">
        <v>72.698951721</v>
      </c>
      <c r="E759">
        <v>50</v>
      </c>
      <c r="F759">
        <v>49.95867157</v>
      </c>
      <c r="G759">
        <v>1322.8448486</v>
      </c>
      <c r="H759">
        <v>1319.1719971</v>
      </c>
      <c r="I759">
        <v>1346.9392089999999</v>
      </c>
      <c r="J759">
        <v>1342.0618896000001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252.242097</v>
      </c>
      <c r="B760" s="1">
        <f>DATE(2011,1,8) + TIME(5,48,37)</f>
        <v>40551.242094907408</v>
      </c>
      <c r="C760">
        <v>80</v>
      </c>
      <c r="D760">
        <v>72.590301514000004</v>
      </c>
      <c r="E760">
        <v>50</v>
      </c>
      <c r="F760">
        <v>49.958736420000001</v>
      </c>
      <c r="G760">
        <v>1322.7707519999999</v>
      </c>
      <c r="H760">
        <v>1319.0701904</v>
      </c>
      <c r="I760">
        <v>1346.9229736</v>
      </c>
      <c r="J760">
        <v>1342.0501709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253.75975500000001</v>
      </c>
      <c r="B761" s="1">
        <f>DATE(2011,1,9) + TIME(18,14,2)</f>
        <v>40552.759745370371</v>
      </c>
      <c r="C761">
        <v>80</v>
      </c>
      <c r="D761">
        <v>72.479751586999996</v>
      </c>
      <c r="E761">
        <v>50</v>
      </c>
      <c r="F761">
        <v>49.958801270000002</v>
      </c>
      <c r="G761">
        <v>1322.6955565999999</v>
      </c>
      <c r="H761">
        <v>1318.9669189000001</v>
      </c>
      <c r="I761">
        <v>1346.9067382999999</v>
      </c>
      <c r="J761">
        <v>1342.0385742000001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255.301008</v>
      </c>
      <c r="B762" s="1">
        <f>DATE(2011,1,11) + TIME(7,13,27)</f>
        <v>40554.301006944443</v>
      </c>
      <c r="C762">
        <v>80</v>
      </c>
      <c r="D762">
        <v>72.367256165000001</v>
      </c>
      <c r="E762">
        <v>50</v>
      </c>
      <c r="F762">
        <v>49.958866119</v>
      </c>
      <c r="G762">
        <v>1322.6193848</v>
      </c>
      <c r="H762">
        <v>1318.8623047000001</v>
      </c>
      <c r="I762">
        <v>1346.890625</v>
      </c>
      <c r="J762">
        <v>1342.0269774999999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256.87465600000002</v>
      </c>
      <c r="B763" s="1">
        <f>DATE(2011,1,12) + TIME(20,59,30)</f>
        <v>40555.874652777777</v>
      </c>
      <c r="C763">
        <v>80</v>
      </c>
      <c r="D763">
        <v>72.252571106000005</v>
      </c>
      <c r="E763">
        <v>50</v>
      </c>
      <c r="F763">
        <v>49.958934784</v>
      </c>
      <c r="G763">
        <v>1322.5423584</v>
      </c>
      <c r="H763">
        <v>1318.7563477000001</v>
      </c>
      <c r="I763">
        <v>1346.8746338000001</v>
      </c>
      <c r="J763">
        <v>1342.0155029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258.46754299999998</v>
      </c>
      <c r="B764" s="1">
        <f>DATE(2011,1,14) + TIME(11,13,15)</f>
        <v>40557.467534722222</v>
      </c>
      <c r="C764">
        <v>80</v>
      </c>
      <c r="D764">
        <v>72.135528563999998</v>
      </c>
      <c r="E764">
        <v>50</v>
      </c>
      <c r="F764">
        <v>49.959003447999997</v>
      </c>
      <c r="G764">
        <v>1322.4642334</v>
      </c>
      <c r="H764">
        <v>1318.6488036999999</v>
      </c>
      <c r="I764">
        <v>1346.8586425999999</v>
      </c>
      <c r="J764">
        <v>1342.0040283000001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260.07899400000002</v>
      </c>
      <c r="B765" s="1">
        <f>DATE(2011,1,16) + TIME(1,53,45)</f>
        <v>40559.078993055555</v>
      </c>
      <c r="C765">
        <v>80</v>
      </c>
      <c r="D765">
        <v>72.016418457</v>
      </c>
      <c r="E765">
        <v>50</v>
      </c>
      <c r="F765">
        <v>49.959072112999998</v>
      </c>
      <c r="G765">
        <v>1322.3852539</v>
      </c>
      <c r="H765">
        <v>1318.5402832</v>
      </c>
      <c r="I765">
        <v>1346.8428954999999</v>
      </c>
      <c r="J765">
        <v>1341.9926757999999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261.71798999999999</v>
      </c>
      <c r="B766" s="1">
        <f>DATE(2011,1,17) + TIME(17,13,54)</f>
        <v>40560.717986111114</v>
      </c>
      <c r="C766">
        <v>80</v>
      </c>
      <c r="D766">
        <v>71.895095824999999</v>
      </c>
      <c r="E766">
        <v>50</v>
      </c>
      <c r="F766">
        <v>49.959140777999998</v>
      </c>
      <c r="G766">
        <v>1322.3056641000001</v>
      </c>
      <c r="H766">
        <v>1318.4306641000001</v>
      </c>
      <c r="I766">
        <v>1346.8272704999999</v>
      </c>
      <c r="J766">
        <v>1341.9814452999999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263.38305200000002</v>
      </c>
      <c r="B767" s="1">
        <f>DATE(2011,1,19) + TIME(9,11,35)</f>
        <v>40562.383043981485</v>
      </c>
      <c r="C767">
        <v>80</v>
      </c>
      <c r="D767">
        <v>71.771125792999996</v>
      </c>
      <c r="E767">
        <v>50</v>
      </c>
      <c r="F767">
        <v>49.959217072000001</v>
      </c>
      <c r="G767">
        <v>1322.2252197</v>
      </c>
      <c r="H767">
        <v>1318.3198242000001</v>
      </c>
      <c r="I767">
        <v>1346.8117675999999</v>
      </c>
      <c r="J767">
        <v>1341.9703368999999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265.06947200000002</v>
      </c>
      <c r="B768" s="1">
        <f>DATE(2011,1,21) + TIME(1,40,2)</f>
        <v>40564.069467592592</v>
      </c>
      <c r="C768">
        <v>80</v>
      </c>
      <c r="D768">
        <v>71.644439696999996</v>
      </c>
      <c r="E768">
        <v>50</v>
      </c>
      <c r="F768">
        <v>49.959289550999998</v>
      </c>
      <c r="G768">
        <v>1322.1439209</v>
      </c>
      <c r="H768">
        <v>1318.2077637</v>
      </c>
      <c r="I768">
        <v>1346.7962646000001</v>
      </c>
      <c r="J768">
        <v>1341.9592285000001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266.787148</v>
      </c>
      <c r="B769" s="1">
        <f>DATE(2011,1,22) + TIME(18,53,29)</f>
        <v>40565.787141203706</v>
      </c>
      <c r="C769">
        <v>80</v>
      </c>
      <c r="D769">
        <v>71.514884949000006</v>
      </c>
      <c r="E769">
        <v>50</v>
      </c>
      <c r="F769">
        <v>49.959365845000001</v>
      </c>
      <c r="G769">
        <v>1322.0618896000001</v>
      </c>
      <c r="H769">
        <v>1318.0946045000001</v>
      </c>
      <c r="I769">
        <v>1346.7808838000001</v>
      </c>
      <c r="J769">
        <v>1341.9482422000001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268.541945</v>
      </c>
      <c r="B770" s="1">
        <f>DATE(2011,1,24) + TIME(13,0,24)</f>
        <v>40567.541944444441</v>
      </c>
      <c r="C770">
        <v>80</v>
      </c>
      <c r="D770">
        <v>71.381828307999996</v>
      </c>
      <c r="E770">
        <v>50</v>
      </c>
      <c r="F770">
        <v>49.959442138999997</v>
      </c>
      <c r="G770">
        <v>1321.9787598</v>
      </c>
      <c r="H770">
        <v>1317.9799805</v>
      </c>
      <c r="I770">
        <v>1346.765625</v>
      </c>
      <c r="J770">
        <v>1341.9372559000001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270.31622900000002</v>
      </c>
      <c r="B771" s="1">
        <f>DATE(2011,1,26) + TIME(7,35,22)</f>
        <v>40569.31622685185</v>
      </c>
      <c r="C771">
        <v>80</v>
      </c>
      <c r="D771">
        <v>71.245079040999997</v>
      </c>
      <c r="E771">
        <v>50</v>
      </c>
      <c r="F771">
        <v>49.959522247000002</v>
      </c>
      <c r="G771">
        <v>1321.8945312000001</v>
      </c>
      <c r="H771">
        <v>1317.8637695</v>
      </c>
      <c r="I771">
        <v>1346.7502440999999</v>
      </c>
      <c r="J771">
        <v>1341.9261475000001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272.10175600000002</v>
      </c>
      <c r="B772" s="1">
        <f>DATE(2011,1,28) + TIME(2,26,31)</f>
        <v>40571.101747685185</v>
      </c>
      <c r="C772">
        <v>80</v>
      </c>
      <c r="D772">
        <v>71.105308532999999</v>
      </c>
      <c r="E772">
        <v>50</v>
      </c>
      <c r="F772">
        <v>49.959602355999998</v>
      </c>
      <c r="G772">
        <v>1321.8095702999999</v>
      </c>
      <c r="H772">
        <v>1317.7464600000001</v>
      </c>
      <c r="I772">
        <v>1346.7351074000001</v>
      </c>
      <c r="J772">
        <v>1341.9152832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273.908863</v>
      </c>
      <c r="B773" s="1">
        <f>DATE(2011,1,29) + TIME(21,48,45)</f>
        <v>40572.908854166664</v>
      </c>
      <c r="C773">
        <v>80</v>
      </c>
      <c r="D773">
        <v>70.962738036999994</v>
      </c>
      <c r="E773">
        <v>50</v>
      </c>
      <c r="F773">
        <v>49.959682465</v>
      </c>
      <c r="G773">
        <v>1321.7244873</v>
      </c>
      <c r="H773">
        <v>1317.6287841999999</v>
      </c>
      <c r="I773">
        <v>1346.7200928</v>
      </c>
      <c r="J773">
        <v>1341.9045410000001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275.74778500000002</v>
      </c>
      <c r="B774" s="1">
        <f>DATE(2011,1,31) + TIME(17,56,48)</f>
        <v>40574.747777777775</v>
      </c>
      <c r="C774">
        <v>80</v>
      </c>
      <c r="D774">
        <v>70.816680907999995</v>
      </c>
      <c r="E774">
        <v>50</v>
      </c>
      <c r="F774">
        <v>49.959762572999999</v>
      </c>
      <c r="G774">
        <v>1321.6389160000001</v>
      </c>
      <c r="H774">
        <v>1317.5102539</v>
      </c>
      <c r="I774">
        <v>1346.7053223</v>
      </c>
      <c r="J774">
        <v>1341.8937988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276</v>
      </c>
      <c r="B775" s="1">
        <f>DATE(2011,2,1) + TIME(0,0,0)</f>
        <v>40575</v>
      </c>
      <c r="C775">
        <v>80</v>
      </c>
      <c r="D775">
        <v>70.756179810000006</v>
      </c>
      <c r="E775">
        <v>50</v>
      </c>
      <c r="F775">
        <v>49.959766387999998</v>
      </c>
      <c r="G775">
        <v>1321.5604248</v>
      </c>
      <c r="H775">
        <v>1317.4095459</v>
      </c>
      <c r="I775">
        <v>1346.6900635</v>
      </c>
      <c r="J775">
        <v>1341.8828125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277.87429900000001</v>
      </c>
      <c r="B776" s="1">
        <f>DATE(2011,2,2) + TIME(20,58,59)</f>
        <v>40576.874293981484</v>
      </c>
      <c r="C776">
        <v>80</v>
      </c>
      <c r="D776">
        <v>70.636291503999999</v>
      </c>
      <c r="E776">
        <v>50</v>
      </c>
      <c r="F776">
        <v>49.959857941000003</v>
      </c>
      <c r="G776">
        <v>1321.5343018000001</v>
      </c>
      <c r="H776">
        <v>1317.3630370999999</v>
      </c>
      <c r="I776">
        <v>1346.6884766000001</v>
      </c>
      <c r="J776">
        <v>1341.8817139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279.792079</v>
      </c>
      <c r="B777" s="1">
        <f>DATE(2011,2,4) + TIME(19,0,35)</f>
        <v>40578.792071759257</v>
      </c>
      <c r="C777">
        <v>80</v>
      </c>
      <c r="D777">
        <v>70.488021850999999</v>
      </c>
      <c r="E777">
        <v>50</v>
      </c>
      <c r="F777">
        <v>49.959945679</v>
      </c>
      <c r="G777">
        <v>1321.4514160000001</v>
      </c>
      <c r="H777">
        <v>1317.2501221</v>
      </c>
      <c r="I777">
        <v>1346.6735839999999</v>
      </c>
      <c r="J777">
        <v>1341.8709716999999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281.74624799999998</v>
      </c>
      <c r="B778" s="1">
        <f>DATE(2011,2,6) + TIME(17,54,35)</f>
        <v>40580.746238425927</v>
      </c>
      <c r="C778">
        <v>80</v>
      </c>
      <c r="D778">
        <v>70.328575134000005</v>
      </c>
      <c r="E778">
        <v>50</v>
      </c>
      <c r="F778">
        <v>49.960033416999998</v>
      </c>
      <c r="G778">
        <v>1321.3636475000001</v>
      </c>
      <c r="H778">
        <v>1317.1291504000001</v>
      </c>
      <c r="I778">
        <v>1346.6588135</v>
      </c>
      <c r="J778">
        <v>1341.8603516000001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283.71612299999998</v>
      </c>
      <c r="B779" s="1">
        <f>DATE(2011,2,8) + TIME(17,11,13)</f>
        <v>40582.716122685182</v>
      </c>
      <c r="C779">
        <v>80</v>
      </c>
      <c r="D779">
        <v>70.162788391000007</v>
      </c>
      <c r="E779">
        <v>50</v>
      </c>
      <c r="F779">
        <v>49.960121155000003</v>
      </c>
      <c r="G779">
        <v>1321.2740478999999</v>
      </c>
      <c r="H779">
        <v>1317.0050048999999</v>
      </c>
      <c r="I779">
        <v>1346.6439209</v>
      </c>
      <c r="J779">
        <v>1341.8496094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285.69252899999998</v>
      </c>
      <c r="B780" s="1">
        <f>DATE(2011,2,10) + TIME(16,37,14)</f>
        <v>40584.692523148151</v>
      </c>
      <c r="C780">
        <v>80</v>
      </c>
      <c r="D780">
        <v>69.992706299000005</v>
      </c>
      <c r="E780">
        <v>50</v>
      </c>
      <c r="F780">
        <v>49.960208893000001</v>
      </c>
      <c r="G780">
        <v>1321.1838379000001</v>
      </c>
      <c r="H780">
        <v>1316.8797606999999</v>
      </c>
      <c r="I780">
        <v>1346.6291504000001</v>
      </c>
      <c r="J780">
        <v>1341.8388672000001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287.687614</v>
      </c>
      <c r="B781" s="1">
        <f>DATE(2011,2,12) + TIME(16,30,9)</f>
        <v>40586.687604166669</v>
      </c>
      <c r="C781">
        <v>80</v>
      </c>
      <c r="D781">
        <v>69.818763732999997</v>
      </c>
      <c r="E781">
        <v>50</v>
      </c>
      <c r="F781">
        <v>49.960300445999998</v>
      </c>
      <c r="G781">
        <v>1321.0936279</v>
      </c>
      <c r="H781">
        <v>1316.7545166</v>
      </c>
      <c r="I781">
        <v>1346.6147461</v>
      </c>
      <c r="J781">
        <v>1341.8283690999999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289.713053</v>
      </c>
      <c r="B782" s="1">
        <f>DATE(2011,2,14) + TIME(17,6,47)</f>
        <v>40588.713043981479</v>
      </c>
      <c r="C782">
        <v>80</v>
      </c>
      <c r="D782">
        <v>69.640289307000003</v>
      </c>
      <c r="E782">
        <v>50</v>
      </c>
      <c r="F782">
        <v>49.960391997999999</v>
      </c>
      <c r="G782">
        <v>1321.003418</v>
      </c>
      <c r="H782">
        <v>1316.6289062000001</v>
      </c>
      <c r="I782">
        <v>1346.6003418</v>
      </c>
      <c r="J782">
        <v>1341.8179932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291.78071899999998</v>
      </c>
      <c r="B783" s="1">
        <f>DATE(2011,2,16) + TIME(18,44,14)</f>
        <v>40590.780717592592</v>
      </c>
      <c r="C783">
        <v>80</v>
      </c>
      <c r="D783">
        <v>69.456161499000004</v>
      </c>
      <c r="E783">
        <v>50</v>
      </c>
      <c r="F783">
        <v>49.960483551000003</v>
      </c>
      <c r="G783">
        <v>1320.9124756000001</v>
      </c>
      <c r="H783">
        <v>1316.5023193</v>
      </c>
      <c r="I783">
        <v>1346.5859375</v>
      </c>
      <c r="J783">
        <v>1341.8074951000001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293.89624400000002</v>
      </c>
      <c r="B784" s="1">
        <f>DATE(2011,2,18) + TIME(21,30,35)</f>
        <v>40592.896238425928</v>
      </c>
      <c r="C784">
        <v>80</v>
      </c>
      <c r="D784">
        <v>69.265243530000006</v>
      </c>
      <c r="E784">
        <v>50</v>
      </c>
      <c r="F784">
        <v>49.960578918000003</v>
      </c>
      <c r="G784">
        <v>1320.8204346</v>
      </c>
      <c r="H784">
        <v>1316.3741454999999</v>
      </c>
      <c r="I784">
        <v>1346.5715332</v>
      </c>
      <c r="J784">
        <v>1341.7971190999999</v>
      </c>
      <c r="K784">
        <v>0</v>
      </c>
      <c r="L784">
        <v>2750</v>
      </c>
      <c r="M784">
        <v>2750</v>
      </c>
      <c r="N784">
        <v>0</v>
      </c>
    </row>
    <row r="785" spans="1:14" x14ac:dyDescent="0.25">
      <c r="A785">
        <v>296.04757599999999</v>
      </c>
      <c r="B785" s="1">
        <f>DATE(2011,2,21) + TIME(1,8,30)</f>
        <v>40595.047569444447</v>
      </c>
      <c r="C785">
        <v>80</v>
      </c>
      <c r="D785">
        <v>69.066925049000005</v>
      </c>
      <c r="E785">
        <v>50</v>
      </c>
      <c r="F785">
        <v>49.960678100999999</v>
      </c>
      <c r="G785">
        <v>1320.7270507999999</v>
      </c>
      <c r="H785">
        <v>1316.2440185999999</v>
      </c>
      <c r="I785">
        <v>1346.5570068</v>
      </c>
      <c r="J785">
        <v>1341.786499</v>
      </c>
      <c r="K785">
        <v>0</v>
      </c>
      <c r="L785">
        <v>2750</v>
      </c>
      <c r="M785">
        <v>2750</v>
      </c>
      <c r="N785">
        <v>0</v>
      </c>
    </row>
    <row r="786" spans="1:14" x14ac:dyDescent="0.25">
      <c r="A786">
        <v>298.21141999999998</v>
      </c>
      <c r="B786" s="1">
        <f>DATE(2011,2,23) + TIME(5,4,26)</f>
        <v>40597.211412037039</v>
      </c>
      <c r="C786">
        <v>80</v>
      </c>
      <c r="D786">
        <v>68.861930846999996</v>
      </c>
      <c r="E786">
        <v>50</v>
      </c>
      <c r="F786">
        <v>49.960773467999999</v>
      </c>
      <c r="G786">
        <v>1320.6328125</v>
      </c>
      <c r="H786">
        <v>1316.1125488</v>
      </c>
      <c r="I786">
        <v>1346.5424805</v>
      </c>
      <c r="J786">
        <v>1341.7758789</v>
      </c>
      <c r="K786">
        <v>0</v>
      </c>
      <c r="L786">
        <v>2750</v>
      </c>
      <c r="M786">
        <v>2750</v>
      </c>
      <c r="N786">
        <v>0</v>
      </c>
    </row>
    <row r="787" spans="1:14" x14ac:dyDescent="0.25">
      <c r="A787">
        <v>300.37929700000001</v>
      </c>
      <c r="B787" s="1">
        <f>DATE(2011,2,25) + TIME(9,6,11)</f>
        <v>40599.379293981481</v>
      </c>
      <c r="C787">
        <v>80</v>
      </c>
      <c r="D787">
        <v>68.651786803999997</v>
      </c>
      <c r="E787">
        <v>50</v>
      </c>
      <c r="F787">
        <v>49.960868834999999</v>
      </c>
      <c r="G787">
        <v>1320.5384521000001</v>
      </c>
      <c r="H787">
        <v>1315.9807129000001</v>
      </c>
      <c r="I787">
        <v>1346.5281981999999</v>
      </c>
      <c r="J787">
        <v>1341.7653809000001</v>
      </c>
      <c r="K787">
        <v>0</v>
      </c>
      <c r="L787">
        <v>2750</v>
      </c>
      <c r="M787">
        <v>2750</v>
      </c>
      <c r="N787">
        <v>0</v>
      </c>
    </row>
    <row r="788" spans="1:14" x14ac:dyDescent="0.25">
      <c r="A788">
        <v>302.56460900000002</v>
      </c>
      <c r="B788" s="1">
        <f>DATE(2011,2,27) + TIME(13,33,2)</f>
        <v>40601.564606481479</v>
      </c>
      <c r="C788">
        <v>80</v>
      </c>
      <c r="D788">
        <v>68.436927795000003</v>
      </c>
      <c r="E788">
        <v>50</v>
      </c>
      <c r="F788">
        <v>49.960968018000003</v>
      </c>
      <c r="G788">
        <v>1320.4445800999999</v>
      </c>
      <c r="H788">
        <v>1315.8492432</v>
      </c>
      <c r="I788">
        <v>1346.5139160000001</v>
      </c>
      <c r="J788">
        <v>1341.7550048999999</v>
      </c>
      <c r="K788">
        <v>0</v>
      </c>
      <c r="L788">
        <v>2750</v>
      </c>
      <c r="M788">
        <v>2750</v>
      </c>
      <c r="N788">
        <v>0</v>
      </c>
    </row>
    <row r="789" spans="1:14" x14ac:dyDescent="0.25">
      <c r="A789">
        <v>304</v>
      </c>
      <c r="B789" s="1">
        <f>DATE(2011,3,1) + TIME(0,0,0)</f>
        <v>40603</v>
      </c>
      <c r="C789">
        <v>80</v>
      </c>
      <c r="D789">
        <v>68.237030028999996</v>
      </c>
      <c r="E789">
        <v>50</v>
      </c>
      <c r="F789">
        <v>49.961025237999998</v>
      </c>
      <c r="G789">
        <v>1320.3521728999999</v>
      </c>
      <c r="H789">
        <v>1315.7218018000001</v>
      </c>
      <c r="I789">
        <v>1346.4997559000001</v>
      </c>
      <c r="J789">
        <v>1341.7446289</v>
      </c>
      <c r="K789">
        <v>0</v>
      </c>
      <c r="L789">
        <v>2750</v>
      </c>
      <c r="M789">
        <v>2750</v>
      </c>
      <c r="N789">
        <v>0</v>
      </c>
    </row>
    <row r="790" spans="1:14" x14ac:dyDescent="0.25">
      <c r="A790">
        <v>306.21616699999998</v>
      </c>
      <c r="B790" s="1">
        <f>DATE(2011,3,3) + TIME(5,11,16)</f>
        <v>40605.216157407405</v>
      </c>
      <c r="C790">
        <v>80</v>
      </c>
      <c r="D790">
        <v>68.058250427000004</v>
      </c>
      <c r="E790">
        <v>50</v>
      </c>
      <c r="F790">
        <v>49.961128234999997</v>
      </c>
      <c r="G790">
        <v>1320.2835693</v>
      </c>
      <c r="H790">
        <v>1315.6207274999999</v>
      </c>
      <c r="I790">
        <v>1346.4907227000001</v>
      </c>
      <c r="J790">
        <v>1341.7379149999999</v>
      </c>
      <c r="K790">
        <v>0</v>
      </c>
      <c r="L790">
        <v>2750</v>
      </c>
      <c r="M790">
        <v>2750</v>
      </c>
      <c r="N790">
        <v>0</v>
      </c>
    </row>
    <row r="791" spans="1:14" x14ac:dyDescent="0.25">
      <c r="A791">
        <v>308.51400100000001</v>
      </c>
      <c r="B791" s="1">
        <f>DATE(2011,3,5) + TIME(12,20,9)</f>
        <v>40607.513993055552</v>
      </c>
      <c r="C791">
        <v>80</v>
      </c>
      <c r="D791">
        <v>67.835601807000003</v>
      </c>
      <c r="E791">
        <v>50</v>
      </c>
      <c r="F791">
        <v>49.961235045999999</v>
      </c>
      <c r="G791">
        <v>1320.1945800999999</v>
      </c>
      <c r="H791">
        <v>1315.4978027</v>
      </c>
      <c r="I791">
        <v>1346.4768065999999</v>
      </c>
      <c r="J791">
        <v>1341.7276611</v>
      </c>
      <c r="K791">
        <v>0</v>
      </c>
      <c r="L791">
        <v>2750</v>
      </c>
      <c r="M791">
        <v>2750</v>
      </c>
      <c r="N791">
        <v>0</v>
      </c>
    </row>
    <row r="792" spans="1:14" x14ac:dyDescent="0.25">
      <c r="A792">
        <v>310.87398899999999</v>
      </c>
      <c r="B792" s="1">
        <f>DATE(2011,3,7) + TIME(20,58,32)</f>
        <v>40609.873981481483</v>
      </c>
      <c r="C792">
        <v>80</v>
      </c>
      <c r="D792">
        <v>67.593902588000006</v>
      </c>
      <c r="E792">
        <v>50</v>
      </c>
      <c r="F792">
        <v>49.961338042999998</v>
      </c>
      <c r="G792">
        <v>1320.0997314000001</v>
      </c>
      <c r="H792">
        <v>1315.3652344</v>
      </c>
      <c r="I792">
        <v>1346.4626464999999</v>
      </c>
      <c r="J792">
        <v>1341.7171631000001</v>
      </c>
      <c r="K792">
        <v>0</v>
      </c>
      <c r="L792">
        <v>2750</v>
      </c>
      <c r="M792">
        <v>2750</v>
      </c>
      <c r="N792">
        <v>0</v>
      </c>
    </row>
    <row r="793" spans="1:14" x14ac:dyDescent="0.25">
      <c r="A793">
        <v>312.06076300000001</v>
      </c>
      <c r="B793" s="1">
        <f>DATE(2011,3,9) + TIME(1,27,29)</f>
        <v>40611.060752314814</v>
      </c>
      <c r="C793">
        <v>80</v>
      </c>
      <c r="D793">
        <v>67.378623962000006</v>
      </c>
      <c r="E793">
        <v>50</v>
      </c>
      <c r="F793">
        <v>49.961383820000002</v>
      </c>
      <c r="G793">
        <v>1320.0046387</v>
      </c>
      <c r="H793">
        <v>1315.2351074000001</v>
      </c>
      <c r="I793">
        <v>1346.4479980000001</v>
      </c>
      <c r="J793">
        <v>1341.7062988</v>
      </c>
      <c r="K793">
        <v>0</v>
      </c>
      <c r="L793">
        <v>2750</v>
      </c>
      <c r="M793">
        <v>2750</v>
      </c>
      <c r="N793">
        <v>0</v>
      </c>
    </row>
    <row r="794" spans="1:14" x14ac:dyDescent="0.25">
      <c r="A794">
        <v>314.026411</v>
      </c>
      <c r="B794" s="1">
        <f>DATE(2011,3,11) + TIME(0,38,1)</f>
        <v>40613.026400462964</v>
      </c>
      <c r="C794">
        <v>80</v>
      </c>
      <c r="D794">
        <v>67.200653075999995</v>
      </c>
      <c r="E794">
        <v>50</v>
      </c>
      <c r="F794">
        <v>49.961475372000002</v>
      </c>
      <c r="G794">
        <v>1319.9456786999999</v>
      </c>
      <c r="H794">
        <v>1315.1451416</v>
      </c>
      <c r="I794">
        <v>1346.4410399999999</v>
      </c>
      <c r="J794">
        <v>1341.7010498</v>
      </c>
      <c r="K794">
        <v>0</v>
      </c>
      <c r="L794">
        <v>2750</v>
      </c>
      <c r="M794">
        <v>2750</v>
      </c>
      <c r="N794">
        <v>0</v>
      </c>
    </row>
    <row r="795" spans="1:14" x14ac:dyDescent="0.25">
      <c r="A795">
        <v>316.391525</v>
      </c>
      <c r="B795" s="1">
        <f>DATE(2011,3,13) + TIME(9,23,47)</f>
        <v>40615.391516203701</v>
      </c>
      <c r="C795">
        <v>80</v>
      </c>
      <c r="D795">
        <v>66.982299804999997</v>
      </c>
      <c r="E795">
        <v>50</v>
      </c>
      <c r="F795">
        <v>49.961582184000001</v>
      </c>
      <c r="G795">
        <v>1319.8679199000001</v>
      </c>
      <c r="H795">
        <v>1315.0361327999999</v>
      </c>
      <c r="I795">
        <v>1346.4291992000001</v>
      </c>
      <c r="J795">
        <v>1341.6923827999999</v>
      </c>
      <c r="K795">
        <v>0</v>
      </c>
      <c r="L795">
        <v>2750</v>
      </c>
      <c r="M795">
        <v>2750</v>
      </c>
      <c r="N795">
        <v>0</v>
      </c>
    </row>
    <row r="796" spans="1:14" x14ac:dyDescent="0.25">
      <c r="A796">
        <v>318.77540599999998</v>
      </c>
      <c r="B796" s="1">
        <f>DATE(2011,3,15) + TIME(18,36,35)</f>
        <v>40617.775405092594</v>
      </c>
      <c r="C796">
        <v>80</v>
      </c>
      <c r="D796">
        <v>66.722518921000002</v>
      </c>
      <c r="E796">
        <v>50</v>
      </c>
      <c r="F796">
        <v>49.961688995000003</v>
      </c>
      <c r="G796">
        <v>1319.7758789</v>
      </c>
      <c r="H796">
        <v>1314.9079589999999</v>
      </c>
      <c r="I796">
        <v>1346.4152832</v>
      </c>
      <c r="J796">
        <v>1341.6820068</v>
      </c>
      <c r="K796">
        <v>0</v>
      </c>
      <c r="L796">
        <v>2750</v>
      </c>
      <c r="M796">
        <v>2750</v>
      </c>
      <c r="N796">
        <v>0</v>
      </c>
    </row>
    <row r="797" spans="1:14" x14ac:dyDescent="0.25">
      <c r="A797">
        <v>321.19297599999999</v>
      </c>
      <c r="B797" s="1">
        <f>DATE(2011,3,18) + TIME(4,37,53)</f>
        <v>40620.192974537036</v>
      </c>
      <c r="C797">
        <v>80</v>
      </c>
      <c r="D797">
        <v>66.448989867999998</v>
      </c>
      <c r="E797">
        <v>50</v>
      </c>
      <c r="F797">
        <v>49.961795807000001</v>
      </c>
      <c r="G797">
        <v>1319.6810303</v>
      </c>
      <c r="H797">
        <v>1314.7739257999999</v>
      </c>
      <c r="I797">
        <v>1346.4013672000001</v>
      </c>
      <c r="J797">
        <v>1341.6715088000001</v>
      </c>
      <c r="K797">
        <v>0</v>
      </c>
      <c r="L797">
        <v>2750</v>
      </c>
      <c r="M797">
        <v>2750</v>
      </c>
      <c r="N797">
        <v>0</v>
      </c>
    </row>
    <row r="798" spans="1:14" x14ac:dyDescent="0.25">
      <c r="A798">
        <v>323.65921900000001</v>
      </c>
      <c r="B798" s="1">
        <f>DATE(2011,3,20) + TIME(15,49,16)</f>
        <v>40622.659212962964</v>
      </c>
      <c r="C798">
        <v>80</v>
      </c>
      <c r="D798">
        <v>66.165237426999994</v>
      </c>
      <c r="E798">
        <v>50</v>
      </c>
      <c r="F798">
        <v>49.961902618000003</v>
      </c>
      <c r="G798">
        <v>1319.5852050999999</v>
      </c>
      <c r="H798">
        <v>1314.6381836</v>
      </c>
      <c r="I798">
        <v>1346.3873291</v>
      </c>
      <c r="J798">
        <v>1341.6611327999999</v>
      </c>
      <c r="K798">
        <v>0</v>
      </c>
      <c r="L798">
        <v>2750</v>
      </c>
      <c r="M798">
        <v>2750</v>
      </c>
      <c r="N798">
        <v>0</v>
      </c>
    </row>
    <row r="799" spans="1:14" x14ac:dyDescent="0.25">
      <c r="A799">
        <v>326.18973899999997</v>
      </c>
      <c r="B799" s="1">
        <f>DATE(2011,3,23) + TIME(4,33,13)</f>
        <v>40625.189733796295</v>
      </c>
      <c r="C799">
        <v>80</v>
      </c>
      <c r="D799">
        <v>65.870208739999995</v>
      </c>
      <c r="E799">
        <v>50</v>
      </c>
      <c r="F799">
        <v>49.962017058999997</v>
      </c>
      <c r="G799">
        <v>1319.4886475000001</v>
      </c>
      <c r="H799">
        <v>1314.5009766000001</v>
      </c>
      <c r="I799">
        <v>1346.3732910000001</v>
      </c>
      <c r="J799">
        <v>1341.6505127</v>
      </c>
      <c r="K799">
        <v>0</v>
      </c>
      <c r="L799">
        <v>2750</v>
      </c>
      <c r="M799">
        <v>2750</v>
      </c>
      <c r="N799">
        <v>0</v>
      </c>
    </row>
    <row r="800" spans="1:14" x14ac:dyDescent="0.25">
      <c r="A800">
        <v>327.47994199999999</v>
      </c>
      <c r="B800" s="1">
        <f>DATE(2011,3,24) + TIME(11,31,6)</f>
        <v>40626.479930555557</v>
      </c>
      <c r="C800">
        <v>80</v>
      </c>
      <c r="D800">
        <v>65.605422974000007</v>
      </c>
      <c r="E800">
        <v>50</v>
      </c>
      <c r="F800">
        <v>49.962062836000001</v>
      </c>
      <c r="G800">
        <v>1319.3927002</v>
      </c>
      <c r="H800">
        <v>1314.3682861</v>
      </c>
      <c r="I800">
        <v>1346.3590088000001</v>
      </c>
      <c r="J800">
        <v>1341.6396483999999</v>
      </c>
      <c r="K800">
        <v>0</v>
      </c>
      <c r="L800">
        <v>2750</v>
      </c>
      <c r="M800">
        <v>2750</v>
      </c>
      <c r="N800">
        <v>0</v>
      </c>
    </row>
    <row r="801" spans="1:14" x14ac:dyDescent="0.25">
      <c r="A801">
        <v>329.69073600000002</v>
      </c>
      <c r="B801" s="1">
        <f>DATE(2011,3,26) + TIME(16,34,39)</f>
        <v>40628.690729166665</v>
      </c>
      <c r="C801">
        <v>80</v>
      </c>
      <c r="D801">
        <v>65.390708923000005</v>
      </c>
      <c r="E801">
        <v>50</v>
      </c>
      <c r="F801">
        <v>49.962162018000001</v>
      </c>
      <c r="G801">
        <v>1319.3334961</v>
      </c>
      <c r="H801">
        <v>1314.2763672000001</v>
      </c>
      <c r="I801">
        <v>1346.3518065999999</v>
      </c>
      <c r="J801">
        <v>1341.6342772999999</v>
      </c>
      <c r="K801">
        <v>0</v>
      </c>
      <c r="L801">
        <v>2750</v>
      </c>
      <c r="M801">
        <v>2750</v>
      </c>
      <c r="N801">
        <v>0</v>
      </c>
    </row>
    <row r="802" spans="1:14" x14ac:dyDescent="0.25">
      <c r="A802">
        <v>332.25219800000002</v>
      </c>
      <c r="B802" s="1">
        <f>DATE(2011,3,29) + TIME(6,3,9)</f>
        <v>40631.252187500002</v>
      </c>
      <c r="C802">
        <v>80</v>
      </c>
      <c r="D802">
        <v>65.117950438999998</v>
      </c>
      <c r="E802">
        <v>50</v>
      </c>
      <c r="F802">
        <v>49.962276459000002</v>
      </c>
      <c r="G802">
        <v>1319.2529297000001</v>
      </c>
      <c r="H802">
        <v>1314.1627197</v>
      </c>
      <c r="I802">
        <v>1346.3395995999999</v>
      </c>
      <c r="J802">
        <v>1341.6251221</v>
      </c>
      <c r="K802">
        <v>0</v>
      </c>
      <c r="L802">
        <v>2750</v>
      </c>
      <c r="M802">
        <v>2750</v>
      </c>
      <c r="N802">
        <v>0</v>
      </c>
    </row>
    <row r="803" spans="1:14" x14ac:dyDescent="0.25">
      <c r="A803">
        <v>334.82985100000002</v>
      </c>
      <c r="B803" s="1">
        <f>DATE(2011,3,31) + TIME(19,54,59)</f>
        <v>40633.82984953704</v>
      </c>
      <c r="C803">
        <v>80</v>
      </c>
      <c r="D803">
        <v>64.799957274999997</v>
      </c>
      <c r="E803">
        <v>50</v>
      </c>
      <c r="F803">
        <v>49.962390900000003</v>
      </c>
      <c r="G803">
        <v>1319.1599120999999</v>
      </c>
      <c r="H803">
        <v>1314.03125</v>
      </c>
      <c r="I803">
        <v>1346.3255615</v>
      </c>
      <c r="J803">
        <v>1341.6143798999999</v>
      </c>
      <c r="K803">
        <v>0</v>
      </c>
      <c r="L803">
        <v>2750</v>
      </c>
      <c r="M803">
        <v>2750</v>
      </c>
      <c r="N803">
        <v>0</v>
      </c>
    </row>
    <row r="804" spans="1:14" x14ac:dyDescent="0.25">
      <c r="A804">
        <v>335</v>
      </c>
      <c r="B804" s="1">
        <f>DATE(2011,4,1) + TIME(0,0,0)</f>
        <v>40634</v>
      </c>
      <c r="C804">
        <v>80</v>
      </c>
      <c r="D804">
        <v>64.698677063000005</v>
      </c>
      <c r="E804">
        <v>50</v>
      </c>
      <c r="F804">
        <v>49.962390900000003</v>
      </c>
      <c r="G804">
        <v>1319.0703125</v>
      </c>
      <c r="H804">
        <v>1313.9227295000001</v>
      </c>
      <c r="I804">
        <v>1346.3115233999999</v>
      </c>
      <c r="J804">
        <v>1341.6036377</v>
      </c>
      <c r="K804">
        <v>0</v>
      </c>
      <c r="L804">
        <v>2750</v>
      </c>
      <c r="M804">
        <v>2750</v>
      </c>
      <c r="N804">
        <v>0</v>
      </c>
    </row>
    <row r="805" spans="1:14" x14ac:dyDescent="0.25">
      <c r="A805">
        <v>337.60861399999999</v>
      </c>
      <c r="B805" s="1">
        <f>DATE(2011,4,3) + TIME(14,36,24)</f>
        <v>40636.608611111114</v>
      </c>
      <c r="C805">
        <v>80</v>
      </c>
      <c r="D805">
        <v>64.433097838999998</v>
      </c>
      <c r="E805">
        <v>50</v>
      </c>
      <c r="F805">
        <v>49.962509154999999</v>
      </c>
      <c r="G805">
        <v>1319.0538329999999</v>
      </c>
      <c r="H805">
        <v>1313.8767089999999</v>
      </c>
      <c r="I805">
        <v>1346.3106689000001</v>
      </c>
      <c r="J805">
        <v>1341.6030272999999</v>
      </c>
      <c r="K805">
        <v>0</v>
      </c>
      <c r="L805">
        <v>2750</v>
      </c>
      <c r="M805">
        <v>2750</v>
      </c>
      <c r="N805">
        <v>0</v>
      </c>
    </row>
    <row r="806" spans="1:14" x14ac:dyDescent="0.25">
      <c r="A806">
        <v>340.26842599999998</v>
      </c>
      <c r="B806" s="1">
        <f>DATE(2011,4,6) + TIME(6,26,31)</f>
        <v>40639.268414351849</v>
      </c>
      <c r="C806">
        <v>80</v>
      </c>
      <c r="D806">
        <v>64.100883483999993</v>
      </c>
      <c r="E806">
        <v>50</v>
      </c>
      <c r="F806">
        <v>49.962623596</v>
      </c>
      <c r="G806">
        <v>1318.9626464999999</v>
      </c>
      <c r="H806">
        <v>1313.7476807</v>
      </c>
      <c r="I806">
        <v>1346.2967529</v>
      </c>
      <c r="J806">
        <v>1341.5924072</v>
      </c>
      <c r="K806">
        <v>0</v>
      </c>
      <c r="L806">
        <v>2750</v>
      </c>
      <c r="M806">
        <v>2750</v>
      </c>
      <c r="N806">
        <v>0</v>
      </c>
    </row>
    <row r="807" spans="1:14" x14ac:dyDescent="0.25">
      <c r="A807">
        <v>342.99402400000002</v>
      </c>
      <c r="B807" s="1">
        <f>DATE(2011,4,8) + TIME(23,51,23)</f>
        <v>40641.994016203702</v>
      </c>
      <c r="C807">
        <v>80</v>
      </c>
      <c r="D807">
        <v>63.747543335000003</v>
      </c>
      <c r="E807">
        <v>50</v>
      </c>
      <c r="F807">
        <v>49.962741852000001</v>
      </c>
      <c r="G807">
        <v>1318.8680420000001</v>
      </c>
      <c r="H807">
        <v>1313.6115723</v>
      </c>
      <c r="I807">
        <v>1346.2825928</v>
      </c>
      <c r="J807">
        <v>1341.581543</v>
      </c>
      <c r="K807">
        <v>0</v>
      </c>
      <c r="L807">
        <v>2750</v>
      </c>
      <c r="M807">
        <v>2750</v>
      </c>
      <c r="N807">
        <v>0</v>
      </c>
    </row>
    <row r="808" spans="1:14" x14ac:dyDescent="0.25">
      <c r="A808">
        <v>344.39431100000002</v>
      </c>
      <c r="B808" s="1">
        <f>DATE(2011,4,10) + TIME(9,27,48)</f>
        <v>40643.394305555557</v>
      </c>
      <c r="C808">
        <v>80</v>
      </c>
      <c r="D808">
        <v>63.426574707</v>
      </c>
      <c r="E808">
        <v>50</v>
      </c>
      <c r="F808">
        <v>49.962791443</v>
      </c>
      <c r="G808">
        <v>1318.7734375</v>
      </c>
      <c r="H808">
        <v>1313.4792480000001</v>
      </c>
      <c r="I808">
        <v>1346.2681885</v>
      </c>
      <c r="J808">
        <v>1341.5704346</v>
      </c>
      <c r="K808">
        <v>0</v>
      </c>
      <c r="L808">
        <v>2750</v>
      </c>
      <c r="M808">
        <v>2750</v>
      </c>
      <c r="N808">
        <v>0</v>
      </c>
    </row>
    <row r="809" spans="1:14" x14ac:dyDescent="0.25">
      <c r="A809">
        <v>346.81019900000001</v>
      </c>
      <c r="B809" s="1">
        <f>DATE(2011,4,12) + TIME(19,26,41)</f>
        <v>40645.810196759259</v>
      </c>
      <c r="C809">
        <v>80</v>
      </c>
      <c r="D809">
        <v>63.172874450999998</v>
      </c>
      <c r="E809">
        <v>50</v>
      </c>
      <c r="F809">
        <v>49.962898254000002</v>
      </c>
      <c r="G809">
        <v>1318.7158202999999</v>
      </c>
      <c r="H809">
        <v>1313.3879394999999</v>
      </c>
      <c r="I809">
        <v>1346.2608643000001</v>
      </c>
      <c r="J809">
        <v>1341.5648193</v>
      </c>
      <c r="K809">
        <v>0</v>
      </c>
      <c r="L809">
        <v>2750</v>
      </c>
      <c r="M809">
        <v>2750</v>
      </c>
      <c r="N809">
        <v>0</v>
      </c>
    </row>
    <row r="810" spans="1:14" x14ac:dyDescent="0.25">
      <c r="A810">
        <v>349.58487300000002</v>
      </c>
      <c r="B810" s="1">
        <f>DATE(2011,4,15) + TIME(14,2,13)</f>
        <v>40648.584872685184</v>
      </c>
      <c r="C810">
        <v>80</v>
      </c>
      <c r="D810">
        <v>62.844768524000003</v>
      </c>
      <c r="E810">
        <v>50</v>
      </c>
      <c r="F810">
        <v>49.963020325000002</v>
      </c>
      <c r="G810">
        <v>1318.6365966999999</v>
      </c>
      <c r="H810">
        <v>1313.2745361</v>
      </c>
      <c r="I810">
        <v>1346.2484131000001</v>
      </c>
      <c r="J810">
        <v>1341.5551757999999</v>
      </c>
      <c r="K810">
        <v>0</v>
      </c>
      <c r="L810">
        <v>2750</v>
      </c>
      <c r="M810">
        <v>2750</v>
      </c>
      <c r="N810">
        <v>0</v>
      </c>
    </row>
    <row r="811" spans="1:14" x14ac:dyDescent="0.25">
      <c r="A811">
        <v>352.37431700000002</v>
      </c>
      <c r="B811" s="1">
        <f>DATE(2011,4,18) + TIME(8,59,1)</f>
        <v>40651.37431712963</v>
      </c>
      <c r="C811">
        <v>80</v>
      </c>
      <c r="D811">
        <v>62.465133667000003</v>
      </c>
      <c r="E811">
        <v>50</v>
      </c>
      <c r="F811">
        <v>49.963138579999999</v>
      </c>
      <c r="G811">
        <v>1318.5457764</v>
      </c>
      <c r="H811">
        <v>1313.1441649999999</v>
      </c>
      <c r="I811">
        <v>1346.2341309000001</v>
      </c>
      <c r="J811">
        <v>1341.5440673999999</v>
      </c>
      <c r="K811">
        <v>0</v>
      </c>
      <c r="L811">
        <v>2750</v>
      </c>
      <c r="M811">
        <v>2750</v>
      </c>
      <c r="N811">
        <v>0</v>
      </c>
    </row>
    <row r="812" spans="1:14" x14ac:dyDescent="0.25">
      <c r="A812">
        <v>355.194142</v>
      </c>
      <c r="B812" s="1">
        <f>DATE(2011,4,21) + TIME(4,39,33)</f>
        <v>40654.194131944445</v>
      </c>
      <c r="C812">
        <v>80</v>
      </c>
      <c r="D812">
        <v>62.072128296000002</v>
      </c>
      <c r="E812">
        <v>50</v>
      </c>
      <c r="F812">
        <v>49.963256835999999</v>
      </c>
      <c r="G812">
        <v>1318.4538574000001</v>
      </c>
      <c r="H812">
        <v>1313.010376</v>
      </c>
      <c r="I812">
        <v>1346.2198486</v>
      </c>
      <c r="J812">
        <v>1341.5329589999999</v>
      </c>
      <c r="K812">
        <v>0</v>
      </c>
      <c r="L812">
        <v>2750</v>
      </c>
      <c r="M812">
        <v>2750</v>
      </c>
      <c r="N812">
        <v>0</v>
      </c>
    </row>
    <row r="813" spans="1:14" x14ac:dyDescent="0.25">
      <c r="A813">
        <v>358.06099699999999</v>
      </c>
      <c r="B813" s="1">
        <f>DATE(2011,4,24) + TIME(1,27,50)</f>
        <v>40657.060995370368</v>
      </c>
      <c r="C813">
        <v>80</v>
      </c>
      <c r="D813">
        <v>61.669624329000001</v>
      </c>
      <c r="E813">
        <v>50</v>
      </c>
      <c r="F813">
        <v>49.963375092</v>
      </c>
      <c r="G813">
        <v>1318.3626709</v>
      </c>
      <c r="H813">
        <v>1312.8767089999999</v>
      </c>
      <c r="I813">
        <v>1346.2056885</v>
      </c>
      <c r="J813">
        <v>1341.5217285000001</v>
      </c>
      <c r="K813">
        <v>0</v>
      </c>
      <c r="L813">
        <v>2750</v>
      </c>
      <c r="M813">
        <v>2750</v>
      </c>
      <c r="N813">
        <v>0</v>
      </c>
    </row>
    <row r="814" spans="1:14" x14ac:dyDescent="0.25">
      <c r="A814">
        <v>360.99375099999997</v>
      </c>
      <c r="B814" s="1">
        <f>DATE(2011,4,26) + TIME(23,51,0)</f>
        <v>40659.993750000001</v>
      </c>
      <c r="C814">
        <v>80</v>
      </c>
      <c r="D814">
        <v>61.256736754999999</v>
      </c>
      <c r="E814">
        <v>50</v>
      </c>
      <c r="F814">
        <v>49.963497162000003</v>
      </c>
      <c r="G814">
        <v>1318.2719727000001</v>
      </c>
      <c r="H814">
        <v>1312.7436522999999</v>
      </c>
      <c r="I814">
        <v>1346.1912841999999</v>
      </c>
      <c r="J814">
        <v>1341.5104980000001</v>
      </c>
      <c r="K814">
        <v>0</v>
      </c>
      <c r="L814">
        <v>2750</v>
      </c>
      <c r="M814">
        <v>2750</v>
      </c>
      <c r="N814">
        <v>0</v>
      </c>
    </row>
    <row r="815" spans="1:14" x14ac:dyDescent="0.25">
      <c r="A815">
        <v>362.49864000000002</v>
      </c>
      <c r="B815" s="1">
        <f>DATE(2011,4,28) + TIME(11,58,2)</f>
        <v>40661.49863425926</v>
      </c>
      <c r="C815">
        <v>80</v>
      </c>
      <c r="D815">
        <v>60.882995604999998</v>
      </c>
      <c r="E815">
        <v>50</v>
      </c>
      <c r="F815">
        <v>49.963550568000002</v>
      </c>
      <c r="G815">
        <v>1318.182251</v>
      </c>
      <c r="H815">
        <v>1312.6163329999999</v>
      </c>
      <c r="I815">
        <v>1346.1765137</v>
      </c>
      <c r="J815">
        <v>1341.4989014</v>
      </c>
      <c r="K815">
        <v>0</v>
      </c>
      <c r="L815">
        <v>2750</v>
      </c>
      <c r="M815">
        <v>2750</v>
      </c>
      <c r="N815">
        <v>0</v>
      </c>
    </row>
    <row r="816" spans="1:14" x14ac:dyDescent="0.25">
      <c r="A816">
        <v>365</v>
      </c>
      <c r="B816" s="1">
        <f>DATE(2011,5,1) + TIME(0,0,0)</f>
        <v>40664</v>
      </c>
      <c r="C816">
        <v>80</v>
      </c>
      <c r="D816">
        <v>60.597782135000003</v>
      </c>
      <c r="E816">
        <v>50</v>
      </c>
      <c r="F816">
        <v>49.963657378999997</v>
      </c>
      <c r="G816">
        <v>1318.1291504000001</v>
      </c>
      <c r="H816">
        <v>1312.5299072</v>
      </c>
      <c r="I816">
        <v>1346.1691894999999</v>
      </c>
      <c r="J816">
        <v>1341.4930420000001</v>
      </c>
      <c r="K816">
        <v>0</v>
      </c>
      <c r="L816">
        <v>2750</v>
      </c>
      <c r="M816">
        <v>2750</v>
      </c>
      <c r="N816">
        <v>0</v>
      </c>
    </row>
    <row r="817" spans="1:14" x14ac:dyDescent="0.25">
      <c r="A817">
        <v>365.000001</v>
      </c>
      <c r="B817" s="1">
        <f>DATE(2011,5,1) + TIME(0,0,0)</f>
        <v>40664</v>
      </c>
      <c r="C817">
        <v>80</v>
      </c>
      <c r="D817">
        <v>60.597991942999997</v>
      </c>
      <c r="E817">
        <v>50</v>
      </c>
      <c r="F817">
        <v>49.963546753000003</v>
      </c>
      <c r="G817">
        <v>1325.0224608999999</v>
      </c>
      <c r="H817">
        <v>1319.4025879000001</v>
      </c>
      <c r="I817">
        <v>1340.6264647999999</v>
      </c>
      <c r="J817">
        <v>1336.5145264</v>
      </c>
      <c r="K817">
        <v>2750</v>
      </c>
      <c r="L817">
        <v>0</v>
      </c>
      <c r="M817">
        <v>0</v>
      </c>
      <c r="N817">
        <v>2750</v>
      </c>
    </row>
    <row r="818" spans="1:14" x14ac:dyDescent="0.25">
      <c r="A818">
        <v>365.00000399999999</v>
      </c>
      <c r="B818" s="1">
        <f>DATE(2011,5,1) + TIME(0,0,0)</f>
        <v>40664</v>
      </c>
      <c r="C818">
        <v>80</v>
      </c>
      <c r="D818">
        <v>60.598407745000003</v>
      </c>
      <c r="E818">
        <v>50</v>
      </c>
      <c r="F818">
        <v>49.963333130000002</v>
      </c>
      <c r="G818">
        <v>1326.9796143000001</v>
      </c>
      <c r="H818">
        <v>1321.6929932</v>
      </c>
      <c r="I818">
        <v>1338.9284668</v>
      </c>
      <c r="J818">
        <v>1334.8165283000001</v>
      </c>
      <c r="K818">
        <v>2750</v>
      </c>
      <c r="L818">
        <v>0</v>
      </c>
      <c r="M818">
        <v>0</v>
      </c>
      <c r="N818">
        <v>2750</v>
      </c>
    </row>
    <row r="819" spans="1:14" x14ac:dyDescent="0.25">
      <c r="A819">
        <v>365.00001300000002</v>
      </c>
      <c r="B819" s="1">
        <f>DATE(2011,5,1) + TIME(0,0,1)</f>
        <v>40664.000011574077</v>
      </c>
      <c r="C819">
        <v>80</v>
      </c>
      <c r="D819">
        <v>60.599140167000002</v>
      </c>
      <c r="E819">
        <v>50</v>
      </c>
      <c r="F819">
        <v>49.963031768999997</v>
      </c>
      <c r="G819">
        <v>1329.9019774999999</v>
      </c>
      <c r="H819">
        <v>1324.7005615</v>
      </c>
      <c r="I819">
        <v>1336.543457</v>
      </c>
      <c r="J819">
        <v>1332.4323730000001</v>
      </c>
      <c r="K819">
        <v>2750</v>
      </c>
      <c r="L819">
        <v>0</v>
      </c>
      <c r="M819">
        <v>0</v>
      </c>
      <c r="N819">
        <v>2750</v>
      </c>
    </row>
    <row r="820" spans="1:14" x14ac:dyDescent="0.25">
      <c r="A820">
        <v>365.00004000000001</v>
      </c>
      <c r="B820" s="1">
        <f>DATE(2011,5,1) + TIME(0,0,3)</f>
        <v>40664.000034722223</v>
      </c>
      <c r="C820">
        <v>80</v>
      </c>
      <c r="D820">
        <v>60.600597381999997</v>
      </c>
      <c r="E820">
        <v>50</v>
      </c>
      <c r="F820">
        <v>49.962703705000003</v>
      </c>
      <c r="G820">
        <v>1333.2395019999999</v>
      </c>
      <c r="H820">
        <v>1327.9294434000001</v>
      </c>
      <c r="I820">
        <v>1333.9735106999999</v>
      </c>
      <c r="J820">
        <v>1329.8647461</v>
      </c>
      <c r="K820">
        <v>2750</v>
      </c>
      <c r="L820">
        <v>0</v>
      </c>
      <c r="M820">
        <v>0</v>
      </c>
      <c r="N820">
        <v>2750</v>
      </c>
    </row>
    <row r="821" spans="1:14" x14ac:dyDescent="0.25">
      <c r="A821">
        <v>365.00012099999998</v>
      </c>
      <c r="B821" s="1">
        <f>DATE(2011,5,1) + TIME(0,0,10)</f>
        <v>40664.000115740739</v>
      </c>
      <c r="C821">
        <v>80</v>
      </c>
      <c r="D821">
        <v>60.604194640999999</v>
      </c>
      <c r="E821">
        <v>50</v>
      </c>
      <c r="F821">
        <v>49.962368011000002</v>
      </c>
      <c r="G821">
        <v>1336.6147461</v>
      </c>
      <c r="H821">
        <v>1331.1777344</v>
      </c>
      <c r="I821">
        <v>1331.4295654</v>
      </c>
      <c r="J821">
        <v>1327.3237305</v>
      </c>
      <c r="K821">
        <v>2750</v>
      </c>
      <c r="L821">
        <v>0</v>
      </c>
      <c r="M821">
        <v>0</v>
      </c>
      <c r="N821">
        <v>2750</v>
      </c>
    </row>
    <row r="822" spans="1:14" x14ac:dyDescent="0.25">
      <c r="A822">
        <v>365.00036399999999</v>
      </c>
      <c r="B822" s="1">
        <f>DATE(2011,5,1) + TIME(0,0,31)</f>
        <v>40664.000358796293</v>
      </c>
      <c r="C822">
        <v>80</v>
      </c>
      <c r="D822">
        <v>60.614345551</v>
      </c>
      <c r="E822">
        <v>50</v>
      </c>
      <c r="F822">
        <v>49.962001801</v>
      </c>
      <c r="G822">
        <v>1340.0023193</v>
      </c>
      <c r="H822">
        <v>1334.4405518000001</v>
      </c>
      <c r="I822">
        <v>1328.8848877</v>
      </c>
      <c r="J822">
        <v>1324.7742920000001</v>
      </c>
      <c r="K822">
        <v>2750</v>
      </c>
      <c r="L822">
        <v>0</v>
      </c>
      <c r="M822">
        <v>0</v>
      </c>
      <c r="N822">
        <v>2750</v>
      </c>
    </row>
    <row r="823" spans="1:14" x14ac:dyDescent="0.25">
      <c r="A823">
        <v>365.00109300000003</v>
      </c>
      <c r="B823" s="1">
        <f>DATE(2011,5,1) + TIME(0,1,34)</f>
        <v>40664.001087962963</v>
      </c>
      <c r="C823">
        <v>80</v>
      </c>
      <c r="D823">
        <v>60.644546509000001</v>
      </c>
      <c r="E823">
        <v>50</v>
      </c>
      <c r="F823">
        <v>49.961532593000001</v>
      </c>
      <c r="G823">
        <v>1343.394043</v>
      </c>
      <c r="H823">
        <v>1337.7098389</v>
      </c>
      <c r="I823">
        <v>1326.2617187999999</v>
      </c>
      <c r="J823">
        <v>1322.1212158000001</v>
      </c>
      <c r="K823">
        <v>2750</v>
      </c>
      <c r="L823">
        <v>0</v>
      </c>
      <c r="M823">
        <v>0</v>
      </c>
      <c r="N823">
        <v>2750</v>
      </c>
    </row>
    <row r="824" spans="1:14" x14ac:dyDescent="0.25">
      <c r="A824">
        <v>365.00328000000002</v>
      </c>
      <c r="B824" s="1">
        <f>DATE(2011,5,1) + TIME(0,4,43)</f>
        <v>40664.003275462965</v>
      </c>
      <c r="C824">
        <v>80</v>
      </c>
      <c r="D824">
        <v>60.735416411999999</v>
      </c>
      <c r="E824">
        <v>50</v>
      </c>
      <c r="F824">
        <v>49.960792542</v>
      </c>
      <c r="G824">
        <v>1346.4495850000001</v>
      </c>
      <c r="H824">
        <v>1340.6711425999999</v>
      </c>
      <c r="I824">
        <v>1323.7070312000001</v>
      </c>
      <c r="J824">
        <v>1319.5263672000001</v>
      </c>
      <c r="K824">
        <v>2750</v>
      </c>
      <c r="L824">
        <v>0</v>
      </c>
      <c r="M824">
        <v>0</v>
      </c>
      <c r="N824">
        <v>2750</v>
      </c>
    </row>
    <row r="825" spans="1:14" x14ac:dyDescent="0.25">
      <c r="A825">
        <v>365.00984099999999</v>
      </c>
      <c r="B825" s="1">
        <f>DATE(2011,5,1) + TIME(0,14,10)</f>
        <v>40664.009837962964</v>
      </c>
      <c r="C825">
        <v>80</v>
      </c>
      <c r="D825">
        <v>61.005638122999997</v>
      </c>
      <c r="E825">
        <v>50</v>
      </c>
      <c r="F825">
        <v>49.959320067999997</v>
      </c>
      <c r="G825">
        <v>1348.4910889</v>
      </c>
      <c r="H825">
        <v>1342.6857910000001</v>
      </c>
      <c r="I825">
        <v>1321.9592285000001</v>
      </c>
      <c r="J825">
        <v>1317.7561035000001</v>
      </c>
      <c r="K825">
        <v>2750</v>
      </c>
      <c r="L825">
        <v>0</v>
      </c>
      <c r="M825">
        <v>0</v>
      </c>
      <c r="N825">
        <v>2750</v>
      </c>
    </row>
    <row r="826" spans="1:14" x14ac:dyDescent="0.25">
      <c r="A826">
        <v>365.02661599999999</v>
      </c>
      <c r="B826" s="1">
        <f>DATE(2011,5,1) + TIME(0,38,19)</f>
        <v>40664.026608796295</v>
      </c>
      <c r="C826">
        <v>80</v>
      </c>
      <c r="D826">
        <v>61.672080993999998</v>
      </c>
      <c r="E826">
        <v>50</v>
      </c>
      <c r="F826">
        <v>49.956085205000001</v>
      </c>
      <c r="G826">
        <v>1349.1979980000001</v>
      </c>
      <c r="H826">
        <v>1343.4462891000001</v>
      </c>
      <c r="I826">
        <v>1321.4183350000001</v>
      </c>
      <c r="J826">
        <v>1317.2088623</v>
      </c>
      <c r="K826">
        <v>2750</v>
      </c>
      <c r="L826">
        <v>0</v>
      </c>
      <c r="M826">
        <v>0</v>
      </c>
      <c r="N826">
        <v>2750</v>
      </c>
    </row>
    <row r="827" spans="1:14" x14ac:dyDescent="0.25">
      <c r="A827">
        <v>365.04370399999999</v>
      </c>
      <c r="B827" s="1">
        <f>DATE(2011,5,1) + TIME(1,2,56)</f>
        <v>40664.043703703705</v>
      </c>
      <c r="C827">
        <v>80</v>
      </c>
      <c r="D827">
        <v>62.327247620000001</v>
      </c>
      <c r="E827">
        <v>50</v>
      </c>
      <c r="F827">
        <v>49.952880858999997</v>
      </c>
      <c r="G827">
        <v>1349.2777100000001</v>
      </c>
      <c r="H827">
        <v>1343.5762939000001</v>
      </c>
      <c r="I827">
        <v>1321.3641356999999</v>
      </c>
      <c r="J827">
        <v>1317.1536865</v>
      </c>
      <c r="K827">
        <v>2750</v>
      </c>
      <c r="L827">
        <v>0</v>
      </c>
      <c r="M827">
        <v>0</v>
      </c>
      <c r="N827">
        <v>2750</v>
      </c>
    </row>
    <row r="828" spans="1:14" x14ac:dyDescent="0.25">
      <c r="A828">
        <v>365.06111099999998</v>
      </c>
      <c r="B828" s="1">
        <f>DATE(2011,5,1) + TIME(1,27,59)</f>
        <v>40664.061099537037</v>
      </c>
      <c r="C828">
        <v>80</v>
      </c>
      <c r="D828">
        <v>62.970798492</v>
      </c>
      <c r="E828">
        <v>50</v>
      </c>
      <c r="F828">
        <v>49.949642181000002</v>
      </c>
      <c r="G828">
        <v>1349.2371826000001</v>
      </c>
      <c r="H828">
        <v>1343.5855713000001</v>
      </c>
      <c r="I828">
        <v>1321.3648682</v>
      </c>
      <c r="J828">
        <v>1317.1542969</v>
      </c>
      <c r="K828">
        <v>2750</v>
      </c>
      <c r="L828">
        <v>0</v>
      </c>
      <c r="M828">
        <v>0</v>
      </c>
      <c r="N828">
        <v>2750</v>
      </c>
    </row>
    <row r="829" spans="1:14" x14ac:dyDescent="0.25">
      <c r="A829">
        <v>365.07884899999999</v>
      </c>
      <c r="B829" s="1">
        <f>DATE(2011,5,1) + TIME(1,53,32)</f>
        <v>40664.078842592593</v>
      </c>
      <c r="C829">
        <v>80</v>
      </c>
      <c r="D829">
        <v>63.602787018000001</v>
      </c>
      <c r="E829">
        <v>50</v>
      </c>
      <c r="F829">
        <v>49.946369171000001</v>
      </c>
      <c r="G829">
        <v>1349.1741943</v>
      </c>
      <c r="H829">
        <v>1343.5704346</v>
      </c>
      <c r="I829">
        <v>1321.3680420000001</v>
      </c>
      <c r="J829">
        <v>1317.1573486</v>
      </c>
      <c r="K829">
        <v>2750</v>
      </c>
      <c r="L829">
        <v>0</v>
      </c>
      <c r="M829">
        <v>0</v>
      </c>
      <c r="N829">
        <v>2750</v>
      </c>
    </row>
    <row r="830" spans="1:14" x14ac:dyDescent="0.25">
      <c r="A830">
        <v>365.09693499999997</v>
      </c>
      <c r="B830" s="1">
        <f>DATE(2011,5,1) + TIME(2,19,35)</f>
        <v>40664.096932870372</v>
      </c>
      <c r="C830">
        <v>80</v>
      </c>
      <c r="D830">
        <v>64.223327636999997</v>
      </c>
      <c r="E830">
        <v>50</v>
      </c>
      <c r="F830">
        <v>49.943058014000002</v>
      </c>
      <c r="G830">
        <v>1349.1091309000001</v>
      </c>
      <c r="H830">
        <v>1343.5506591999999</v>
      </c>
      <c r="I830">
        <v>1321.3695068</v>
      </c>
      <c r="J830">
        <v>1317.1588135</v>
      </c>
      <c r="K830">
        <v>2750</v>
      </c>
      <c r="L830">
        <v>0</v>
      </c>
      <c r="M830">
        <v>0</v>
      </c>
      <c r="N830">
        <v>2750</v>
      </c>
    </row>
    <row r="831" spans="1:14" x14ac:dyDescent="0.25">
      <c r="A831">
        <v>365.11538400000001</v>
      </c>
      <c r="B831" s="1">
        <f>DATE(2011,5,1) + TIME(2,46,9)</f>
        <v>40664.115381944444</v>
      </c>
      <c r="C831">
        <v>80</v>
      </c>
      <c r="D831">
        <v>64.832519531000003</v>
      </c>
      <c r="E831">
        <v>50</v>
      </c>
      <c r="F831">
        <v>49.939701079999999</v>
      </c>
      <c r="G831">
        <v>1349.0466309000001</v>
      </c>
      <c r="H831">
        <v>1343.53125</v>
      </c>
      <c r="I831">
        <v>1321.3701172000001</v>
      </c>
      <c r="J831">
        <v>1317.1593018000001</v>
      </c>
      <c r="K831">
        <v>2750</v>
      </c>
      <c r="L831">
        <v>0</v>
      </c>
      <c r="M831">
        <v>0</v>
      </c>
      <c r="N831">
        <v>2750</v>
      </c>
    </row>
    <row r="832" spans="1:14" x14ac:dyDescent="0.25">
      <c r="A832">
        <v>365.13421399999999</v>
      </c>
      <c r="B832" s="1">
        <f>DATE(2011,5,1) + TIME(3,13,16)</f>
        <v>40664.134212962963</v>
      </c>
      <c r="C832">
        <v>80</v>
      </c>
      <c r="D832">
        <v>65.430564880000006</v>
      </c>
      <c r="E832">
        <v>50</v>
      </c>
      <c r="F832">
        <v>49.936302185000002</v>
      </c>
      <c r="G832">
        <v>1348.9875488</v>
      </c>
      <c r="H832">
        <v>1343.5131836</v>
      </c>
      <c r="I832">
        <v>1321.3704834</v>
      </c>
      <c r="J832">
        <v>1317.1595459</v>
      </c>
      <c r="K832">
        <v>2750</v>
      </c>
      <c r="L832">
        <v>0</v>
      </c>
      <c r="M832">
        <v>0</v>
      </c>
      <c r="N832">
        <v>2750</v>
      </c>
    </row>
    <row r="833" spans="1:14" x14ac:dyDescent="0.25">
      <c r="A833">
        <v>365.15344299999998</v>
      </c>
      <c r="B833" s="1">
        <f>DATE(2011,5,1) + TIME(3,40,57)</f>
        <v>40664.153437499997</v>
      </c>
      <c r="C833">
        <v>80</v>
      </c>
      <c r="D833">
        <v>66.017486571999996</v>
      </c>
      <c r="E833">
        <v>50</v>
      </c>
      <c r="F833">
        <v>49.932861328000001</v>
      </c>
      <c r="G833">
        <v>1348.932251</v>
      </c>
      <c r="H833">
        <v>1343.496582</v>
      </c>
      <c r="I833">
        <v>1321.3706055</v>
      </c>
      <c r="J833">
        <v>1317.1595459</v>
      </c>
      <c r="K833">
        <v>2750</v>
      </c>
      <c r="L833">
        <v>0</v>
      </c>
      <c r="M833">
        <v>0</v>
      </c>
      <c r="N833">
        <v>2750</v>
      </c>
    </row>
    <row r="834" spans="1:14" x14ac:dyDescent="0.25">
      <c r="A834">
        <v>365.173092</v>
      </c>
      <c r="B834" s="1">
        <f>DATE(2011,5,1) + TIME(4,9,15)</f>
        <v>40664.173090277778</v>
      </c>
      <c r="C834">
        <v>80</v>
      </c>
      <c r="D834">
        <v>66.593292235999996</v>
      </c>
      <c r="E834">
        <v>50</v>
      </c>
      <c r="F834">
        <v>49.929367065000001</v>
      </c>
      <c r="G834">
        <v>1348.8806152</v>
      </c>
      <c r="H834">
        <v>1343.4818115</v>
      </c>
      <c r="I834">
        <v>1321.3707274999999</v>
      </c>
      <c r="J834">
        <v>1317.159668</v>
      </c>
      <c r="K834">
        <v>2750</v>
      </c>
      <c r="L834">
        <v>0</v>
      </c>
      <c r="M834">
        <v>0</v>
      </c>
      <c r="N834">
        <v>2750</v>
      </c>
    </row>
    <row r="835" spans="1:14" x14ac:dyDescent="0.25">
      <c r="A835">
        <v>365.19317100000001</v>
      </c>
      <c r="B835" s="1">
        <f>DATE(2011,5,1) + TIME(4,38,10)</f>
        <v>40664.193171296298</v>
      </c>
      <c r="C835">
        <v>80</v>
      </c>
      <c r="D835">
        <v>67.157768250000004</v>
      </c>
      <c r="E835">
        <v>50</v>
      </c>
      <c r="F835">
        <v>49.925823211999997</v>
      </c>
      <c r="G835">
        <v>1348.8326416</v>
      </c>
      <c r="H835">
        <v>1343.4685059000001</v>
      </c>
      <c r="I835">
        <v>1321.3708495999999</v>
      </c>
      <c r="J835">
        <v>1317.159668</v>
      </c>
      <c r="K835">
        <v>2750</v>
      </c>
      <c r="L835">
        <v>0</v>
      </c>
      <c r="M835">
        <v>0</v>
      </c>
      <c r="N835">
        <v>2750</v>
      </c>
    </row>
    <row r="836" spans="1:14" x14ac:dyDescent="0.25">
      <c r="A836">
        <v>365.21365400000002</v>
      </c>
      <c r="B836" s="1">
        <f>DATE(2011,5,1) + TIME(5,7,39)</f>
        <v>40664.213645833333</v>
      </c>
      <c r="C836">
        <v>80</v>
      </c>
      <c r="D836">
        <v>67.709716796999999</v>
      </c>
      <c r="E836">
        <v>50</v>
      </c>
      <c r="F836">
        <v>49.922241210999999</v>
      </c>
      <c r="G836">
        <v>1348.7882079999999</v>
      </c>
      <c r="H836">
        <v>1343.4570312000001</v>
      </c>
      <c r="I836">
        <v>1321.3709716999999</v>
      </c>
      <c r="J836">
        <v>1317.1595459</v>
      </c>
      <c r="K836">
        <v>2750</v>
      </c>
      <c r="L836">
        <v>0</v>
      </c>
      <c r="M836">
        <v>0</v>
      </c>
      <c r="N836">
        <v>2750</v>
      </c>
    </row>
    <row r="837" spans="1:14" x14ac:dyDescent="0.25">
      <c r="A837">
        <v>365.23455999999999</v>
      </c>
      <c r="B837" s="1">
        <f>DATE(2011,5,1) + TIME(5,37,45)</f>
        <v>40664.234548611108</v>
      </c>
      <c r="C837">
        <v>80</v>
      </c>
      <c r="D837">
        <v>68.249229431000003</v>
      </c>
      <c r="E837">
        <v>50</v>
      </c>
      <c r="F837">
        <v>49.918609619000001</v>
      </c>
      <c r="G837">
        <v>1348.7471923999999</v>
      </c>
      <c r="H837">
        <v>1343.4468993999999</v>
      </c>
      <c r="I837">
        <v>1321.3710937999999</v>
      </c>
      <c r="J837">
        <v>1317.1595459</v>
      </c>
      <c r="K837">
        <v>2750</v>
      </c>
      <c r="L837">
        <v>0</v>
      </c>
      <c r="M837">
        <v>0</v>
      </c>
      <c r="N837">
        <v>2750</v>
      </c>
    </row>
    <row r="838" spans="1:14" x14ac:dyDescent="0.25">
      <c r="A838">
        <v>365.25590999999997</v>
      </c>
      <c r="B838" s="1">
        <f>DATE(2011,5,1) + TIME(6,8,30)</f>
        <v>40664.255902777775</v>
      </c>
      <c r="C838">
        <v>80</v>
      </c>
      <c r="D838">
        <v>68.776397704999994</v>
      </c>
      <c r="E838">
        <v>50</v>
      </c>
      <c r="F838">
        <v>49.914928435999997</v>
      </c>
      <c r="G838">
        <v>1348.7093506000001</v>
      </c>
      <c r="H838">
        <v>1343.4382324000001</v>
      </c>
      <c r="I838">
        <v>1321.3710937999999</v>
      </c>
      <c r="J838">
        <v>1317.1595459</v>
      </c>
      <c r="K838">
        <v>2750</v>
      </c>
      <c r="L838">
        <v>0</v>
      </c>
      <c r="M838">
        <v>0</v>
      </c>
      <c r="N838">
        <v>2750</v>
      </c>
    </row>
    <row r="839" spans="1:14" x14ac:dyDescent="0.25">
      <c r="A839">
        <v>365.27772599999997</v>
      </c>
      <c r="B839" s="1">
        <f>DATE(2011,5,1) + TIME(6,39,55)</f>
        <v>40664.277719907404</v>
      </c>
      <c r="C839">
        <v>80</v>
      </c>
      <c r="D839">
        <v>69.291282654</v>
      </c>
      <c r="E839">
        <v>50</v>
      </c>
      <c r="F839">
        <v>49.911197661999999</v>
      </c>
      <c r="G839">
        <v>1348.6746826000001</v>
      </c>
      <c r="H839">
        <v>1343.4310303</v>
      </c>
      <c r="I839">
        <v>1321.3710937999999</v>
      </c>
      <c r="J839">
        <v>1317.1594238</v>
      </c>
      <c r="K839">
        <v>2750</v>
      </c>
      <c r="L839">
        <v>0</v>
      </c>
      <c r="M839">
        <v>0</v>
      </c>
      <c r="N839">
        <v>2750</v>
      </c>
    </row>
    <row r="840" spans="1:14" x14ac:dyDescent="0.25">
      <c r="A840">
        <v>365.30003099999999</v>
      </c>
      <c r="B840" s="1">
        <f>DATE(2011,5,1) + TIME(7,12,2)</f>
        <v>40664.300023148149</v>
      </c>
      <c r="C840">
        <v>80</v>
      </c>
      <c r="D840">
        <v>69.793952942000004</v>
      </c>
      <c r="E840">
        <v>50</v>
      </c>
      <c r="F840">
        <v>49.907413482999999</v>
      </c>
      <c r="G840">
        <v>1348.6428223</v>
      </c>
      <c r="H840">
        <v>1343.4250488</v>
      </c>
      <c r="I840">
        <v>1321.3710937999999</v>
      </c>
      <c r="J840">
        <v>1317.1593018000001</v>
      </c>
      <c r="K840">
        <v>2750</v>
      </c>
      <c r="L840">
        <v>0</v>
      </c>
      <c r="M840">
        <v>0</v>
      </c>
      <c r="N840">
        <v>2750</v>
      </c>
    </row>
    <row r="841" spans="1:14" x14ac:dyDescent="0.25">
      <c r="A841">
        <v>365.32285000000002</v>
      </c>
      <c r="B841" s="1">
        <f>DATE(2011,5,1) + TIME(7,44,54)</f>
        <v>40664.322847222225</v>
      </c>
      <c r="C841">
        <v>80</v>
      </c>
      <c r="D841">
        <v>70.284210204999994</v>
      </c>
      <c r="E841">
        <v>50</v>
      </c>
      <c r="F841">
        <v>49.903572083</v>
      </c>
      <c r="G841">
        <v>1348.6137695</v>
      </c>
      <c r="H841">
        <v>1343.4202881000001</v>
      </c>
      <c r="I841">
        <v>1321.3710937999999</v>
      </c>
      <c r="J841">
        <v>1317.1591797000001</v>
      </c>
      <c r="K841">
        <v>2750</v>
      </c>
      <c r="L841">
        <v>0</v>
      </c>
      <c r="M841">
        <v>0</v>
      </c>
      <c r="N841">
        <v>2750</v>
      </c>
    </row>
    <row r="842" spans="1:14" x14ac:dyDescent="0.25">
      <c r="A842">
        <v>365.346206</v>
      </c>
      <c r="B842" s="1">
        <f>DATE(2011,5,1) + TIME(8,18,32)</f>
        <v>40664.346203703702</v>
      </c>
      <c r="C842">
        <v>80</v>
      </c>
      <c r="D842">
        <v>70.762092589999995</v>
      </c>
      <c r="E842">
        <v>50</v>
      </c>
      <c r="F842">
        <v>49.899669647000003</v>
      </c>
      <c r="G842">
        <v>1348.5872803</v>
      </c>
      <c r="H842">
        <v>1343.4167480000001</v>
      </c>
      <c r="I842">
        <v>1321.3710937999999</v>
      </c>
      <c r="J842">
        <v>1317.1590576000001</v>
      </c>
      <c r="K842">
        <v>2750</v>
      </c>
      <c r="L842">
        <v>0</v>
      </c>
      <c r="M842">
        <v>0</v>
      </c>
      <c r="N842">
        <v>2750</v>
      </c>
    </row>
    <row r="843" spans="1:14" x14ac:dyDescent="0.25">
      <c r="A843">
        <v>365.37013200000001</v>
      </c>
      <c r="B843" s="1">
        <f>DATE(2011,5,1) + TIME(8,52,59)</f>
        <v>40664.370127314818</v>
      </c>
      <c r="C843">
        <v>80</v>
      </c>
      <c r="D843">
        <v>71.227859496999997</v>
      </c>
      <c r="E843">
        <v>50</v>
      </c>
      <c r="F843">
        <v>49.895706177000001</v>
      </c>
      <c r="G843">
        <v>1348.5633545000001</v>
      </c>
      <c r="H843">
        <v>1343.4141846</v>
      </c>
      <c r="I843">
        <v>1321.3710937999999</v>
      </c>
      <c r="J843">
        <v>1317.1589355000001</v>
      </c>
      <c r="K843">
        <v>2750</v>
      </c>
      <c r="L843">
        <v>0</v>
      </c>
      <c r="M843">
        <v>0</v>
      </c>
      <c r="N843">
        <v>2750</v>
      </c>
    </row>
    <row r="844" spans="1:14" x14ac:dyDescent="0.25">
      <c r="A844">
        <v>365.39465799999999</v>
      </c>
      <c r="B844" s="1">
        <f>DATE(2011,5,1) + TIME(9,28,18)</f>
        <v>40664.394652777781</v>
      </c>
      <c r="C844">
        <v>80</v>
      </c>
      <c r="D844">
        <v>71.681510924999998</v>
      </c>
      <c r="E844">
        <v>50</v>
      </c>
      <c r="F844">
        <v>49.891674041999998</v>
      </c>
      <c r="G844">
        <v>1348.5418701000001</v>
      </c>
      <c r="H844">
        <v>1343.4127197</v>
      </c>
      <c r="I844">
        <v>1321.3710937999999</v>
      </c>
      <c r="J844">
        <v>1317.1586914</v>
      </c>
      <c r="K844">
        <v>2750</v>
      </c>
      <c r="L844">
        <v>0</v>
      </c>
      <c r="M844">
        <v>0</v>
      </c>
      <c r="N844">
        <v>2750</v>
      </c>
    </row>
    <row r="845" spans="1:14" x14ac:dyDescent="0.25">
      <c r="A845">
        <v>365.41981800000002</v>
      </c>
      <c r="B845" s="1">
        <f>DATE(2011,5,1) + TIME(10,4,32)</f>
        <v>40664.419814814813</v>
      </c>
      <c r="C845">
        <v>80</v>
      </c>
      <c r="D845">
        <v>72.123054503999995</v>
      </c>
      <c r="E845">
        <v>50</v>
      </c>
      <c r="F845">
        <v>49.887573242000002</v>
      </c>
      <c r="G845">
        <v>1348.5225829999999</v>
      </c>
      <c r="H845">
        <v>1343.4122314000001</v>
      </c>
      <c r="I845">
        <v>1321.3709716999999</v>
      </c>
      <c r="J845">
        <v>1317.1585693</v>
      </c>
      <c r="K845">
        <v>2750</v>
      </c>
      <c r="L845">
        <v>0</v>
      </c>
      <c r="M845">
        <v>0</v>
      </c>
      <c r="N845">
        <v>2750</v>
      </c>
    </row>
    <row r="846" spans="1:14" x14ac:dyDescent="0.25">
      <c r="A846">
        <v>365.44564200000002</v>
      </c>
      <c r="B846" s="1">
        <f>DATE(2011,5,1) + TIME(10,41,43)</f>
        <v>40664.445636574077</v>
      </c>
      <c r="C846">
        <v>80</v>
      </c>
      <c r="D846">
        <v>72.552413939999994</v>
      </c>
      <c r="E846">
        <v>50</v>
      </c>
      <c r="F846">
        <v>49.883396148999999</v>
      </c>
      <c r="G846">
        <v>1348.5054932</v>
      </c>
      <c r="H846">
        <v>1343.4127197</v>
      </c>
      <c r="I846">
        <v>1321.3709716999999</v>
      </c>
      <c r="J846">
        <v>1317.1583252</v>
      </c>
      <c r="K846">
        <v>2750</v>
      </c>
      <c r="L846">
        <v>0</v>
      </c>
      <c r="M846">
        <v>0</v>
      </c>
      <c r="N846">
        <v>2750</v>
      </c>
    </row>
    <row r="847" spans="1:14" x14ac:dyDescent="0.25">
      <c r="A847">
        <v>365.472126</v>
      </c>
      <c r="B847" s="1">
        <f>DATE(2011,5,1) + TIME(11,19,51)</f>
        <v>40664.472118055557</v>
      </c>
      <c r="C847">
        <v>80</v>
      </c>
      <c r="D847">
        <v>72.968940735000004</v>
      </c>
      <c r="E847">
        <v>50</v>
      </c>
      <c r="F847">
        <v>49.879150391000003</v>
      </c>
      <c r="G847">
        <v>1348.4906006000001</v>
      </c>
      <c r="H847">
        <v>1343.4140625</v>
      </c>
      <c r="I847">
        <v>1321.3708495999999</v>
      </c>
      <c r="J847">
        <v>1317.1580810999999</v>
      </c>
      <c r="K847">
        <v>2750</v>
      </c>
      <c r="L847">
        <v>0</v>
      </c>
      <c r="M847">
        <v>0</v>
      </c>
      <c r="N847">
        <v>2750</v>
      </c>
    </row>
    <row r="848" spans="1:14" x14ac:dyDescent="0.25">
      <c r="A848">
        <v>365.49930699999999</v>
      </c>
      <c r="B848" s="1">
        <f>DATE(2011,5,1) + TIME(11,59,0)</f>
        <v>40664.499305555553</v>
      </c>
      <c r="C848">
        <v>80</v>
      </c>
      <c r="D848">
        <v>73.372695922999995</v>
      </c>
      <c r="E848">
        <v>50</v>
      </c>
      <c r="F848">
        <v>49.874824523999997</v>
      </c>
      <c r="G848">
        <v>1348.4775391000001</v>
      </c>
      <c r="H848">
        <v>1343.4161377</v>
      </c>
      <c r="I848">
        <v>1321.3707274999999</v>
      </c>
      <c r="J848">
        <v>1317.1578368999999</v>
      </c>
      <c r="K848">
        <v>2750</v>
      </c>
      <c r="L848">
        <v>0</v>
      </c>
      <c r="M848">
        <v>0</v>
      </c>
      <c r="N848">
        <v>2750</v>
      </c>
    </row>
    <row r="849" spans="1:14" x14ac:dyDescent="0.25">
      <c r="A849">
        <v>365.52722499999999</v>
      </c>
      <c r="B849" s="1">
        <f>DATE(2011,5,1) + TIME(12,39,12)</f>
        <v>40664.527222222219</v>
      </c>
      <c r="C849">
        <v>80</v>
      </c>
      <c r="D849">
        <v>73.763702393000003</v>
      </c>
      <c r="E849">
        <v>50</v>
      </c>
      <c r="F849">
        <v>49.870418549</v>
      </c>
      <c r="G849">
        <v>1348.4663086</v>
      </c>
      <c r="H849">
        <v>1343.4190673999999</v>
      </c>
      <c r="I849">
        <v>1321.3706055</v>
      </c>
      <c r="J849">
        <v>1317.1575928</v>
      </c>
      <c r="K849">
        <v>2750</v>
      </c>
      <c r="L849">
        <v>0</v>
      </c>
      <c r="M849">
        <v>0</v>
      </c>
      <c r="N849">
        <v>2750</v>
      </c>
    </row>
    <row r="850" spans="1:14" x14ac:dyDescent="0.25">
      <c r="A850">
        <v>365.55592200000001</v>
      </c>
      <c r="B850" s="1">
        <f>DATE(2011,5,1) + TIME(13,20,31)</f>
        <v>40664.555914351855</v>
      </c>
      <c r="C850">
        <v>80</v>
      </c>
      <c r="D850">
        <v>74.141975403000004</v>
      </c>
      <c r="E850">
        <v>50</v>
      </c>
      <c r="F850">
        <v>49.865928650000001</v>
      </c>
      <c r="G850">
        <v>1348.4569091999999</v>
      </c>
      <c r="H850">
        <v>1343.4226074000001</v>
      </c>
      <c r="I850">
        <v>1321.3704834</v>
      </c>
      <c r="J850">
        <v>1317.1573486</v>
      </c>
      <c r="K850">
        <v>2750</v>
      </c>
      <c r="L850">
        <v>0</v>
      </c>
      <c r="M850">
        <v>0</v>
      </c>
      <c r="N850">
        <v>2750</v>
      </c>
    </row>
    <row r="851" spans="1:14" x14ac:dyDescent="0.25">
      <c r="A851">
        <v>365.585443</v>
      </c>
      <c r="B851" s="1">
        <f>DATE(2011,5,1) + TIME(14,3,2)</f>
        <v>40664.585439814815</v>
      </c>
      <c r="C851">
        <v>80</v>
      </c>
      <c r="D851">
        <v>74.507522582999997</v>
      </c>
      <c r="E851">
        <v>50</v>
      </c>
      <c r="F851">
        <v>49.861347197999997</v>
      </c>
      <c r="G851">
        <v>1348.4490966999999</v>
      </c>
      <c r="H851">
        <v>1343.4267577999999</v>
      </c>
      <c r="I851">
        <v>1321.3703613</v>
      </c>
      <c r="J851">
        <v>1317.1571045000001</v>
      </c>
      <c r="K851">
        <v>2750</v>
      </c>
      <c r="L851">
        <v>0</v>
      </c>
      <c r="M851">
        <v>0</v>
      </c>
      <c r="N851">
        <v>2750</v>
      </c>
    </row>
    <row r="852" spans="1:14" x14ac:dyDescent="0.25">
      <c r="A852">
        <v>365.615837</v>
      </c>
      <c r="B852" s="1">
        <f>DATE(2011,5,1) + TIME(14,46,48)</f>
        <v>40664.615833333337</v>
      </c>
      <c r="C852">
        <v>80</v>
      </c>
      <c r="D852">
        <v>74.860366821</v>
      </c>
      <c r="E852">
        <v>50</v>
      </c>
      <c r="F852">
        <v>49.856674194</v>
      </c>
      <c r="G852">
        <v>1348.442749</v>
      </c>
      <c r="H852">
        <v>1343.4313964999999</v>
      </c>
      <c r="I852">
        <v>1321.3702393000001</v>
      </c>
      <c r="J852">
        <v>1317.1567382999999</v>
      </c>
      <c r="K852">
        <v>2750</v>
      </c>
      <c r="L852">
        <v>0</v>
      </c>
      <c r="M852">
        <v>0</v>
      </c>
      <c r="N852">
        <v>2750</v>
      </c>
    </row>
    <row r="853" spans="1:14" x14ac:dyDescent="0.25">
      <c r="A853">
        <v>365.64715799999999</v>
      </c>
      <c r="B853" s="1">
        <f>DATE(2011,5,1) + TIME(15,31,54)</f>
        <v>40664.647152777776</v>
      </c>
      <c r="C853">
        <v>80</v>
      </c>
      <c r="D853">
        <v>75.200363159000005</v>
      </c>
      <c r="E853">
        <v>50</v>
      </c>
      <c r="F853">
        <v>49.851894379000001</v>
      </c>
      <c r="G853">
        <v>1348.4377440999999</v>
      </c>
      <c r="H853">
        <v>1343.4366454999999</v>
      </c>
      <c r="I853">
        <v>1321.3701172000001</v>
      </c>
      <c r="J853">
        <v>1317.1564940999999</v>
      </c>
      <c r="K853">
        <v>2750</v>
      </c>
      <c r="L853">
        <v>0</v>
      </c>
      <c r="M853">
        <v>0</v>
      </c>
      <c r="N853">
        <v>2750</v>
      </c>
    </row>
    <row r="854" spans="1:14" x14ac:dyDescent="0.25">
      <c r="A854">
        <v>365.679463</v>
      </c>
      <c r="B854" s="1">
        <f>DATE(2011,5,1) + TIME(16,18,25)</f>
        <v>40664.679456018515</v>
      </c>
      <c r="C854">
        <v>80</v>
      </c>
      <c r="D854">
        <v>75.527572632000002</v>
      </c>
      <c r="E854">
        <v>50</v>
      </c>
      <c r="F854">
        <v>49.847007751</v>
      </c>
      <c r="G854">
        <v>1348.434082</v>
      </c>
      <c r="H854">
        <v>1343.4422606999999</v>
      </c>
      <c r="I854">
        <v>1321.3698730000001</v>
      </c>
      <c r="J854">
        <v>1317.1561279</v>
      </c>
      <c r="K854">
        <v>2750</v>
      </c>
      <c r="L854">
        <v>0</v>
      </c>
      <c r="M854">
        <v>0</v>
      </c>
      <c r="N854">
        <v>2750</v>
      </c>
    </row>
    <row r="855" spans="1:14" x14ac:dyDescent="0.25">
      <c r="A855">
        <v>365.71281499999998</v>
      </c>
      <c r="B855" s="1">
        <f>DATE(2011,5,1) + TIME(17,6,27)</f>
        <v>40664.712812500002</v>
      </c>
      <c r="C855">
        <v>80</v>
      </c>
      <c r="D855">
        <v>75.842102050999998</v>
      </c>
      <c r="E855">
        <v>50</v>
      </c>
      <c r="F855">
        <v>49.842006683000001</v>
      </c>
      <c r="G855">
        <v>1348.4316406</v>
      </c>
      <c r="H855">
        <v>1343.4482422000001</v>
      </c>
      <c r="I855">
        <v>1321.369751</v>
      </c>
      <c r="J855">
        <v>1317.1557617000001</v>
      </c>
      <c r="K855">
        <v>2750</v>
      </c>
      <c r="L855">
        <v>0</v>
      </c>
      <c r="M855">
        <v>0</v>
      </c>
      <c r="N855">
        <v>2750</v>
      </c>
    </row>
    <row r="856" spans="1:14" x14ac:dyDescent="0.25">
      <c r="A856">
        <v>365.74728800000003</v>
      </c>
      <c r="B856" s="1">
        <f>DATE(2011,5,1) + TIME(17,56,5)</f>
        <v>40664.74728009259</v>
      </c>
      <c r="C856">
        <v>80</v>
      </c>
      <c r="D856">
        <v>76.144027710000003</v>
      </c>
      <c r="E856">
        <v>50</v>
      </c>
      <c r="F856">
        <v>49.83687973</v>
      </c>
      <c r="G856">
        <v>1348.4302978999999</v>
      </c>
      <c r="H856">
        <v>1343.4545897999999</v>
      </c>
      <c r="I856">
        <v>1321.3695068</v>
      </c>
      <c r="J856">
        <v>1317.1553954999999</v>
      </c>
      <c r="K856">
        <v>2750</v>
      </c>
      <c r="L856">
        <v>0</v>
      </c>
      <c r="M856">
        <v>0</v>
      </c>
      <c r="N856">
        <v>2750</v>
      </c>
    </row>
    <row r="857" spans="1:14" x14ac:dyDescent="0.25">
      <c r="A857">
        <v>365.78296499999999</v>
      </c>
      <c r="B857" s="1">
        <f>DATE(2011,5,1) + TIME(18,47,28)</f>
        <v>40664.782962962963</v>
      </c>
      <c r="C857">
        <v>80</v>
      </c>
      <c r="D857">
        <v>76.433403014999996</v>
      </c>
      <c r="E857">
        <v>50</v>
      </c>
      <c r="F857">
        <v>49.831623077000003</v>
      </c>
      <c r="G857">
        <v>1348.4298096</v>
      </c>
      <c r="H857">
        <v>1343.4611815999999</v>
      </c>
      <c r="I857">
        <v>1321.3693848</v>
      </c>
      <c r="J857">
        <v>1317.1550293</v>
      </c>
      <c r="K857">
        <v>2750</v>
      </c>
      <c r="L857">
        <v>0</v>
      </c>
      <c r="M857">
        <v>0</v>
      </c>
      <c r="N857">
        <v>2750</v>
      </c>
    </row>
    <row r="858" spans="1:14" x14ac:dyDescent="0.25">
      <c r="A858">
        <v>365.81991699999998</v>
      </c>
      <c r="B858" s="1">
        <f>DATE(2011,5,1) + TIME(19,40,40)</f>
        <v>40664.819907407407</v>
      </c>
      <c r="C858">
        <v>80</v>
      </c>
      <c r="D858">
        <v>76.710174561000002</v>
      </c>
      <c r="E858">
        <v>50</v>
      </c>
      <c r="F858">
        <v>49.826225280999999</v>
      </c>
      <c r="G858">
        <v>1348.4304199000001</v>
      </c>
      <c r="H858">
        <v>1343.4680175999999</v>
      </c>
      <c r="I858">
        <v>1321.3691406</v>
      </c>
      <c r="J858">
        <v>1317.1546631000001</v>
      </c>
      <c r="K858">
        <v>2750</v>
      </c>
      <c r="L858">
        <v>0</v>
      </c>
      <c r="M858">
        <v>0</v>
      </c>
      <c r="N858">
        <v>2750</v>
      </c>
    </row>
    <row r="859" spans="1:14" x14ac:dyDescent="0.25">
      <c r="A859">
        <v>365.85823599999998</v>
      </c>
      <c r="B859" s="1">
        <f>DATE(2011,5,1) + TIME(20,35,51)</f>
        <v>40664.858229166668</v>
      </c>
      <c r="C859">
        <v>80</v>
      </c>
      <c r="D859">
        <v>76.974380492999998</v>
      </c>
      <c r="E859">
        <v>50</v>
      </c>
      <c r="F859">
        <v>49.820678710999999</v>
      </c>
      <c r="G859">
        <v>1348.4317627</v>
      </c>
      <c r="H859">
        <v>1343.4749756000001</v>
      </c>
      <c r="I859">
        <v>1321.3688964999999</v>
      </c>
      <c r="J859">
        <v>1317.1541748</v>
      </c>
      <c r="K859">
        <v>2750</v>
      </c>
      <c r="L859">
        <v>0</v>
      </c>
      <c r="M859">
        <v>0</v>
      </c>
      <c r="N859">
        <v>2750</v>
      </c>
    </row>
    <row r="860" spans="1:14" x14ac:dyDescent="0.25">
      <c r="A860">
        <v>365.89802300000002</v>
      </c>
      <c r="B860" s="1">
        <f>DATE(2011,5,1) + TIME(21,33,9)</f>
        <v>40664.898020833331</v>
      </c>
      <c r="C860">
        <v>80</v>
      </c>
      <c r="D860">
        <v>77.226066588999998</v>
      </c>
      <c r="E860">
        <v>50</v>
      </c>
      <c r="F860">
        <v>49.814971923999998</v>
      </c>
      <c r="G860">
        <v>1348.4338379000001</v>
      </c>
      <c r="H860">
        <v>1343.4819336</v>
      </c>
      <c r="I860">
        <v>1321.3686522999999</v>
      </c>
      <c r="J860">
        <v>1317.1538086</v>
      </c>
      <c r="K860">
        <v>2750</v>
      </c>
      <c r="L860">
        <v>0</v>
      </c>
      <c r="M860">
        <v>0</v>
      </c>
      <c r="N860">
        <v>2750</v>
      </c>
    </row>
    <row r="861" spans="1:14" x14ac:dyDescent="0.25">
      <c r="A861">
        <v>365.939391</v>
      </c>
      <c r="B861" s="1">
        <f>DATE(2011,5,1) + TIME(22,32,43)</f>
        <v>40664.939386574071</v>
      </c>
      <c r="C861">
        <v>80</v>
      </c>
      <c r="D861">
        <v>77.465301514000004</v>
      </c>
      <c r="E861">
        <v>50</v>
      </c>
      <c r="F861">
        <v>49.809089661000002</v>
      </c>
      <c r="G861">
        <v>1348.4364014</v>
      </c>
      <c r="H861">
        <v>1343.4891356999999</v>
      </c>
      <c r="I861">
        <v>1321.3684082</v>
      </c>
      <c r="J861">
        <v>1317.1533202999999</v>
      </c>
      <c r="K861">
        <v>2750</v>
      </c>
      <c r="L861">
        <v>0</v>
      </c>
      <c r="M861">
        <v>0</v>
      </c>
      <c r="N861">
        <v>2750</v>
      </c>
    </row>
    <row r="862" spans="1:14" x14ac:dyDescent="0.25">
      <c r="A862">
        <v>365.98246399999999</v>
      </c>
      <c r="B862" s="1">
        <f>DATE(2011,5,1) + TIME(23,34,44)</f>
        <v>40664.982453703706</v>
      </c>
      <c r="C862">
        <v>80</v>
      </c>
      <c r="D862">
        <v>77.692146300999994</v>
      </c>
      <c r="E862">
        <v>50</v>
      </c>
      <c r="F862">
        <v>49.803024292000003</v>
      </c>
      <c r="G862">
        <v>1348.4395752</v>
      </c>
      <c r="H862">
        <v>1343.4962158000001</v>
      </c>
      <c r="I862">
        <v>1321.3681641000001</v>
      </c>
      <c r="J862">
        <v>1317.1529541</v>
      </c>
      <c r="K862">
        <v>2750</v>
      </c>
      <c r="L862">
        <v>0</v>
      </c>
      <c r="M862">
        <v>0</v>
      </c>
      <c r="N862">
        <v>2750</v>
      </c>
    </row>
    <row r="863" spans="1:14" x14ac:dyDescent="0.25">
      <c r="A863">
        <v>366.02731999999997</v>
      </c>
      <c r="B863" s="1">
        <f>DATE(2011,5,2) + TIME(0,39,20)</f>
        <v>40665.027314814812</v>
      </c>
      <c r="C863">
        <v>80</v>
      </c>
      <c r="D863">
        <v>77.906425475999995</v>
      </c>
      <c r="E863">
        <v>50</v>
      </c>
      <c r="F863">
        <v>49.796764373999999</v>
      </c>
      <c r="G863">
        <v>1348.4432373</v>
      </c>
      <c r="H863">
        <v>1343.5031738</v>
      </c>
      <c r="I863">
        <v>1321.3677978999999</v>
      </c>
      <c r="J863">
        <v>1317.1524658000001</v>
      </c>
      <c r="K863">
        <v>2750</v>
      </c>
      <c r="L863">
        <v>0</v>
      </c>
      <c r="M863">
        <v>0</v>
      </c>
      <c r="N863">
        <v>2750</v>
      </c>
    </row>
    <row r="864" spans="1:14" x14ac:dyDescent="0.25">
      <c r="A864">
        <v>366.07408199999998</v>
      </c>
      <c r="B864" s="1">
        <f>DATE(2011,5,2) + TIME(1,46,40)</f>
        <v>40665.074074074073</v>
      </c>
      <c r="C864">
        <v>80</v>
      </c>
      <c r="D864">
        <v>78.108184813999998</v>
      </c>
      <c r="E864">
        <v>50</v>
      </c>
      <c r="F864">
        <v>49.790298462000003</v>
      </c>
      <c r="G864">
        <v>1348.4472656</v>
      </c>
      <c r="H864">
        <v>1343.5101318</v>
      </c>
      <c r="I864">
        <v>1321.3675536999999</v>
      </c>
      <c r="J864">
        <v>1317.1519774999999</v>
      </c>
      <c r="K864">
        <v>2750</v>
      </c>
      <c r="L864">
        <v>0</v>
      </c>
      <c r="M864">
        <v>0</v>
      </c>
      <c r="N864">
        <v>2750</v>
      </c>
    </row>
    <row r="865" spans="1:14" x14ac:dyDescent="0.25">
      <c r="A865">
        <v>366.12290400000001</v>
      </c>
      <c r="B865" s="1">
        <f>DATE(2011,5,2) + TIME(2,56,58)</f>
        <v>40665.122893518521</v>
      </c>
      <c r="C865">
        <v>80</v>
      </c>
      <c r="D865">
        <v>78.297569275000001</v>
      </c>
      <c r="E865">
        <v>50</v>
      </c>
      <c r="F865">
        <v>49.783611297999997</v>
      </c>
      <c r="G865">
        <v>1348.4515381000001</v>
      </c>
      <c r="H865">
        <v>1343.5168457</v>
      </c>
      <c r="I865">
        <v>1321.3671875</v>
      </c>
      <c r="J865">
        <v>1317.1513672000001</v>
      </c>
      <c r="K865">
        <v>2750</v>
      </c>
      <c r="L865">
        <v>0</v>
      </c>
      <c r="M865">
        <v>0</v>
      </c>
      <c r="N865">
        <v>2750</v>
      </c>
    </row>
    <row r="866" spans="1:14" x14ac:dyDescent="0.25">
      <c r="A866">
        <v>366.17395800000003</v>
      </c>
      <c r="B866" s="1">
        <f>DATE(2011,5,2) + TIME(4,10,29)</f>
        <v>40665.173946759256</v>
      </c>
      <c r="C866">
        <v>80</v>
      </c>
      <c r="D866">
        <v>78.474739075000002</v>
      </c>
      <c r="E866">
        <v>50</v>
      </c>
      <c r="F866">
        <v>49.776683806999998</v>
      </c>
      <c r="G866">
        <v>1348.4558105000001</v>
      </c>
      <c r="H866">
        <v>1343.5231934000001</v>
      </c>
      <c r="I866">
        <v>1321.3668213000001</v>
      </c>
      <c r="J866">
        <v>1317.1508789</v>
      </c>
      <c r="K866">
        <v>2750</v>
      </c>
      <c r="L866">
        <v>0</v>
      </c>
      <c r="M866">
        <v>0</v>
      </c>
      <c r="N866">
        <v>2750</v>
      </c>
    </row>
    <row r="867" spans="1:14" x14ac:dyDescent="0.25">
      <c r="A867">
        <v>366.22743300000002</v>
      </c>
      <c r="B867" s="1">
        <f>DATE(2011,5,2) + TIME(5,27,30)</f>
        <v>40665.227430555555</v>
      </c>
      <c r="C867">
        <v>80</v>
      </c>
      <c r="D867">
        <v>78.639884949000006</v>
      </c>
      <c r="E867">
        <v>50</v>
      </c>
      <c r="F867">
        <v>49.769500731999997</v>
      </c>
      <c r="G867">
        <v>1348.4602050999999</v>
      </c>
      <c r="H867">
        <v>1343.5294189000001</v>
      </c>
      <c r="I867">
        <v>1321.3664550999999</v>
      </c>
      <c r="J867">
        <v>1317.1502685999999</v>
      </c>
      <c r="K867">
        <v>2750</v>
      </c>
      <c r="L867">
        <v>0</v>
      </c>
      <c r="M867">
        <v>0</v>
      </c>
      <c r="N867">
        <v>2750</v>
      </c>
    </row>
    <row r="868" spans="1:14" x14ac:dyDescent="0.25">
      <c r="A868">
        <v>366.283547</v>
      </c>
      <c r="B868" s="1">
        <f>DATE(2011,5,2) + TIME(6,48,18)</f>
        <v>40665.283541666664</v>
      </c>
      <c r="C868">
        <v>80</v>
      </c>
      <c r="D868">
        <v>78.793220520000006</v>
      </c>
      <c r="E868">
        <v>50</v>
      </c>
      <c r="F868">
        <v>49.76203537</v>
      </c>
      <c r="G868">
        <v>1348.4643555</v>
      </c>
      <c r="H868">
        <v>1343.5351562000001</v>
      </c>
      <c r="I868">
        <v>1321.3660889</v>
      </c>
      <c r="J868">
        <v>1317.1496582</v>
      </c>
      <c r="K868">
        <v>2750</v>
      </c>
      <c r="L868">
        <v>0</v>
      </c>
      <c r="M868">
        <v>0</v>
      </c>
      <c r="N868">
        <v>2750</v>
      </c>
    </row>
    <row r="869" spans="1:14" x14ac:dyDescent="0.25">
      <c r="A869">
        <v>366.34254299999998</v>
      </c>
      <c r="B869" s="1">
        <f>DATE(2011,5,2) + TIME(8,13,15)</f>
        <v>40665.342534722222</v>
      </c>
      <c r="C869">
        <v>80</v>
      </c>
      <c r="D869">
        <v>78.934982300000001</v>
      </c>
      <c r="E869">
        <v>50</v>
      </c>
      <c r="F869">
        <v>49.754261016999997</v>
      </c>
      <c r="G869">
        <v>1348.4683838000001</v>
      </c>
      <c r="H869">
        <v>1343.5404053</v>
      </c>
      <c r="I869">
        <v>1321.3657227000001</v>
      </c>
      <c r="J869">
        <v>1317.1490478999999</v>
      </c>
      <c r="K869">
        <v>2750</v>
      </c>
      <c r="L869">
        <v>0</v>
      </c>
      <c r="M869">
        <v>0</v>
      </c>
      <c r="N869">
        <v>2750</v>
      </c>
    </row>
    <row r="870" spans="1:14" x14ac:dyDescent="0.25">
      <c r="A870">
        <v>366.40472699999998</v>
      </c>
      <c r="B870" s="1">
        <f>DATE(2011,5,2) + TIME(9,42,48)</f>
        <v>40665.404722222222</v>
      </c>
      <c r="C870">
        <v>80</v>
      </c>
      <c r="D870">
        <v>79.065483092999997</v>
      </c>
      <c r="E870">
        <v>50</v>
      </c>
      <c r="F870">
        <v>49.746154785000002</v>
      </c>
      <c r="G870">
        <v>1348.472168</v>
      </c>
      <c r="H870">
        <v>1343.5451660000001</v>
      </c>
      <c r="I870">
        <v>1321.3652344</v>
      </c>
      <c r="J870">
        <v>1317.1484375</v>
      </c>
      <c r="K870">
        <v>2750</v>
      </c>
      <c r="L870">
        <v>0</v>
      </c>
      <c r="M870">
        <v>0</v>
      </c>
      <c r="N870">
        <v>2750</v>
      </c>
    </row>
    <row r="871" spans="1:14" x14ac:dyDescent="0.25">
      <c r="A871">
        <v>366.470416</v>
      </c>
      <c r="B871" s="1">
        <f>DATE(2011,5,2) + TIME(11,17,23)</f>
        <v>40665.470405092594</v>
      </c>
      <c r="C871">
        <v>80</v>
      </c>
      <c r="D871">
        <v>79.184989928999997</v>
      </c>
      <c r="E871">
        <v>50</v>
      </c>
      <c r="F871">
        <v>49.737674712999997</v>
      </c>
      <c r="G871">
        <v>1348.4754639</v>
      </c>
      <c r="H871">
        <v>1343.5494385</v>
      </c>
      <c r="I871">
        <v>1321.3648682</v>
      </c>
      <c r="J871">
        <v>1317.1477050999999</v>
      </c>
      <c r="K871">
        <v>2750</v>
      </c>
      <c r="L871">
        <v>0</v>
      </c>
      <c r="M871">
        <v>0</v>
      </c>
      <c r="N871">
        <v>2750</v>
      </c>
    </row>
    <row r="872" spans="1:14" x14ac:dyDescent="0.25">
      <c r="A872">
        <v>366.53996100000001</v>
      </c>
      <c r="B872" s="1">
        <f>DATE(2011,5,2) + TIME(12,57,32)</f>
        <v>40665.539953703701</v>
      </c>
      <c r="C872">
        <v>80</v>
      </c>
      <c r="D872">
        <v>79.293807982999994</v>
      </c>
      <c r="E872">
        <v>50</v>
      </c>
      <c r="F872">
        <v>49.728790283000002</v>
      </c>
      <c r="G872">
        <v>1348.4781493999999</v>
      </c>
      <c r="H872">
        <v>1343.5529785000001</v>
      </c>
      <c r="I872">
        <v>1321.3643798999999</v>
      </c>
      <c r="J872">
        <v>1317.1469727000001</v>
      </c>
      <c r="K872">
        <v>2750</v>
      </c>
      <c r="L872">
        <v>0</v>
      </c>
      <c r="M872">
        <v>0</v>
      </c>
      <c r="N872">
        <v>2750</v>
      </c>
    </row>
    <row r="873" spans="1:14" x14ac:dyDescent="0.25">
      <c r="A873">
        <v>366.61120299999999</v>
      </c>
      <c r="B873" s="1">
        <f>DATE(2011,5,2) + TIME(14,40,7)</f>
        <v>40665.611192129632</v>
      </c>
      <c r="C873">
        <v>80</v>
      </c>
      <c r="D873">
        <v>79.389320373999993</v>
      </c>
      <c r="E873">
        <v>50</v>
      </c>
      <c r="F873">
        <v>49.719760895</v>
      </c>
      <c r="G873">
        <v>1348.4810791</v>
      </c>
      <c r="H873">
        <v>1343.5562743999999</v>
      </c>
      <c r="I873">
        <v>1321.3638916</v>
      </c>
      <c r="J873">
        <v>1317.1462402</v>
      </c>
      <c r="K873">
        <v>2750</v>
      </c>
      <c r="L873">
        <v>0</v>
      </c>
      <c r="M873">
        <v>0</v>
      </c>
      <c r="N873">
        <v>2750</v>
      </c>
    </row>
    <row r="874" spans="1:14" x14ac:dyDescent="0.25">
      <c r="A874">
        <v>366.68313499999999</v>
      </c>
      <c r="B874" s="1">
        <f>DATE(2011,5,2) + TIME(16,23,42)</f>
        <v>40665.683125000003</v>
      </c>
      <c r="C874">
        <v>80</v>
      </c>
      <c r="D874">
        <v>79.471839904999996</v>
      </c>
      <c r="E874">
        <v>50</v>
      </c>
      <c r="F874">
        <v>49.710697174000003</v>
      </c>
      <c r="G874">
        <v>1348.4835204999999</v>
      </c>
      <c r="H874">
        <v>1343.5589600000001</v>
      </c>
      <c r="I874">
        <v>1321.3632812000001</v>
      </c>
      <c r="J874">
        <v>1317.1455077999999</v>
      </c>
      <c r="K874">
        <v>2750</v>
      </c>
      <c r="L874">
        <v>0</v>
      </c>
      <c r="M874">
        <v>0</v>
      </c>
      <c r="N874">
        <v>2750</v>
      </c>
    </row>
    <row r="875" spans="1:14" x14ac:dyDescent="0.25">
      <c r="A875">
        <v>366.755965</v>
      </c>
      <c r="B875" s="1">
        <f>DATE(2011,5,2) + TIME(18,8,35)</f>
        <v>40665.755960648145</v>
      </c>
      <c r="C875">
        <v>80</v>
      </c>
      <c r="D875">
        <v>79.543174743999998</v>
      </c>
      <c r="E875">
        <v>50</v>
      </c>
      <c r="F875">
        <v>49.701580047999997</v>
      </c>
      <c r="G875">
        <v>1348.4848632999999</v>
      </c>
      <c r="H875">
        <v>1343.5606689000001</v>
      </c>
      <c r="I875">
        <v>1321.362793</v>
      </c>
      <c r="J875">
        <v>1317.1447754000001</v>
      </c>
      <c r="K875">
        <v>2750</v>
      </c>
      <c r="L875">
        <v>0</v>
      </c>
      <c r="M875">
        <v>0</v>
      </c>
      <c r="N875">
        <v>2750</v>
      </c>
    </row>
    <row r="876" spans="1:14" x14ac:dyDescent="0.25">
      <c r="A876">
        <v>366.82986299999999</v>
      </c>
      <c r="B876" s="1">
        <f>DATE(2011,5,2) + TIME(19,55,0)</f>
        <v>40665.829861111109</v>
      </c>
      <c r="C876">
        <v>80</v>
      </c>
      <c r="D876">
        <v>79.60484314</v>
      </c>
      <c r="E876">
        <v>50</v>
      </c>
      <c r="F876">
        <v>49.692382811999998</v>
      </c>
      <c r="G876">
        <v>1348.4852295000001</v>
      </c>
      <c r="H876">
        <v>1343.5615233999999</v>
      </c>
      <c r="I876">
        <v>1321.3621826000001</v>
      </c>
      <c r="J876">
        <v>1317.1439209</v>
      </c>
      <c r="K876">
        <v>2750</v>
      </c>
      <c r="L876">
        <v>0</v>
      </c>
      <c r="M876">
        <v>0</v>
      </c>
      <c r="N876">
        <v>2750</v>
      </c>
    </row>
    <row r="877" spans="1:14" x14ac:dyDescent="0.25">
      <c r="A877">
        <v>366.90501999999998</v>
      </c>
      <c r="B877" s="1">
        <f>DATE(2011,5,2) + TIME(21,43,13)</f>
        <v>40665.905011574076</v>
      </c>
      <c r="C877">
        <v>80</v>
      </c>
      <c r="D877">
        <v>79.658134459999999</v>
      </c>
      <c r="E877">
        <v>50</v>
      </c>
      <c r="F877">
        <v>49.683090210000003</v>
      </c>
      <c r="G877">
        <v>1348.4846190999999</v>
      </c>
      <c r="H877">
        <v>1343.5616454999999</v>
      </c>
      <c r="I877">
        <v>1321.3615723</v>
      </c>
      <c r="J877">
        <v>1317.1431885</v>
      </c>
      <c r="K877">
        <v>2750</v>
      </c>
      <c r="L877">
        <v>0</v>
      </c>
      <c r="M877">
        <v>0</v>
      </c>
      <c r="N877">
        <v>2750</v>
      </c>
    </row>
    <row r="878" spans="1:14" x14ac:dyDescent="0.25">
      <c r="A878">
        <v>366.981585</v>
      </c>
      <c r="B878" s="1">
        <f>DATE(2011,5,2) + TIME(23,33,28)</f>
        <v>40665.981574074074</v>
      </c>
      <c r="C878">
        <v>80</v>
      </c>
      <c r="D878">
        <v>79.704132079999994</v>
      </c>
      <c r="E878">
        <v>50</v>
      </c>
      <c r="F878">
        <v>49.673679352000001</v>
      </c>
      <c r="G878">
        <v>1348.4830322</v>
      </c>
      <c r="H878">
        <v>1343.5609131000001</v>
      </c>
      <c r="I878">
        <v>1321.3610839999999</v>
      </c>
      <c r="J878">
        <v>1317.1423339999999</v>
      </c>
      <c r="K878">
        <v>2750</v>
      </c>
      <c r="L878">
        <v>0</v>
      </c>
      <c r="M878">
        <v>0</v>
      </c>
      <c r="N878">
        <v>2750</v>
      </c>
    </row>
    <row r="879" spans="1:14" x14ac:dyDescent="0.25">
      <c r="A879">
        <v>367.05955999999998</v>
      </c>
      <c r="B879" s="1">
        <f>DATE(2011,5,3) + TIME(1,25,45)</f>
        <v>40666.059548611112</v>
      </c>
      <c r="C879">
        <v>80</v>
      </c>
      <c r="D879">
        <v>79.743713378999999</v>
      </c>
      <c r="E879">
        <v>50</v>
      </c>
      <c r="F879">
        <v>49.664154052999997</v>
      </c>
      <c r="G879">
        <v>1348.4805908000001</v>
      </c>
      <c r="H879">
        <v>1343.5594481999999</v>
      </c>
      <c r="I879">
        <v>1321.3604736</v>
      </c>
      <c r="J879">
        <v>1317.1414795000001</v>
      </c>
      <c r="K879">
        <v>2750</v>
      </c>
      <c r="L879">
        <v>0</v>
      </c>
      <c r="M879">
        <v>0</v>
      </c>
      <c r="N879">
        <v>2750</v>
      </c>
    </row>
    <row r="880" spans="1:14" x14ac:dyDescent="0.25">
      <c r="A880">
        <v>367.13851199999999</v>
      </c>
      <c r="B880" s="1">
        <f>DATE(2011,5,3) + TIME(3,19,27)</f>
        <v>40666.138506944444</v>
      </c>
      <c r="C880">
        <v>80</v>
      </c>
      <c r="D880">
        <v>79.777503967000001</v>
      </c>
      <c r="E880">
        <v>50</v>
      </c>
      <c r="F880">
        <v>49.654563904</v>
      </c>
      <c r="G880">
        <v>1348.4772949000001</v>
      </c>
      <c r="H880">
        <v>1343.5573730000001</v>
      </c>
      <c r="I880">
        <v>1321.3598632999999</v>
      </c>
      <c r="J880">
        <v>1317.1407471</v>
      </c>
      <c r="K880">
        <v>2750</v>
      </c>
      <c r="L880">
        <v>0</v>
      </c>
      <c r="M880">
        <v>0</v>
      </c>
      <c r="N880">
        <v>2750</v>
      </c>
    </row>
    <row r="881" spans="1:14" x14ac:dyDescent="0.25">
      <c r="A881">
        <v>367.21859699999999</v>
      </c>
      <c r="B881" s="1">
        <f>DATE(2011,5,3) + TIME(5,14,46)</f>
        <v>40666.218587962961</v>
      </c>
      <c r="C881">
        <v>80</v>
      </c>
      <c r="D881">
        <v>79.806358337000006</v>
      </c>
      <c r="E881">
        <v>50</v>
      </c>
      <c r="F881">
        <v>49.644886016999997</v>
      </c>
      <c r="G881">
        <v>1348.4732666</v>
      </c>
      <c r="H881">
        <v>1343.5546875</v>
      </c>
      <c r="I881">
        <v>1321.3592529</v>
      </c>
      <c r="J881">
        <v>1317.1398925999999</v>
      </c>
      <c r="K881">
        <v>2750</v>
      </c>
      <c r="L881">
        <v>0</v>
      </c>
      <c r="M881">
        <v>0</v>
      </c>
      <c r="N881">
        <v>2750</v>
      </c>
    </row>
    <row r="882" spans="1:14" x14ac:dyDescent="0.25">
      <c r="A882">
        <v>367.29995600000001</v>
      </c>
      <c r="B882" s="1">
        <f>DATE(2011,5,3) + TIME(7,11,56)</f>
        <v>40666.299953703703</v>
      </c>
      <c r="C882">
        <v>80</v>
      </c>
      <c r="D882">
        <v>79.830963135000005</v>
      </c>
      <c r="E882">
        <v>50</v>
      </c>
      <c r="F882">
        <v>49.635108948000003</v>
      </c>
      <c r="G882">
        <v>1348.4682617000001</v>
      </c>
      <c r="H882">
        <v>1343.5513916</v>
      </c>
      <c r="I882">
        <v>1321.3585204999999</v>
      </c>
      <c r="J882">
        <v>1317.1390381000001</v>
      </c>
      <c r="K882">
        <v>2750</v>
      </c>
      <c r="L882">
        <v>0</v>
      </c>
      <c r="M882">
        <v>0</v>
      </c>
      <c r="N882">
        <v>2750</v>
      </c>
    </row>
    <row r="883" spans="1:14" x14ac:dyDescent="0.25">
      <c r="A883">
        <v>367.38273700000002</v>
      </c>
      <c r="B883" s="1">
        <f>DATE(2011,5,3) + TIME(9,11,8)</f>
        <v>40666.382731481484</v>
      </c>
      <c r="C883">
        <v>80</v>
      </c>
      <c r="D883">
        <v>79.851921082000004</v>
      </c>
      <c r="E883">
        <v>50</v>
      </c>
      <c r="F883">
        <v>49.625213623</v>
      </c>
      <c r="G883">
        <v>1348.4626464999999</v>
      </c>
      <c r="H883">
        <v>1343.5474853999999</v>
      </c>
      <c r="I883">
        <v>1321.3579102000001</v>
      </c>
      <c r="J883">
        <v>1317.1380615</v>
      </c>
      <c r="K883">
        <v>2750</v>
      </c>
      <c r="L883">
        <v>0</v>
      </c>
      <c r="M883">
        <v>0</v>
      </c>
      <c r="N883">
        <v>2750</v>
      </c>
    </row>
    <row r="884" spans="1:14" x14ac:dyDescent="0.25">
      <c r="A884">
        <v>367.46710200000001</v>
      </c>
      <c r="B884" s="1">
        <f>DATE(2011,5,3) + TIME(11,12,37)</f>
        <v>40666.467094907406</v>
      </c>
      <c r="C884">
        <v>80</v>
      </c>
      <c r="D884">
        <v>79.869758606000005</v>
      </c>
      <c r="E884">
        <v>50</v>
      </c>
      <c r="F884">
        <v>49.615184784</v>
      </c>
      <c r="G884">
        <v>1348.4561768000001</v>
      </c>
      <c r="H884">
        <v>1343.5430908000001</v>
      </c>
      <c r="I884">
        <v>1321.3572998</v>
      </c>
      <c r="J884">
        <v>1317.137207</v>
      </c>
      <c r="K884">
        <v>2750</v>
      </c>
      <c r="L884">
        <v>0</v>
      </c>
      <c r="M884">
        <v>0</v>
      </c>
      <c r="N884">
        <v>2750</v>
      </c>
    </row>
    <row r="885" spans="1:14" x14ac:dyDescent="0.25">
      <c r="A885">
        <v>367.55324300000001</v>
      </c>
      <c r="B885" s="1">
        <f>DATE(2011,5,3) + TIME(13,16,40)</f>
        <v>40666.553240740737</v>
      </c>
      <c r="C885">
        <v>80</v>
      </c>
      <c r="D885">
        <v>79.884918213000006</v>
      </c>
      <c r="E885">
        <v>50</v>
      </c>
      <c r="F885">
        <v>49.604999542000002</v>
      </c>
      <c r="G885">
        <v>1348.4489745999999</v>
      </c>
      <c r="H885">
        <v>1343.5382079999999</v>
      </c>
      <c r="I885">
        <v>1321.3565673999999</v>
      </c>
      <c r="J885">
        <v>1317.1363524999999</v>
      </c>
      <c r="K885">
        <v>2750</v>
      </c>
      <c r="L885">
        <v>0</v>
      </c>
      <c r="M885">
        <v>0</v>
      </c>
      <c r="N885">
        <v>2750</v>
      </c>
    </row>
    <row r="886" spans="1:14" x14ac:dyDescent="0.25">
      <c r="A886">
        <v>367.64130399999999</v>
      </c>
      <c r="B886" s="1">
        <f>DATE(2011,5,3) + TIME(15,23,28)</f>
        <v>40666.641296296293</v>
      </c>
      <c r="C886">
        <v>80</v>
      </c>
      <c r="D886">
        <v>79.897781371999997</v>
      </c>
      <c r="E886">
        <v>50</v>
      </c>
      <c r="F886">
        <v>49.594650268999999</v>
      </c>
      <c r="G886">
        <v>1348.4411620999999</v>
      </c>
      <c r="H886">
        <v>1343.5328368999999</v>
      </c>
      <c r="I886">
        <v>1321.3558350000001</v>
      </c>
      <c r="J886">
        <v>1317.135376</v>
      </c>
      <c r="K886">
        <v>2750</v>
      </c>
      <c r="L886">
        <v>0</v>
      </c>
      <c r="M886">
        <v>0</v>
      </c>
      <c r="N886">
        <v>2750</v>
      </c>
    </row>
    <row r="887" spans="1:14" x14ac:dyDescent="0.25">
      <c r="A887">
        <v>367.731494</v>
      </c>
      <c r="B887" s="1">
        <f>DATE(2011,5,3) + TIME(17,33,21)</f>
        <v>40666.731493055559</v>
      </c>
      <c r="C887">
        <v>80</v>
      </c>
      <c r="D887">
        <v>79.908660889000004</v>
      </c>
      <c r="E887">
        <v>50</v>
      </c>
      <c r="F887">
        <v>49.584106445000003</v>
      </c>
      <c r="G887">
        <v>1348.4326172000001</v>
      </c>
      <c r="H887">
        <v>1343.5269774999999</v>
      </c>
      <c r="I887">
        <v>1321.3551024999999</v>
      </c>
      <c r="J887">
        <v>1317.1343993999999</v>
      </c>
      <c r="K887">
        <v>2750</v>
      </c>
      <c r="L887">
        <v>0</v>
      </c>
      <c r="M887">
        <v>0</v>
      </c>
      <c r="N887">
        <v>2750</v>
      </c>
    </row>
    <row r="888" spans="1:14" x14ac:dyDescent="0.25">
      <c r="A888">
        <v>367.82404300000002</v>
      </c>
      <c r="B888" s="1">
        <f>DATE(2011,5,3) + TIME(19,46,37)</f>
        <v>40666.82403935185</v>
      </c>
      <c r="C888">
        <v>80</v>
      </c>
      <c r="D888">
        <v>79.917854309000006</v>
      </c>
      <c r="E888">
        <v>50</v>
      </c>
      <c r="F888">
        <v>49.573348998999997</v>
      </c>
      <c r="G888">
        <v>1348.4234618999999</v>
      </c>
      <c r="H888">
        <v>1343.5206298999999</v>
      </c>
      <c r="I888">
        <v>1321.3543701000001</v>
      </c>
      <c r="J888">
        <v>1317.1335449000001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367.91918600000002</v>
      </c>
      <c r="B889" s="1">
        <f>DATE(2011,5,3) + TIME(22,3,37)</f>
        <v>40666.919178240743</v>
      </c>
      <c r="C889">
        <v>80</v>
      </c>
      <c r="D889">
        <v>79.925605774000005</v>
      </c>
      <c r="E889">
        <v>50</v>
      </c>
      <c r="F889">
        <v>49.562355042</v>
      </c>
      <c r="G889">
        <v>1348.4135742000001</v>
      </c>
      <c r="H889">
        <v>1343.5139160000001</v>
      </c>
      <c r="I889">
        <v>1321.3536377</v>
      </c>
      <c r="J889">
        <v>1317.1324463000001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368.01717600000001</v>
      </c>
      <c r="B890" s="1">
        <f>DATE(2011,5,4) + TIME(0,24,43)</f>
        <v>40667.017164351855</v>
      </c>
      <c r="C890">
        <v>80</v>
      </c>
      <c r="D890">
        <v>79.932113646999994</v>
      </c>
      <c r="E890">
        <v>50</v>
      </c>
      <c r="F890">
        <v>49.551101684999999</v>
      </c>
      <c r="G890">
        <v>1348.4030762</v>
      </c>
      <c r="H890">
        <v>1343.5067139</v>
      </c>
      <c r="I890">
        <v>1321.3529053</v>
      </c>
      <c r="J890">
        <v>1317.1314697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368.11741999999998</v>
      </c>
      <c r="B891" s="1">
        <f>DATE(2011,5,4) + TIME(2,49,5)</f>
        <v>40667.117418981485</v>
      </c>
      <c r="C891">
        <v>80</v>
      </c>
      <c r="D891">
        <v>79.937530518000003</v>
      </c>
      <c r="E891">
        <v>50</v>
      </c>
      <c r="F891">
        <v>49.539646148999999</v>
      </c>
      <c r="G891">
        <v>1348.3919678</v>
      </c>
      <c r="H891">
        <v>1343.4991454999999</v>
      </c>
      <c r="I891">
        <v>1321.3520507999999</v>
      </c>
      <c r="J891">
        <v>1317.1303711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368.22001</v>
      </c>
      <c r="B892" s="1">
        <f>DATE(2011,5,4) + TIME(5,16,48)</f>
        <v>40667.22</v>
      </c>
      <c r="C892">
        <v>80</v>
      </c>
      <c r="D892">
        <v>79.942024231000005</v>
      </c>
      <c r="E892">
        <v>50</v>
      </c>
      <c r="F892">
        <v>49.527980804000002</v>
      </c>
      <c r="G892">
        <v>1348.3803711</v>
      </c>
      <c r="H892">
        <v>1343.4913329999999</v>
      </c>
      <c r="I892">
        <v>1321.3511963000001</v>
      </c>
      <c r="J892">
        <v>1317.1293945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368.325109</v>
      </c>
      <c r="B893" s="1">
        <f>DATE(2011,5,4) + TIME(7,48,9)</f>
        <v>40667.325104166666</v>
      </c>
      <c r="C893">
        <v>80</v>
      </c>
      <c r="D893">
        <v>79.945739746000001</v>
      </c>
      <c r="E893">
        <v>50</v>
      </c>
      <c r="F893">
        <v>49.516090392999999</v>
      </c>
      <c r="G893">
        <v>1348.3681641000001</v>
      </c>
      <c r="H893">
        <v>1343.4830322</v>
      </c>
      <c r="I893">
        <v>1321.3503418</v>
      </c>
      <c r="J893">
        <v>1317.1281738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368.43293699999998</v>
      </c>
      <c r="B894" s="1">
        <f>DATE(2011,5,4) + TIME(10,23,25)</f>
        <v>40667.432928240742</v>
      </c>
      <c r="C894">
        <v>80</v>
      </c>
      <c r="D894">
        <v>79.948814392000003</v>
      </c>
      <c r="E894">
        <v>50</v>
      </c>
      <c r="F894">
        <v>49.503955841</v>
      </c>
      <c r="G894">
        <v>1348.3555908000001</v>
      </c>
      <c r="H894">
        <v>1343.4744873</v>
      </c>
      <c r="I894">
        <v>1321.3494873</v>
      </c>
      <c r="J894">
        <v>1317.1270752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368.54372999999998</v>
      </c>
      <c r="B895" s="1">
        <f>DATE(2011,5,4) + TIME(13,2,58)</f>
        <v>40667.543726851851</v>
      </c>
      <c r="C895">
        <v>80</v>
      </c>
      <c r="D895">
        <v>79.951339722</v>
      </c>
      <c r="E895">
        <v>50</v>
      </c>
      <c r="F895">
        <v>49.491550445999998</v>
      </c>
      <c r="G895">
        <v>1348.3424072</v>
      </c>
      <c r="H895">
        <v>1343.4656981999999</v>
      </c>
      <c r="I895">
        <v>1321.3485106999999</v>
      </c>
      <c r="J895">
        <v>1317.1259766000001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368.65774900000002</v>
      </c>
      <c r="B896" s="1">
        <f>DATE(2011,5,4) + TIME(15,47,9)</f>
        <v>40667.657743055555</v>
      </c>
      <c r="C896">
        <v>80</v>
      </c>
      <c r="D896">
        <v>79.953414917000003</v>
      </c>
      <c r="E896">
        <v>50</v>
      </c>
      <c r="F896">
        <v>49.478858948000003</v>
      </c>
      <c r="G896">
        <v>1348.3287353999999</v>
      </c>
      <c r="H896">
        <v>1343.456543</v>
      </c>
      <c r="I896">
        <v>1321.3476562000001</v>
      </c>
      <c r="J896">
        <v>1317.1247559000001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368.775284</v>
      </c>
      <c r="B897" s="1">
        <f>DATE(2011,5,4) + TIME(18,36,24)</f>
        <v>40667.775277777779</v>
      </c>
      <c r="C897">
        <v>80</v>
      </c>
      <c r="D897">
        <v>79.955116271999998</v>
      </c>
      <c r="E897">
        <v>50</v>
      </c>
      <c r="F897">
        <v>49.465843200999998</v>
      </c>
      <c r="G897">
        <v>1348.3146973</v>
      </c>
      <c r="H897">
        <v>1343.4471435999999</v>
      </c>
      <c r="I897">
        <v>1321.3466797000001</v>
      </c>
      <c r="J897">
        <v>1317.1235352000001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368.89673699999997</v>
      </c>
      <c r="B898" s="1">
        <f>DATE(2011,5,4) + TIME(21,31,18)</f>
        <v>40667.896736111114</v>
      </c>
      <c r="C898">
        <v>80</v>
      </c>
      <c r="D898">
        <v>79.956512450999995</v>
      </c>
      <c r="E898">
        <v>50</v>
      </c>
      <c r="F898">
        <v>49.452476501</v>
      </c>
      <c r="G898">
        <v>1348.3000488</v>
      </c>
      <c r="H898">
        <v>1343.4375</v>
      </c>
      <c r="I898">
        <v>1321.3455810999999</v>
      </c>
      <c r="J898">
        <v>1317.1221923999999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369.02248300000002</v>
      </c>
      <c r="B899" s="1">
        <f>DATE(2011,5,5) + TIME(0,32,22)</f>
        <v>40668.022476851853</v>
      </c>
      <c r="C899">
        <v>80</v>
      </c>
      <c r="D899">
        <v>79.957641601999995</v>
      </c>
      <c r="E899">
        <v>50</v>
      </c>
      <c r="F899">
        <v>49.438716888000002</v>
      </c>
      <c r="G899">
        <v>1348.2849120999999</v>
      </c>
      <c r="H899">
        <v>1343.4274902</v>
      </c>
      <c r="I899">
        <v>1321.3446045000001</v>
      </c>
      <c r="J899">
        <v>1317.1209716999999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369.15294299999999</v>
      </c>
      <c r="B900" s="1">
        <f>DATE(2011,5,5) + TIME(3,40,14)</f>
        <v>40668.152939814812</v>
      </c>
      <c r="C900">
        <v>80</v>
      </c>
      <c r="D900">
        <v>79.958564757999994</v>
      </c>
      <c r="E900">
        <v>50</v>
      </c>
      <c r="F900">
        <v>49.424533844000003</v>
      </c>
      <c r="G900">
        <v>1348.2692870999999</v>
      </c>
      <c r="H900">
        <v>1343.4171143000001</v>
      </c>
      <c r="I900">
        <v>1321.3435059000001</v>
      </c>
      <c r="J900">
        <v>1317.1195068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369.28859599999998</v>
      </c>
      <c r="B901" s="1">
        <f>DATE(2011,5,5) + TIME(6,55,34)</f>
        <v>40668.288587962961</v>
      </c>
      <c r="C901">
        <v>80</v>
      </c>
      <c r="D901">
        <v>79.959304810000006</v>
      </c>
      <c r="E901">
        <v>50</v>
      </c>
      <c r="F901">
        <v>49.409877776999998</v>
      </c>
      <c r="G901">
        <v>1348.2531738</v>
      </c>
      <c r="H901">
        <v>1343.4064940999999</v>
      </c>
      <c r="I901">
        <v>1321.3424072</v>
      </c>
      <c r="J901">
        <v>1317.1181641000001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369.42823700000002</v>
      </c>
      <c r="B902" s="1">
        <f>DATE(2011,5,5) + TIME(10,16,39)</f>
        <v>40668.428229166668</v>
      </c>
      <c r="C902">
        <v>80</v>
      </c>
      <c r="D902">
        <v>79.959899902000004</v>
      </c>
      <c r="E902">
        <v>50</v>
      </c>
      <c r="F902">
        <v>49.394863129000001</v>
      </c>
      <c r="G902">
        <v>1348.2364502</v>
      </c>
      <c r="H902">
        <v>1343.3956298999999</v>
      </c>
      <c r="I902">
        <v>1321.3411865</v>
      </c>
      <c r="J902">
        <v>1317.1166992000001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369.57225</v>
      </c>
      <c r="B903" s="1">
        <f>DATE(2011,5,5) + TIME(13,44,2)</f>
        <v>40668.572245370371</v>
      </c>
      <c r="C903">
        <v>80</v>
      </c>
      <c r="D903">
        <v>79.960372925000001</v>
      </c>
      <c r="E903">
        <v>50</v>
      </c>
      <c r="F903">
        <v>49.379455565999997</v>
      </c>
      <c r="G903">
        <v>1348.2194824000001</v>
      </c>
      <c r="H903">
        <v>1343.3845214999999</v>
      </c>
      <c r="I903">
        <v>1321.3399658000001</v>
      </c>
      <c r="J903">
        <v>1317.1151123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369.72020900000001</v>
      </c>
      <c r="B904" s="1">
        <f>DATE(2011,5,5) + TIME(17,17,6)</f>
        <v>40668.720208333332</v>
      </c>
      <c r="C904">
        <v>80</v>
      </c>
      <c r="D904">
        <v>79.960746764999996</v>
      </c>
      <c r="E904">
        <v>50</v>
      </c>
      <c r="F904">
        <v>49.363697051999999</v>
      </c>
      <c r="G904">
        <v>1348.2020264</v>
      </c>
      <c r="H904">
        <v>1343.3731689000001</v>
      </c>
      <c r="I904">
        <v>1321.3387451000001</v>
      </c>
      <c r="J904">
        <v>1317.1135254000001</v>
      </c>
      <c r="K904">
        <v>2750</v>
      </c>
      <c r="L904">
        <v>0</v>
      </c>
      <c r="M904">
        <v>0</v>
      </c>
      <c r="N904">
        <v>2750</v>
      </c>
    </row>
    <row r="905" spans="1:14" x14ac:dyDescent="0.25">
      <c r="A905">
        <v>369.870722</v>
      </c>
      <c r="B905" s="1">
        <f>DATE(2011,5,5) + TIME(20,53,50)</f>
        <v>40668.870717592596</v>
      </c>
      <c r="C905">
        <v>80</v>
      </c>
      <c r="D905">
        <v>79.961036682</v>
      </c>
      <c r="E905">
        <v>50</v>
      </c>
      <c r="F905">
        <v>49.347713470000002</v>
      </c>
      <c r="G905">
        <v>1348.1843262</v>
      </c>
      <c r="H905">
        <v>1343.3616943</v>
      </c>
      <c r="I905">
        <v>1321.3374022999999</v>
      </c>
      <c r="J905">
        <v>1317.1119385</v>
      </c>
      <c r="K905">
        <v>2750</v>
      </c>
      <c r="L905">
        <v>0</v>
      </c>
      <c r="M905">
        <v>0</v>
      </c>
      <c r="N905">
        <v>2750</v>
      </c>
    </row>
    <row r="906" spans="1:14" x14ac:dyDescent="0.25">
      <c r="A906">
        <v>370.022491</v>
      </c>
      <c r="B906" s="1">
        <f>DATE(2011,5,6) + TIME(0,32,23)</f>
        <v>40669.022488425922</v>
      </c>
      <c r="C906">
        <v>80</v>
      </c>
      <c r="D906">
        <v>79.961265564000001</v>
      </c>
      <c r="E906">
        <v>50</v>
      </c>
      <c r="F906">
        <v>49.331623077000003</v>
      </c>
      <c r="G906">
        <v>1348.166626</v>
      </c>
      <c r="H906">
        <v>1343.3502197</v>
      </c>
      <c r="I906">
        <v>1321.3361815999999</v>
      </c>
      <c r="J906">
        <v>1317.1103516000001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370.17528700000003</v>
      </c>
      <c r="B907" s="1">
        <f>DATE(2011,5,6) + TIME(4,12,24)</f>
        <v>40669.17527777778</v>
      </c>
      <c r="C907">
        <v>80</v>
      </c>
      <c r="D907">
        <v>79.961441039999997</v>
      </c>
      <c r="E907">
        <v>50</v>
      </c>
      <c r="F907">
        <v>49.315456390000001</v>
      </c>
      <c r="G907">
        <v>1348.1489257999999</v>
      </c>
      <c r="H907">
        <v>1343.3388672000001</v>
      </c>
      <c r="I907">
        <v>1321.3348389</v>
      </c>
      <c r="J907">
        <v>1317.1086425999999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370.32941199999999</v>
      </c>
      <c r="B908" s="1">
        <f>DATE(2011,5,6) + TIME(7,54,21)</f>
        <v>40669.329409722224</v>
      </c>
      <c r="C908">
        <v>80</v>
      </c>
      <c r="D908">
        <v>79.961570739999999</v>
      </c>
      <c r="E908">
        <v>50</v>
      </c>
      <c r="F908">
        <v>49.299194335999999</v>
      </c>
      <c r="G908">
        <v>1348.1313477000001</v>
      </c>
      <c r="H908">
        <v>1343.3276367000001</v>
      </c>
      <c r="I908">
        <v>1321.3334961</v>
      </c>
      <c r="J908">
        <v>1317.1070557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370.485162</v>
      </c>
      <c r="B909" s="1">
        <f>DATE(2011,5,6) + TIME(11,38,37)</f>
        <v>40669.485150462962</v>
      </c>
      <c r="C909">
        <v>80</v>
      </c>
      <c r="D909">
        <v>79.961669921999999</v>
      </c>
      <c r="E909">
        <v>50</v>
      </c>
      <c r="F909">
        <v>49.282810210999997</v>
      </c>
      <c r="G909">
        <v>1348.1138916</v>
      </c>
      <c r="H909">
        <v>1343.3164062000001</v>
      </c>
      <c r="I909">
        <v>1321.3320312000001</v>
      </c>
      <c r="J909">
        <v>1317.1053466999999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370.64283599999999</v>
      </c>
      <c r="B910" s="1">
        <f>DATE(2011,5,6) + TIME(15,25,41)</f>
        <v>40669.642835648148</v>
      </c>
      <c r="C910">
        <v>80</v>
      </c>
      <c r="D910">
        <v>79.961746215999995</v>
      </c>
      <c r="E910">
        <v>50</v>
      </c>
      <c r="F910">
        <v>49.266288756999998</v>
      </c>
      <c r="G910">
        <v>1348.0964355000001</v>
      </c>
      <c r="H910">
        <v>1343.3052978999999</v>
      </c>
      <c r="I910">
        <v>1321.3306885</v>
      </c>
      <c r="J910">
        <v>1317.1036377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370.80281300000001</v>
      </c>
      <c r="B911" s="1">
        <f>DATE(2011,5,6) + TIME(19,16,3)</f>
        <v>40669.802812499998</v>
      </c>
      <c r="C911">
        <v>80</v>
      </c>
      <c r="D911">
        <v>79.961799622000001</v>
      </c>
      <c r="E911">
        <v>50</v>
      </c>
      <c r="F911">
        <v>49.249599457000002</v>
      </c>
      <c r="G911">
        <v>1348.0791016000001</v>
      </c>
      <c r="H911">
        <v>1343.2943115</v>
      </c>
      <c r="I911">
        <v>1321.3293457</v>
      </c>
      <c r="J911">
        <v>1317.1018065999999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370.96536800000001</v>
      </c>
      <c r="B912" s="1">
        <f>DATE(2011,5,6) + TIME(23,10,7)</f>
        <v>40669.965358796297</v>
      </c>
      <c r="C912">
        <v>80</v>
      </c>
      <c r="D912">
        <v>79.961837768999999</v>
      </c>
      <c r="E912">
        <v>50</v>
      </c>
      <c r="F912">
        <v>49.232715607000003</v>
      </c>
      <c r="G912">
        <v>1348.0617675999999</v>
      </c>
      <c r="H912">
        <v>1343.2833252</v>
      </c>
      <c r="I912">
        <v>1321.3278809000001</v>
      </c>
      <c r="J912">
        <v>1317.1000977000001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371.13099599999998</v>
      </c>
      <c r="B913" s="1">
        <f>DATE(2011,5,7) + TIME(3,8,38)</f>
        <v>40670.130995370368</v>
      </c>
      <c r="C913">
        <v>80</v>
      </c>
      <c r="D913">
        <v>79.961860657000003</v>
      </c>
      <c r="E913">
        <v>50</v>
      </c>
      <c r="F913">
        <v>49.215599060000002</v>
      </c>
      <c r="G913">
        <v>1348.0444336</v>
      </c>
      <c r="H913">
        <v>1343.2724608999999</v>
      </c>
      <c r="I913">
        <v>1321.3264160000001</v>
      </c>
      <c r="J913">
        <v>1317.0982666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371.300072</v>
      </c>
      <c r="B914" s="1">
        <f>DATE(2011,5,7) + TIME(7,12,6)</f>
        <v>40670.300069444442</v>
      </c>
      <c r="C914">
        <v>80</v>
      </c>
      <c r="D914">
        <v>79.961875915999997</v>
      </c>
      <c r="E914">
        <v>50</v>
      </c>
      <c r="F914">
        <v>49.198223114000001</v>
      </c>
      <c r="G914">
        <v>1348.0270995999999</v>
      </c>
      <c r="H914">
        <v>1343.2614745999999</v>
      </c>
      <c r="I914">
        <v>1321.3249512</v>
      </c>
      <c r="J914">
        <v>1317.0964355000001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371.47300200000001</v>
      </c>
      <c r="B915" s="1">
        <f>DATE(2011,5,7) + TIME(11,21,7)</f>
        <v>40670.472997685189</v>
      </c>
      <c r="C915">
        <v>80</v>
      </c>
      <c r="D915">
        <v>79.961883545000006</v>
      </c>
      <c r="E915">
        <v>50</v>
      </c>
      <c r="F915">
        <v>49.180549622000001</v>
      </c>
      <c r="G915">
        <v>1348.0096435999999</v>
      </c>
      <c r="H915">
        <v>1343.2506103999999</v>
      </c>
      <c r="I915">
        <v>1321.3234863</v>
      </c>
      <c r="J915">
        <v>1317.0946045000001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371.65022800000003</v>
      </c>
      <c r="B916" s="1">
        <f>DATE(2011,5,7) + TIME(15,36,19)</f>
        <v>40670.650219907409</v>
      </c>
      <c r="C916">
        <v>80</v>
      </c>
      <c r="D916">
        <v>79.961883545000006</v>
      </c>
      <c r="E916">
        <v>50</v>
      </c>
      <c r="F916">
        <v>49.162544250000003</v>
      </c>
      <c r="G916">
        <v>1347.9920654</v>
      </c>
      <c r="H916">
        <v>1343.239624</v>
      </c>
      <c r="I916">
        <v>1321.3218993999999</v>
      </c>
      <c r="J916">
        <v>1317.0926514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371.83005900000001</v>
      </c>
      <c r="B917" s="1">
        <f>DATE(2011,5,7) + TIME(19,55,17)</f>
        <v>40670.830057870371</v>
      </c>
      <c r="C917">
        <v>80</v>
      </c>
      <c r="D917">
        <v>79.961868285999998</v>
      </c>
      <c r="E917">
        <v>50</v>
      </c>
      <c r="F917">
        <v>49.144344330000003</v>
      </c>
      <c r="G917">
        <v>1347.9744873</v>
      </c>
      <c r="H917">
        <v>1343.2286377</v>
      </c>
      <c r="I917">
        <v>1321.3203125</v>
      </c>
      <c r="J917">
        <v>1317.0906981999999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372.012269</v>
      </c>
      <c r="B918" s="1">
        <f>DATE(2011,5,8) + TIME(0,17,40)</f>
        <v>40671.01226851852</v>
      </c>
      <c r="C918">
        <v>80</v>
      </c>
      <c r="D918">
        <v>79.961853027000004</v>
      </c>
      <c r="E918">
        <v>50</v>
      </c>
      <c r="F918">
        <v>49.125968933000003</v>
      </c>
      <c r="G918">
        <v>1347.9569091999999</v>
      </c>
      <c r="H918">
        <v>1343.2177733999999</v>
      </c>
      <c r="I918">
        <v>1321.3186035000001</v>
      </c>
      <c r="J918">
        <v>1317.0887451000001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372.19718499999999</v>
      </c>
      <c r="B919" s="1">
        <f>DATE(2011,5,8) + TIME(4,43,56)</f>
        <v>40671.197175925925</v>
      </c>
      <c r="C919">
        <v>80</v>
      </c>
      <c r="D919">
        <v>79.961837768999999</v>
      </c>
      <c r="E919">
        <v>50</v>
      </c>
      <c r="F919">
        <v>49.107402802000003</v>
      </c>
      <c r="G919">
        <v>1347.9394531</v>
      </c>
      <c r="H919">
        <v>1343.2069091999999</v>
      </c>
      <c r="I919">
        <v>1321.3170166</v>
      </c>
      <c r="J919">
        <v>1317.0866699000001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372.38521100000003</v>
      </c>
      <c r="B920" s="1">
        <f>DATE(2011,5,8) + TIME(9,14,42)</f>
        <v>40671.385208333333</v>
      </c>
      <c r="C920">
        <v>80</v>
      </c>
      <c r="D920">
        <v>79.961814880000006</v>
      </c>
      <c r="E920">
        <v>50</v>
      </c>
      <c r="F920">
        <v>49.088607787999997</v>
      </c>
      <c r="G920">
        <v>1347.9219971</v>
      </c>
      <c r="H920">
        <v>1343.1961670000001</v>
      </c>
      <c r="I920">
        <v>1321.3153076000001</v>
      </c>
      <c r="J920">
        <v>1317.0845947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372.57662099999999</v>
      </c>
      <c r="B921" s="1">
        <f>DATE(2011,5,8) + TIME(13,50,20)</f>
        <v>40671.576620370368</v>
      </c>
      <c r="C921">
        <v>80</v>
      </c>
      <c r="D921">
        <v>79.961784363000007</v>
      </c>
      <c r="E921">
        <v>50</v>
      </c>
      <c r="F921">
        <v>49.069572448999999</v>
      </c>
      <c r="G921">
        <v>1347.9046631000001</v>
      </c>
      <c r="H921">
        <v>1343.1854248</v>
      </c>
      <c r="I921">
        <v>1321.3135986</v>
      </c>
      <c r="J921">
        <v>1317.0825195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372.77178900000001</v>
      </c>
      <c r="B922" s="1">
        <f>DATE(2011,5,8) + TIME(18,31,22)</f>
        <v>40671.771782407406</v>
      </c>
      <c r="C922">
        <v>80</v>
      </c>
      <c r="D922">
        <v>79.961753845000004</v>
      </c>
      <c r="E922">
        <v>50</v>
      </c>
      <c r="F922">
        <v>49.050266266000001</v>
      </c>
      <c r="G922">
        <v>1347.887207</v>
      </c>
      <c r="H922">
        <v>1343.1748047000001</v>
      </c>
      <c r="I922">
        <v>1321.3118896000001</v>
      </c>
      <c r="J922">
        <v>1317.0803223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372.97117800000001</v>
      </c>
      <c r="B923" s="1">
        <f>DATE(2011,5,8) + TIME(23,18,29)</f>
        <v>40671.971168981479</v>
      </c>
      <c r="C923">
        <v>80</v>
      </c>
      <c r="D923">
        <v>79.961723328000005</v>
      </c>
      <c r="E923">
        <v>50</v>
      </c>
      <c r="F923">
        <v>49.030651093000003</v>
      </c>
      <c r="G923">
        <v>1347.8698730000001</v>
      </c>
      <c r="H923">
        <v>1343.1641846</v>
      </c>
      <c r="I923">
        <v>1321.3100586</v>
      </c>
      <c r="J923">
        <v>1317.078125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373.175476</v>
      </c>
      <c r="B924" s="1">
        <f>DATE(2011,5,9) + TIME(4,12,41)</f>
        <v>40672.175474537034</v>
      </c>
      <c r="C924">
        <v>80</v>
      </c>
      <c r="D924">
        <v>79.961692810000002</v>
      </c>
      <c r="E924">
        <v>50</v>
      </c>
      <c r="F924">
        <v>49.010673523000001</v>
      </c>
      <c r="G924">
        <v>1347.8524170000001</v>
      </c>
      <c r="H924">
        <v>1343.1534423999999</v>
      </c>
      <c r="I924">
        <v>1321.3082274999999</v>
      </c>
      <c r="J924">
        <v>1317.0759277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373.385199</v>
      </c>
      <c r="B925" s="1">
        <f>DATE(2011,5,9) + TIME(9,14,41)</f>
        <v>40672.385196759256</v>
      </c>
      <c r="C925">
        <v>80</v>
      </c>
      <c r="D925">
        <v>79.961654663000004</v>
      </c>
      <c r="E925">
        <v>50</v>
      </c>
      <c r="F925">
        <v>48.990295410000002</v>
      </c>
      <c r="G925">
        <v>1347.8349608999999</v>
      </c>
      <c r="H925">
        <v>1343.1428223</v>
      </c>
      <c r="I925">
        <v>1321.3063964999999</v>
      </c>
      <c r="J925">
        <v>1317.0736084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373.60092400000002</v>
      </c>
      <c r="B926" s="1">
        <f>DATE(2011,5,9) + TIME(14,25,19)</f>
        <v>40672.600914351853</v>
      </c>
      <c r="C926">
        <v>80</v>
      </c>
      <c r="D926">
        <v>79.961608886999997</v>
      </c>
      <c r="E926">
        <v>50</v>
      </c>
      <c r="F926">
        <v>48.969470977999997</v>
      </c>
      <c r="G926">
        <v>1347.8172606999999</v>
      </c>
      <c r="H926">
        <v>1343.1320800999999</v>
      </c>
      <c r="I926">
        <v>1321.3044434000001</v>
      </c>
      <c r="J926">
        <v>1317.0711670000001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373.82329600000003</v>
      </c>
      <c r="B927" s="1">
        <f>DATE(2011,5,9) + TIME(19,45,32)</f>
        <v>40672.823287037034</v>
      </c>
      <c r="C927">
        <v>80</v>
      </c>
      <c r="D927">
        <v>79.961570739999999</v>
      </c>
      <c r="E927">
        <v>50</v>
      </c>
      <c r="F927">
        <v>48.948150634999998</v>
      </c>
      <c r="G927">
        <v>1347.7994385</v>
      </c>
      <c r="H927">
        <v>1343.1212158000001</v>
      </c>
      <c r="I927">
        <v>1321.3024902</v>
      </c>
      <c r="J927">
        <v>1317.0687256000001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374.05004400000001</v>
      </c>
      <c r="B928" s="1">
        <f>DATE(2011,5,10) + TIME(1,12,3)</f>
        <v>40673.050034722219</v>
      </c>
      <c r="C928">
        <v>80</v>
      </c>
      <c r="D928">
        <v>79.961524963000002</v>
      </c>
      <c r="E928">
        <v>50</v>
      </c>
      <c r="F928">
        <v>48.926494597999998</v>
      </c>
      <c r="G928">
        <v>1347.7814940999999</v>
      </c>
      <c r="H928">
        <v>1343.1103516000001</v>
      </c>
      <c r="I928">
        <v>1321.3004149999999</v>
      </c>
      <c r="J928">
        <v>1317.0662841999999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374.28077300000001</v>
      </c>
      <c r="B929" s="1">
        <f>DATE(2011,5,10) + TIME(6,44,18)</f>
        <v>40673.280763888892</v>
      </c>
      <c r="C929">
        <v>80</v>
      </c>
      <c r="D929">
        <v>79.961486816000004</v>
      </c>
      <c r="E929">
        <v>50</v>
      </c>
      <c r="F929">
        <v>48.904544829999999</v>
      </c>
      <c r="G929">
        <v>1347.7634277</v>
      </c>
      <c r="H929">
        <v>1343.0994873</v>
      </c>
      <c r="I929">
        <v>1321.2983397999999</v>
      </c>
      <c r="J929">
        <v>1317.0637207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374.51582200000001</v>
      </c>
      <c r="B930" s="1">
        <f>DATE(2011,5,10) + TIME(12,22,47)</f>
        <v>40673.515821759262</v>
      </c>
      <c r="C930">
        <v>80</v>
      </c>
      <c r="D930">
        <v>79.961441039999997</v>
      </c>
      <c r="E930">
        <v>50</v>
      </c>
      <c r="F930">
        <v>48.882282257</v>
      </c>
      <c r="G930">
        <v>1347.7454834</v>
      </c>
      <c r="H930">
        <v>1343.0886230000001</v>
      </c>
      <c r="I930">
        <v>1321.2961425999999</v>
      </c>
      <c r="J930">
        <v>1317.0610352000001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374.75524300000001</v>
      </c>
      <c r="B931" s="1">
        <f>DATE(2011,5,10) + TIME(18,7,32)</f>
        <v>40673.755231481482</v>
      </c>
      <c r="C931">
        <v>80</v>
      </c>
      <c r="D931">
        <v>79.961387634000005</v>
      </c>
      <c r="E931">
        <v>50</v>
      </c>
      <c r="F931">
        <v>48.859710692999997</v>
      </c>
      <c r="G931">
        <v>1347.7275391000001</v>
      </c>
      <c r="H931">
        <v>1343.0778809000001</v>
      </c>
      <c r="I931">
        <v>1321.2939452999999</v>
      </c>
      <c r="J931">
        <v>1317.0583495999999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374.99723899999998</v>
      </c>
      <c r="B932" s="1">
        <f>DATE(2011,5,10) + TIME(23,56,1)</f>
        <v>40673.997233796297</v>
      </c>
      <c r="C932">
        <v>80</v>
      </c>
      <c r="D932">
        <v>79.961341857999997</v>
      </c>
      <c r="E932">
        <v>50</v>
      </c>
      <c r="F932">
        <v>48.836959839000002</v>
      </c>
      <c r="G932">
        <v>1347.7095947</v>
      </c>
      <c r="H932">
        <v>1343.0671387</v>
      </c>
      <c r="I932">
        <v>1321.2917480000001</v>
      </c>
      <c r="J932">
        <v>1317.0555420000001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375.24247700000001</v>
      </c>
      <c r="B933" s="1">
        <f>DATE(2011,5,11) + TIME(5,49,10)</f>
        <v>40674.242476851854</v>
      </c>
      <c r="C933">
        <v>80</v>
      </c>
      <c r="D933">
        <v>79.961296082000004</v>
      </c>
      <c r="E933">
        <v>50</v>
      </c>
      <c r="F933">
        <v>48.813999176000003</v>
      </c>
      <c r="G933">
        <v>1347.6918945</v>
      </c>
      <c r="H933">
        <v>1343.0565185999999</v>
      </c>
      <c r="I933">
        <v>1321.2894286999999</v>
      </c>
      <c r="J933">
        <v>1317.0528564000001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375.49140899999998</v>
      </c>
      <c r="B934" s="1">
        <f>DATE(2011,5,11) + TIME(11,47,37)</f>
        <v>40674.491400462961</v>
      </c>
      <c r="C934">
        <v>80</v>
      </c>
      <c r="D934">
        <v>79.961250304999993</v>
      </c>
      <c r="E934">
        <v>50</v>
      </c>
      <c r="F934">
        <v>48.790802002</v>
      </c>
      <c r="G934">
        <v>1347.6741943</v>
      </c>
      <c r="H934">
        <v>1343.0460204999999</v>
      </c>
      <c r="I934">
        <v>1321.2872314000001</v>
      </c>
      <c r="J934">
        <v>1317.0499268000001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375.74460699999997</v>
      </c>
      <c r="B935" s="1">
        <f>DATE(2011,5,11) + TIME(17,52,14)</f>
        <v>40674.744606481479</v>
      </c>
      <c r="C935">
        <v>80</v>
      </c>
      <c r="D935">
        <v>79.961196899000001</v>
      </c>
      <c r="E935">
        <v>50</v>
      </c>
      <c r="F935">
        <v>48.767337799000003</v>
      </c>
      <c r="G935">
        <v>1347.6566161999999</v>
      </c>
      <c r="H935">
        <v>1343.0355225000001</v>
      </c>
      <c r="I935">
        <v>1321.2847899999999</v>
      </c>
      <c r="J935">
        <v>1317.0471190999999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376.00268299999999</v>
      </c>
      <c r="B936" s="1">
        <f>DATE(2011,5,12) + TIME(0,3,51)</f>
        <v>40675.00267361111</v>
      </c>
      <c r="C936">
        <v>80</v>
      </c>
      <c r="D936">
        <v>79.961151122999993</v>
      </c>
      <c r="E936">
        <v>50</v>
      </c>
      <c r="F936">
        <v>48.743560791</v>
      </c>
      <c r="G936">
        <v>1347.6390381000001</v>
      </c>
      <c r="H936">
        <v>1343.0251464999999</v>
      </c>
      <c r="I936">
        <v>1321.2824707</v>
      </c>
      <c r="J936">
        <v>1317.0440673999999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376.266321</v>
      </c>
      <c r="B937" s="1">
        <f>DATE(2011,5,12) + TIME(6,23,30)</f>
        <v>40675.266319444447</v>
      </c>
      <c r="C937">
        <v>80</v>
      </c>
      <c r="D937">
        <v>79.961097717000001</v>
      </c>
      <c r="E937">
        <v>50</v>
      </c>
      <c r="F937">
        <v>48.719429015999999</v>
      </c>
      <c r="G937">
        <v>1347.6214600000001</v>
      </c>
      <c r="H937">
        <v>1343.0146483999999</v>
      </c>
      <c r="I937">
        <v>1321.2800293</v>
      </c>
      <c r="J937">
        <v>1317.0411377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376.53447499999999</v>
      </c>
      <c r="B938" s="1">
        <f>DATE(2011,5,12) + TIME(12,49,38)</f>
        <v>40675.534467592595</v>
      </c>
      <c r="C938">
        <v>80</v>
      </c>
      <c r="D938">
        <v>79.961051940999994</v>
      </c>
      <c r="E938">
        <v>50</v>
      </c>
      <c r="F938">
        <v>48.695003509999999</v>
      </c>
      <c r="G938">
        <v>1347.6038818</v>
      </c>
      <c r="H938">
        <v>1343.0042725000001</v>
      </c>
      <c r="I938">
        <v>1321.2774658000001</v>
      </c>
      <c r="J938">
        <v>1317.0380858999999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376.80446000000001</v>
      </c>
      <c r="B939" s="1">
        <f>DATE(2011,5,12) + TIME(19,18,25)</f>
        <v>40675.804456018515</v>
      </c>
      <c r="C939">
        <v>80</v>
      </c>
      <c r="D939">
        <v>79.960998535000002</v>
      </c>
      <c r="E939">
        <v>50</v>
      </c>
      <c r="F939">
        <v>48.670478821000003</v>
      </c>
      <c r="G939">
        <v>1347.5863036999999</v>
      </c>
      <c r="H939">
        <v>1342.9938964999999</v>
      </c>
      <c r="I939">
        <v>1321.2749022999999</v>
      </c>
      <c r="J939">
        <v>1317.0349120999999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377.076776</v>
      </c>
      <c r="B940" s="1">
        <f>DATE(2011,5,13) + TIME(1,50,33)</f>
        <v>40676.076770833337</v>
      </c>
      <c r="C940">
        <v>80</v>
      </c>
      <c r="D940">
        <v>79.960952758999994</v>
      </c>
      <c r="E940">
        <v>50</v>
      </c>
      <c r="F940">
        <v>48.645835876</v>
      </c>
      <c r="G940">
        <v>1347.5689697</v>
      </c>
      <c r="H940">
        <v>1342.9836425999999</v>
      </c>
      <c r="I940">
        <v>1321.2723389</v>
      </c>
      <c r="J940">
        <v>1317.0317382999999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377.35191200000003</v>
      </c>
      <c r="B941" s="1">
        <f>DATE(2011,5,13) + TIME(8,26,45)</f>
        <v>40676.351909722223</v>
      </c>
      <c r="C941">
        <v>80</v>
      </c>
      <c r="D941">
        <v>79.960899353000002</v>
      </c>
      <c r="E941">
        <v>50</v>
      </c>
      <c r="F941">
        <v>48.621051788000003</v>
      </c>
      <c r="G941">
        <v>1347.5517577999999</v>
      </c>
      <c r="H941">
        <v>1342.9736327999999</v>
      </c>
      <c r="I941">
        <v>1321.2696533000001</v>
      </c>
      <c r="J941">
        <v>1317.0284423999999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377.63037800000001</v>
      </c>
      <c r="B942" s="1">
        <f>DATE(2011,5,13) + TIME(15,7,44)</f>
        <v>40676.630370370367</v>
      </c>
      <c r="C942">
        <v>80</v>
      </c>
      <c r="D942">
        <v>79.960853576999995</v>
      </c>
      <c r="E942">
        <v>50</v>
      </c>
      <c r="F942">
        <v>48.596103667999998</v>
      </c>
      <c r="G942">
        <v>1347.534668</v>
      </c>
      <c r="H942">
        <v>1342.963501</v>
      </c>
      <c r="I942">
        <v>1321.2669678</v>
      </c>
      <c r="J942">
        <v>1317.0251464999999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377.91308299999997</v>
      </c>
      <c r="B943" s="1">
        <f>DATE(2011,5,13) + TIME(21,54,50)</f>
        <v>40676.913078703707</v>
      </c>
      <c r="C943">
        <v>80</v>
      </c>
      <c r="D943">
        <v>79.960800171000002</v>
      </c>
      <c r="E943">
        <v>50</v>
      </c>
      <c r="F943">
        <v>48.570930480999998</v>
      </c>
      <c r="G943">
        <v>1347.5177002</v>
      </c>
      <c r="H943">
        <v>1342.9536132999999</v>
      </c>
      <c r="I943">
        <v>1321.2642822</v>
      </c>
      <c r="J943">
        <v>1317.0218506000001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378.20078599999999</v>
      </c>
      <c r="B944" s="1">
        <f>DATE(2011,5,14) + TIME(4,49,7)</f>
        <v>40677.200775462959</v>
      </c>
      <c r="C944">
        <v>80</v>
      </c>
      <c r="D944">
        <v>79.960754394999995</v>
      </c>
      <c r="E944">
        <v>50</v>
      </c>
      <c r="F944">
        <v>48.545482634999999</v>
      </c>
      <c r="G944">
        <v>1347.5008545000001</v>
      </c>
      <c r="H944">
        <v>1342.9437256000001</v>
      </c>
      <c r="I944">
        <v>1321.2615966999999</v>
      </c>
      <c r="J944">
        <v>1317.0184326000001</v>
      </c>
      <c r="K944">
        <v>2750</v>
      </c>
      <c r="L944">
        <v>0</v>
      </c>
      <c r="M944">
        <v>0</v>
      </c>
      <c r="N944">
        <v>2750</v>
      </c>
    </row>
    <row r="945" spans="1:14" x14ac:dyDescent="0.25">
      <c r="A945">
        <v>378.49414000000002</v>
      </c>
      <c r="B945" s="1">
        <f>DATE(2011,5,14) + TIME(11,51,33)</f>
        <v>40677.494131944448</v>
      </c>
      <c r="C945">
        <v>80</v>
      </c>
      <c r="D945">
        <v>79.960700989000003</v>
      </c>
      <c r="E945">
        <v>50</v>
      </c>
      <c r="F945">
        <v>48.519718169999997</v>
      </c>
      <c r="G945">
        <v>1347.4838867000001</v>
      </c>
      <c r="H945">
        <v>1342.9338379000001</v>
      </c>
      <c r="I945">
        <v>1321.2587891000001</v>
      </c>
      <c r="J945">
        <v>1317.0150146000001</v>
      </c>
      <c r="K945">
        <v>2750</v>
      </c>
      <c r="L945">
        <v>0</v>
      </c>
      <c r="M945">
        <v>0</v>
      </c>
      <c r="N945">
        <v>2750</v>
      </c>
    </row>
    <row r="946" spans="1:14" x14ac:dyDescent="0.25">
      <c r="A946">
        <v>378.79384499999998</v>
      </c>
      <c r="B946" s="1">
        <f>DATE(2011,5,14) + TIME(19,3,8)</f>
        <v>40677.793842592589</v>
      </c>
      <c r="C946">
        <v>80</v>
      </c>
      <c r="D946">
        <v>79.960655212000006</v>
      </c>
      <c r="E946">
        <v>50</v>
      </c>
      <c r="F946">
        <v>48.493583678999997</v>
      </c>
      <c r="G946">
        <v>1347.4670410000001</v>
      </c>
      <c r="H946">
        <v>1342.9239502</v>
      </c>
      <c r="I946">
        <v>1321.2558594</v>
      </c>
      <c r="J946">
        <v>1317.0114745999999</v>
      </c>
      <c r="K946">
        <v>2750</v>
      </c>
      <c r="L946">
        <v>0</v>
      </c>
      <c r="M946">
        <v>0</v>
      </c>
      <c r="N946">
        <v>2750</v>
      </c>
    </row>
    <row r="947" spans="1:14" x14ac:dyDescent="0.25">
      <c r="A947">
        <v>379.100663</v>
      </c>
      <c r="B947" s="1">
        <f>DATE(2011,5,15) + TIME(2,24,57)</f>
        <v>40678.100659722222</v>
      </c>
      <c r="C947">
        <v>80</v>
      </c>
      <c r="D947">
        <v>79.960601807000003</v>
      </c>
      <c r="E947">
        <v>50</v>
      </c>
      <c r="F947">
        <v>48.467025757000002</v>
      </c>
      <c r="G947">
        <v>1347.4500731999999</v>
      </c>
      <c r="H947">
        <v>1342.9140625</v>
      </c>
      <c r="I947">
        <v>1321.2529297000001</v>
      </c>
      <c r="J947">
        <v>1317.0078125</v>
      </c>
      <c r="K947">
        <v>2750</v>
      </c>
      <c r="L947">
        <v>0</v>
      </c>
      <c r="M947">
        <v>0</v>
      </c>
      <c r="N947">
        <v>2750</v>
      </c>
    </row>
    <row r="948" spans="1:14" x14ac:dyDescent="0.25">
      <c r="A948">
        <v>379.41543100000001</v>
      </c>
      <c r="B948" s="1">
        <f>DATE(2011,5,15) + TIME(9,58,13)</f>
        <v>40678.41542824074</v>
      </c>
      <c r="C948">
        <v>80</v>
      </c>
      <c r="D948">
        <v>79.960556030000006</v>
      </c>
      <c r="E948">
        <v>50</v>
      </c>
      <c r="F948">
        <v>48.439990997000002</v>
      </c>
      <c r="G948">
        <v>1347.4329834</v>
      </c>
      <c r="H948">
        <v>1342.9041748</v>
      </c>
      <c r="I948">
        <v>1321.2498779</v>
      </c>
      <c r="J948">
        <v>1317.0040283000001</v>
      </c>
      <c r="K948">
        <v>2750</v>
      </c>
      <c r="L948">
        <v>0</v>
      </c>
      <c r="M948">
        <v>0</v>
      </c>
      <c r="N948">
        <v>2750</v>
      </c>
    </row>
    <row r="949" spans="1:14" x14ac:dyDescent="0.25">
      <c r="A949">
        <v>379.73845299999999</v>
      </c>
      <c r="B949" s="1">
        <f>DATE(2011,5,15) + TIME(17,43,22)</f>
        <v>40678.738449074073</v>
      </c>
      <c r="C949">
        <v>80</v>
      </c>
      <c r="D949">
        <v>79.960502625000004</v>
      </c>
      <c r="E949">
        <v>50</v>
      </c>
      <c r="F949">
        <v>48.412448883000003</v>
      </c>
      <c r="G949">
        <v>1347.4157714999999</v>
      </c>
      <c r="H949">
        <v>1342.8941649999999</v>
      </c>
      <c r="I949">
        <v>1321.2468262</v>
      </c>
      <c r="J949">
        <v>1317.0002440999999</v>
      </c>
      <c r="K949">
        <v>2750</v>
      </c>
      <c r="L949">
        <v>0</v>
      </c>
      <c r="M949">
        <v>0</v>
      </c>
      <c r="N949">
        <v>2750</v>
      </c>
    </row>
    <row r="950" spans="1:14" x14ac:dyDescent="0.25">
      <c r="A950">
        <v>380.06640599999997</v>
      </c>
      <c r="B950" s="1">
        <f>DATE(2011,5,16) + TIME(1,35,37)</f>
        <v>40679.066400462965</v>
      </c>
      <c r="C950">
        <v>80</v>
      </c>
      <c r="D950">
        <v>79.960456848000007</v>
      </c>
      <c r="E950">
        <v>50</v>
      </c>
      <c r="F950">
        <v>48.384593963999997</v>
      </c>
      <c r="G950">
        <v>1347.3983154</v>
      </c>
      <c r="H950">
        <v>1342.8840332</v>
      </c>
      <c r="I950">
        <v>1321.2435303</v>
      </c>
      <c r="J950">
        <v>1316.9962158000001</v>
      </c>
      <c r="K950">
        <v>2750</v>
      </c>
      <c r="L950">
        <v>0</v>
      </c>
      <c r="M950">
        <v>0</v>
      </c>
      <c r="N950">
        <v>2750</v>
      </c>
    </row>
    <row r="951" spans="1:14" x14ac:dyDescent="0.25">
      <c r="A951">
        <v>380.39709199999999</v>
      </c>
      <c r="B951" s="1">
        <f>DATE(2011,5,16) + TIME(9,31,48)</f>
        <v>40679.397083333337</v>
      </c>
      <c r="C951">
        <v>80</v>
      </c>
      <c r="D951">
        <v>79.960403442</v>
      </c>
      <c r="E951">
        <v>50</v>
      </c>
      <c r="F951">
        <v>48.356575012</v>
      </c>
      <c r="G951">
        <v>1347.3809814000001</v>
      </c>
      <c r="H951">
        <v>1342.8740233999999</v>
      </c>
      <c r="I951">
        <v>1321.2402344</v>
      </c>
      <c r="J951">
        <v>1316.9921875</v>
      </c>
      <c r="K951">
        <v>2750</v>
      </c>
      <c r="L951">
        <v>0</v>
      </c>
      <c r="M951">
        <v>0</v>
      </c>
      <c r="N951">
        <v>2750</v>
      </c>
    </row>
    <row r="952" spans="1:14" x14ac:dyDescent="0.25">
      <c r="A952">
        <v>380.73129399999999</v>
      </c>
      <c r="B952" s="1">
        <f>DATE(2011,5,16) + TIME(17,33,3)</f>
        <v>40679.73128472222</v>
      </c>
      <c r="C952">
        <v>80</v>
      </c>
      <c r="D952">
        <v>79.960350036999998</v>
      </c>
      <c r="E952">
        <v>50</v>
      </c>
      <c r="F952">
        <v>48.328376769999998</v>
      </c>
      <c r="G952">
        <v>1347.3638916</v>
      </c>
      <c r="H952">
        <v>1342.8640137</v>
      </c>
      <c r="I952">
        <v>1321.2369385</v>
      </c>
      <c r="J952">
        <v>1316.9880370999999</v>
      </c>
      <c r="K952">
        <v>2750</v>
      </c>
      <c r="L952">
        <v>0</v>
      </c>
      <c r="M952">
        <v>0</v>
      </c>
      <c r="N952">
        <v>2750</v>
      </c>
    </row>
    <row r="953" spans="1:14" x14ac:dyDescent="0.25">
      <c r="A953">
        <v>381.06988000000001</v>
      </c>
      <c r="B953" s="1">
        <f>DATE(2011,5,17) + TIME(1,40,37)</f>
        <v>40680.069872685184</v>
      </c>
      <c r="C953">
        <v>80</v>
      </c>
      <c r="D953">
        <v>79.960304260000001</v>
      </c>
      <c r="E953">
        <v>50</v>
      </c>
      <c r="F953">
        <v>48.299968718999999</v>
      </c>
      <c r="G953">
        <v>1347.3468018000001</v>
      </c>
      <c r="H953">
        <v>1342.8542480000001</v>
      </c>
      <c r="I953">
        <v>1321.2335204999999</v>
      </c>
      <c r="J953">
        <v>1316.9837646000001</v>
      </c>
      <c r="K953">
        <v>2750</v>
      </c>
      <c r="L953">
        <v>0</v>
      </c>
      <c r="M953">
        <v>0</v>
      </c>
      <c r="N953">
        <v>2750</v>
      </c>
    </row>
    <row r="954" spans="1:14" x14ac:dyDescent="0.25">
      <c r="A954">
        <v>381.413544</v>
      </c>
      <c r="B954" s="1">
        <f>DATE(2011,5,17) + TIME(9,55,30)</f>
        <v>40680.413541666669</v>
      </c>
      <c r="C954">
        <v>80</v>
      </c>
      <c r="D954">
        <v>79.960250853999995</v>
      </c>
      <c r="E954">
        <v>50</v>
      </c>
      <c r="F954">
        <v>48.271312713999997</v>
      </c>
      <c r="G954">
        <v>1347.3298339999999</v>
      </c>
      <c r="H954">
        <v>1342.8443603999999</v>
      </c>
      <c r="I954">
        <v>1321.2301024999999</v>
      </c>
      <c r="J954">
        <v>1316.9794922000001</v>
      </c>
      <c r="K954">
        <v>2750</v>
      </c>
      <c r="L954">
        <v>0</v>
      </c>
      <c r="M954">
        <v>0</v>
      </c>
      <c r="N954">
        <v>2750</v>
      </c>
    </row>
    <row r="955" spans="1:14" x14ac:dyDescent="0.25">
      <c r="A955">
        <v>381.76314200000002</v>
      </c>
      <c r="B955" s="1">
        <f>DATE(2011,5,17) + TIME(18,18,55)</f>
        <v>40680.763136574074</v>
      </c>
      <c r="C955">
        <v>80</v>
      </c>
      <c r="D955">
        <v>79.960205078000001</v>
      </c>
      <c r="E955">
        <v>50</v>
      </c>
      <c r="F955">
        <v>48.242362976000003</v>
      </c>
      <c r="G955">
        <v>1347.3128661999999</v>
      </c>
      <c r="H955">
        <v>1342.8345947</v>
      </c>
      <c r="I955">
        <v>1321.2265625</v>
      </c>
      <c r="J955">
        <v>1316.9752197</v>
      </c>
      <c r="K955">
        <v>2750</v>
      </c>
      <c r="L955">
        <v>0</v>
      </c>
      <c r="M955">
        <v>0</v>
      </c>
      <c r="N955">
        <v>2750</v>
      </c>
    </row>
    <row r="956" spans="1:14" x14ac:dyDescent="0.25">
      <c r="A956">
        <v>382.11957100000001</v>
      </c>
      <c r="B956" s="1">
        <f>DATE(2011,5,18) + TIME(2,52,10)</f>
        <v>40681.119560185187</v>
      </c>
      <c r="C956">
        <v>80</v>
      </c>
      <c r="D956">
        <v>79.960151671999995</v>
      </c>
      <c r="E956">
        <v>50</v>
      </c>
      <c r="F956">
        <v>48.213069916000002</v>
      </c>
      <c r="G956">
        <v>1347.2958983999999</v>
      </c>
      <c r="H956">
        <v>1342.8248291</v>
      </c>
      <c r="I956">
        <v>1321.2229004000001</v>
      </c>
      <c r="J956">
        <v>1316.9707031</v>
      </c>
      <c r="K956">
        <v>2750</v>
      </c>
      <c r="L956">
        <v>0</v>
      </c>
      <c r="M956">
        <v>0</v>
      </c>
      <c r="N956">
        <v>2750</v>
      </c>
    </row>
    <row r="957" spans="1:14" x14ac:dyDescent="0.25">
      <c r="A957">
        <v>382.48378400000001</v>
      </c>
      <c r="B957" s="1">
        <f>DATE(2011,5,18) + TIME(11,36,38)</f>
        <v>40681.483773148146</v>
      </c>
      <c r="C957">
        <v>80</v>
      </c>
      <c r="D957">
        <v>79.960105896000002</v>
      </c>
      <c r="E957">
        <v>50</v>
      </c>
      <c r="F957">
        <v>48.183372497999997</v>
      </c>
      <c r="G957">
        <v>1347.2789307</v>
      </c>
      <c r="H957">
        <v>1342.8150635</v>
      </c>
      <c r="I957">
        <v>1321.2192382999999</v>
      </c>
      <c r="J957">
        <v>1316.9660644999999</v>
      </c>
      <c r="K957">
        <v>2750</v>
      </c>
      <c r="L957">
        <v>0</v>
      </c>
      <c r="M957">
        <v>0</v>
      </c>
      <c r="N957">
        <v>2750</v>
      </c>
    </row>
    <row r="958" spans="1:14" x14ac:dyDescent="0.25">
      <c r="A958">
        <v>382.85322600000001</v>
      </c>
      <c r="B958" s="1">
        <f>DATE(2011,5,18) + TIME(20,28,38)</f>
        <v>40681.853217592594</v>
      </c>
      <c r="C958">
        <v>80</v>
      </c>
      <c r="D958">
        <v>79.960052489999995</v>
      </c>
      <c r="E958">
        <v>50</v>
      </c>
      <c r="F958">
        <v>48.153404236</v>
      </c>
      <c r="G958">
        <v>1347.2619629000001</v>
      </c>
      <c r="H958">
        <v>1342.8052978999999</v>
      </c>
      <c r="I958">
        <v>1321.2154541</v>
      </c>
      <c r="J958">
        <v>1316.9614257999999</v>
      </c>
      <c r="K958">
        <v>2750</v>
      </c>
      <c r="L958">
        <v>0</v>
      </c>
      <c r="M958">
        <v>0</v>
      </c>
      <c r="N958">
        <v>2750</v>
      </c>
    </row>
    <row r="959" spans="1:14" x14ac:dyDescent="0.25">
      <c r="A959">
        <v>383.22393199999999</v>
      </c>
      <c r="B959" s="1">
        <f>DATE(2011,5,19) + TIME(5,22,27)</f>
        <v>40682.223923611113</v>
      </c>
      <c r="C959">
        <v>80</v>
      </c>
      <c r="D959">
        <v>79.960006714000002</v>
      </c>
      <c r="E959">
        <v>50</v>
      </c>
      <c r="F959">
        <v>48.123394011999999</v>
      </c>
      <c r="G959">
        <v>1347.2448730000001</v>
      </c>
      <c r="H959">
        <v>1342.7955322</v>
      </c>
      <c r="I959">
        <v>1321.2115478999999</v>
      </c>
      <c r="J959">
        <v>1316.956543</v>
      </c>
      <c r="K959">
        <v>2750</v>
      </c>
      <c r="L959">
        <v>0</v>
      </c>
      <c r="M959">
        <v>0</v>
      </c>
      <c r="N959">
        <v>2750</v>
      </c>
    </row>
    <row r="960" spans="1:14" x14ac:dyDescent="0.25">
      <c r="A960">
        <v>383.59660700000001</v>
      </c>
      <c r="B960" s="1">
        <f>DATE(2011,5,19) + TIME(14,19,6)</f>
        <v>40682.596597222226</v>
      </c>
      <c r="C960">
        <v>80</v>
      </c>
      <c r="D960">
        <v>79.959953307999996</v>
      </c>
      <c r="E960">
        <v>50</v>
      </c>
      <c r="F960">
        <v>48.093345642000003</v>
      </c>
      <c r="G960">
        <v>1347.2281493999999</v>
      </c>
      <c r="H960">
        <v>1342.7858887</v>
      </c>
      <c r="I960">
        <v>1321.2076416</v>
      </c>
      <c r="J960">
        <v>1316.9516602000001</v>
      </c>
      <c r="K960">
        <v>2750</v>
      </c>
      <c r="L960">
        <v>0</v>
      </c>
      <c r="M960">
        <v>0</v>
      </c>
      <c r="N960">
        <v>2750</v>
      </c>
    </row>
    <row r="961" spans="1:14" x14ac:dyDescent="0.25">
      <c r="A961">
        <v>383.97194000000002</v>
      </c>
      <c r="B961" s="1">
        <f>DATE(2011,5,19) + TIME(23,19,35)</f>
        <v>40682.971932870372</v>
      </c>
      <c r="C961">
        <v>80</v>
      </c>
      <c r="D961">
        <v>79.959907532000003</v>
      </c>
      <c r="E961">
        <v>50</v>
      </c>
      <c r="F961">
        <v>48.063247681</v>
      </c>
      <c r="G961">
        <v>1347.2115478999999</v>
      </c>
      <c r="H961">
        <v>1342.7763672000001</v>
      </c>
      <c r="I961">
        <v>1321.2036132999999</v>
      </c>
      <c r="J961">
        <v>1316.9467772999999</v>
      </c>
      <c r="K961">
        <v>2750</v>
      </c>
      <c r="L961">
        <v>0</v>
      </c>
      <c r="M961">
        <v>0</v>
      </c>
      <c r="N961">
        <v>2750</v>
      </c>
    </row>
    <row r="962" spans="1:14" x14ac:dyDescent="0.25">
      <c r="A962">
        <v>384.35063000000002</v>
      </c>
      <c r="B962" s="1">
        <f>DATE(2011,5,20) + TIME(8,24,54)</f>
        <v>40683.350624999999</v>
      </c>
      <c r="C962">
        <v>80</v>
      </c>
      <c r="D962">
        <v>79.959861755000006</v>
      </c>
      <c r="E962">
        <v>50</v>
      </c>
      <c r="F962">
        <v>48.033069611000002</v>
      </c>
      <c r="G962">
        <v>1347.1950684000001</v>
      </c>
      <c r="H962">
        <v>1342.7668457</v>
      </c>
      <c r="I962">
        <v>1321.199707</v>
      </c>
      <c r="J962">
        <v>1316.9417725000001</v>
      </c>
      <c r="K962">
        <v>2750</v>
      </c>
      <c r="L962">
        <v>0</v>
      </c>
      <c r="M962">
        <v>0</v>
      </c>
      <c r="N962">
        <v>2750</v>
      </c>
    </row>
    <row r="963" spans="1:14" x14ac:dyDescent="0.25">
      <c r="A963">
        <v>384.73436800000002</v>
      </c>
      <c r="B963" s="1">
        <f>DATE(2011,5,20) + TIME(17,37,29)</f>
        <v>40683.734363425923</v>
      </c>
      <c r="C963">
        <v>80</v>
      </c>
      <c r="D963">
        <v>79.959815978999998</v>
      </c>
      <c r="E963">
        <v>50</v>
      </c>
      <c r="F963">
        <v>48.002727509000003</v>
      </c>
      <c r="G963">
        <v>1347.1788329999999</v>
      </c>
      <c r="H963">
        <v>1342.7574463000001</v>
      </c>
      <c r="I963">
        <v>1321.1955565999999</v>
      </c>
      <c r="J963">
        <v>1316.9366454999999</v>
      </c>
      <c r="K963">
        <v>2750</v>
      </c>
      <c r="L963">
        <v>0</v>
      </c>
      <c r="M963">
        <v>0</v>
      </c>
      <c r="N963">
        <v>2750</v>
      </c>
    </row>
    <row r="964" spans="1:14" x14ac:dyDescent="0.25">
      <c r="A964">
        <v>385.12417499999998</v>
      </c>
      <c r="B964" s="1">
        <f>DATE(2011,5,21) + TIME(2,58,48)</f>
        <v>40684.124166666668</v>
      </c>
      <c r="C964">
        <v>80</v>
      </c>
      <c r="D964">
        <v>79.959762573000006</v>
      </c>
      <c r="E964">
        <v>50</v>
      </c>
      <c r="F964">
        <v>47.972156525000003</v>
      </c>
      <c r="G964">
        <v>1347.1624756000001</v>
      </c>
      <c r="H964">
        <v>1342.7481689000001</v>
      </c>
      <c r="I964">
        <v>1321.1914062000001</v>
      </c>
      <c r="J964">
        <v>1316.9313964999999</v>
      </c>
      <c r="K964">
        <v>2750</v>
      </c>
      <c r="L964">
        <v>0</v>
      </c>
      <c r="M964">
        <v>0</v>
      </c>
      <c r="N964">
        <v>2750</v>
      </c>
    </row>
    <row r="965" spans="1:14" x14ac:dyDescent="0.25">
      <c r="A965">
        <v>385.52079500000002</v>
      </c>
      <c r="B965" s="1">
        <f>DATE(2011,5,21) + TIME(12,29,56)</f>
        <v>40684.520787037036</v>
      </c>
      <c r="C965">
        <v>80</v>
      </c>
      <c r="D965">
        <v>79.959716796999999</v>
      </c>
      <c r="E965">
        <v>50</v>
      </c>
      <c r="F965">
        <v>47.941310883</v>
      </c>
      <c r="G965">
        <v>1347.1462402</v>
      </c>
      <c r="H965">
        <v>1342.7388916</v>
      </c>
      <c r="I965">
        <v>1321.1871338000001</v>
      </c>
      <c r="J965">
        <v>1316.9261475000001</v>
      </c>
      <c r="K965">
        <v>2750</v>
      </c>
      <c r="L965">
        <v>0</v>
      </c>
      <c r="M965">
        <v>0</v>
      </c>
      <c r="N965">
        <v>2750</v>
      </c>
    </row>
    <row r="966" spans="1:14" x14ac:dyDescent="0.25">
      <c r="A966">
        <v>385.92517600000002</v>
      </c>
      <c r="B966" s="1">
        <f>DATE(2011,5,21) + TIME(22,12,15)</f>
        <v>40684.925173611111</v>
      </c>
      <c r="C966">
        <v>80</v>
      </c>
      <c r="D966">
        <v>79.959671021000005</v>
      </c>
      <c r="E966">
        <v>50</v>
      </c>
      <c r="F966">
        <v>47.910121918000002</v>
      </c>
      <c r="G966">
        <v>1347.1298827999999</v>
      </c>
      <c r="H966">
        <v>1342.7294922000001</v>
      </c>
      <c r="I966">
        <v>1321.1828613</v>
      </c>
      <c r="J966">
        <v>1316.9206543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386.33838900000001</v>
      </c>
      <c r="B967" s="1">
        <f>DATE(2011,5,22) + TIME(8,7,16)</f>
        <v>40685.338379629633</v>
      </c>
      <c r="C967">
        <v>80</v>
      </c>
      <c r="D967">
        <v>79.959625243999994</v>
      </c>
      <c r="E967">
        <v>50</v>
      </c>
      <c r="F967">
        <v>47.878532409999998</v>
      </c>
      <c r="G967">
        <v>1347.1135254000001</v>
      </c>
      <c r="H967">
        <v>1342.7200928</v>
      </c>
      <c r="I967">
        <v>1321.1783447</v>
      </c>
      <c r="J967">
        <v>1316.9150391000001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386.76157899999998</v>
      </c>
      <c r="B968" s="1">
        <f>DATE(2011,5,22) + TIME(18,16,40)</f>
        <v>40685.761574074073</v>
      </c>
      <c r="C968">
        <v>80</v>
      </c>
      <c r="D968">
        <v>79.959579468000001</v>
      </c>
      <c r="E968">
        <v>50</v>
      </c>
      <c r="F968">
        <v>47.846466063999998</v>
      </c>
      <c r="G968">
        <v>1347.097168</v>
      </c>
      <c r="H968">
        <v>1342.7106934000001</v>
      </c>
      <c r="I968">
        <v>1321.1737060999999</v>
      </c>
      <c r="J968">
        <v>1316.9093018000001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387.19430899999998</v>
      </c>
      <c r="B969" s="1">
        <f>DATE(2011,5,23) + TIME(4,39,48)</f>
        <v>40686.194305555553</v>
      </c>
      <c r="C969">
        <v>80</v>
      </c>
      <c r="D969">
        <v>79.959533691000004</v>
      </c>
      <c r="E969">
        <v>50</v>
      </c>
      <c r="F969">
        <v>47.813926696999999</v>
      </c>
      <c r="G969">
        <v>1347.0805664</v>
      </c>
      <c r="H969">
        <v>1342.7011719</v>
      </c>
      <c r="I969">
        <v>1321.1689452999999</v>
      </c>
      <c r="J969">
        <v>1316.9033202999999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387.63219700000002</v>
      </c>
      <c r="B970" s="1">
        <f>DATE(2011,5,23) + TIME(15,10,21)</f>
        <v>40686.632187499999</v>
      </c>
      <c r="C970">
        <v>80</v>
      </c>
      <c r="D970">
        <v>79.959480286000002</v>
      </c>
      <c r="E970">
        <v>50</v>
      </c>
      <c r="F970">
        <v>47.781127929999997</v>
      </c>
      <c r="G970">
        <v>1347.0638428</v>
      </c>
      <c r="H970">
        <v>1342.6916504000001</v>
      </c>
      <c r="I970">
        <v>1321.1640625</v>
      </c>
      <c r="J970">
        <v>1316.8970947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388.07632000000001</v>
      </c>
      <c r="B971" s="1">
        <f>DATE(2011,5,24) + TIME(1,49,54)</f>
        <v>40687.076319444444</v>
      </c>
      <c r="C971">
        <v>80</v>
      </c>
      <c r="D971">
        <v>79.959434509000005</v>
      </c>
      <c r="E971">
        <v>50</v>
      </c>
      <c r="F971">
        <v>47.748050689999999</v>
      </c>
      <c r="G971">
        <v>1347.0472411999999</v>
      </c>
      <c r="H971">
        <v>1342.6821289</v>
      </c>
      <c r="I971">
        <v>1321.1590576000001</v>
      </c>
      <c r="J971">
        <v>1316.8908690999999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388.52778799999999</v>
      </c>
      <c r="B972" s="1">
        <f>DATE(2011,5,24) + TIME(12,40,0)</f>
        <v>40687.527777777781</v>
      </c>
      <c r="C972">
        <v>80</v>
      </c>
      <c r="D972">
        <v>79.959388732999997</v>
      </c>
      <c r="E972">
        <v>50</v>
      </c>
      <c r="F972">
        <v>47.714668273999997</v>
      </c>
      <c r="G972">
        <v>1347.0306396000001</v>
      </c>
      <c r="H972">
        <v>1342.6726074000001</v>
      </c>
      <c r="I972">
        <v>1321.1540527</v>
      </c>
      <c r="J972">
        <v>1316.8843993999999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388.98593699999998</v>
      </c>
      <c r="B973" s="1">
        <f>DATE(2011,5,24) + TIME(23,39,44)</f>
        <v>40687.985925925925</v>
      </c>
      <c r="C973">
        <v>80</v>
      </c>
      <c r="D973">
        <v>79.959342957000004</v>
      </c>
      <c r="E973">
        <v>50</v>
      </c>
      <c r="F973">
        <v>47.6810112</v>
      </c>
      <c r="G973">
        <v>1347.0140381000001</v>
      </c>
      <c r="H973">
        <v>1342.6630858999999</v>
      </c>
      <c r="I973">
        <v>1321.1488036999999</v>
      </c>
      <c r="J973">
        <v>1316.8776855000001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389.44870100000003</v>
      </c>
      <c r="B974" s="1">
        <f>DATE(2011,5,25) + TIME(10,46,7)</f>
        <v>40688.448692129627</v>
      </c>
      <c r="C974">
        <v>80</v>
      </c>
      <c r="D974">
        <v>79.959297179999993</v>
      </c>
      <c r="E974">
        <v>50</v>
      </c>
      <c r="F974">
        <v>47.647186279000003</v>
      </c>
      <c r="G974">
        <v>1346.9974365</v>
      </c>
      <c r="H974">
        <v>1342.6535644999999</v>
      </c>
      <c r="I974">
        <v>1321.1434326000001</v>
      </c>
      <c r="J974">
        <v>1316.8709716999999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389.916966</v>
      </c>
      <c r="B975" s="1">
        <f>DATE(2011,5,25) + TIME(22,0,25)</f>
        <v>40688.916956018518</v>
      </c>
      <c r="C975">
        <v>80</v>
      </c>
      <c r="D975">
        <v>79.959251404</v>
      </c>
      <c r="E975">
        <v>50</v>
      </c>
      <c r="F975">
        <v>47.613185883</v>
      </c>
      <c r="G975">
        <v>1346.980957</v>
      </c>
      <c r="H975">
        <v>1342.6441649999999</v>
      </c>
      <c r="I975">
        <v>1321.1379394999999</v>
      </c>
      <c r="J975">
        <v>1316.8640137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390.39297900000003</v>
      </c>
      <c r="B976" s="1">
        <f>DATE(2011,5,26) + TIME(9,25,53)</f>
        <v>40689.392974537041</v>
      </c>
      <c r="C976">
        <v>80</v>
      </c>
      <c r="D976">
        <v>79.959205627000003</v>
      </c>
      <c r="E976">
        <v>50</v>
      </c>
      <c r="F976">
        <v>47.578918457</v>
      </c>
      <c r="G976">
        <v>1346.9645995999999</v>
      </c>
      <c r="H976">
        <v>1342.6347656</v>
      </c>
      <c r="I976">
        <v>1321.1323242000001</v>
      </c>
      <c r="J976">
        <v>1316.8569336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390.87358799999998</v>
      </c>
      <c r="B977" s="1">
        <f>DATE(2011,5,26) + TIME(20,57,57)</f>
        <v>40689.873576388891</v>
      </c>
      <c r="C977">
        <v>80</v>
      </c>
      <c r="D977">
        <v>79.959159850999995</v>
      </c>
      <c r="E977">
        <v>50</v>
      </c>
      <c r="F977">
        <v>47.544513702000003</v>
      </c>
      <c r="G977">
        <v>1346.9481201000001</v>
      </c>
      <c r="H977">
        <v>1342.6252440999999</v>
      </c>
      <c r="I977">
        <v>1321.1265868999999</v>
      </c>
      <c r="J977">
        <v>1316.8496094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391.35600699999998</v>
      </c>
      <c r="B978" s="1">
        <f>DATE(2011,5,27) + TIME(8,32,38)</f>
        <v>40690.355995370373</v>
      </c>
      <c r="C978">
        <v>80</v>
      </c>
      <c r="D978">
        <v>79.959114075000002</v>
      </c>
      <c r="E978">
        <v>50</v>
      </c>
      <c r="F978">
        <v>47.510116576999998</v>
      </c>
      <c r="G978">
        <v>1346.9317627</v>
      </c>
      <c r="H978">
        <v>1342.6158447</v>
      </c>
      <c r="I978">
        <v>1321.1208495999999</v>
      </c>
      <c r="J978">
        <v>1316.8421631000001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391.841207</v>
      </c>
      <c r="B979" s="1">
        <f>DATE(2011,5,27) + TIME(20,11,20)</f>
        <v>40690.841203703705</v>
      </c>
      <c r="C979">
        <v>80</v>
      </c>
      <c r="D979">
        <v>79.959068298000005</v>
      </c>
      <c r="E979">
        <v>50</v>
      </c>
      <c r="F979">
        <v>47.475730896000002</v>
      </c>
      <c r="G979">
        <v>1346.9155272999999</v>
      </c>
      <c r="H979">
        <v>1342.6065673999999</v>
      </c>
      <c r="I979">
        <v>1321.1148682</v>
      </c>
      <c r="J979">
        <v>1316.8345947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392.33120100000002</v>
      </c>
      <c r="B980" s="1">
        <f>DATE(2011,5,28) + TIME(7,56,55)</f>
        <v>40691.331192129626</v>
      </c>
      <c r="C980">
        <v>80</v>
      </c>
      <c r="D980">
        <v>79.959030150999993</v>
      </c>
      <c r="E980">
        <v>50</v>
      </c>
      <c r="F980">
        <v>47.441291808999999</v>
      </c>
      <c r="G980">
        <v>1346.8995361</v>
      </c>
      <c r="H980">
        <v>1342.5974120999999</v>
      </c>
      <c r="I980">
        <v>1321.1088867000001</v>
      </c>
      <c r="J980">
        <v>1316.8269043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392.82764500000002</v>
      </c>
      <c r="B981" s="1">
        <f>DATE(2011,5,28) + TIME(19,51,48)</f>
        <v>40691.827638888892</v>
      </c>
      <c r="C981">
        <v>80</v>
      </c>
      <c r="D981">
        <v>79.958984375</v>
      </c>
      <c r="E981">
        <v>50</v>
      </c>
      <c r="F981">
        <v>47.406711577999999</v>
      </c>
      <c r="G981">
        <v>1346.8835449000001</v>
      </c>
      <c r="H981">
        <v>1342.5882568</v>
      </c>
      <c r="I981">
        <v>1321.1027832</v>
      </c>
      <c r="J981">
        <v>1316.8190918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393.33188200000001</v>
      </c>
      <c r="B982" s="1">
        <f>DATE(2011,5,29) + TIME(7,57,54)</f>
        <v>40692.331875000003</v>
      </c>
      <c r="C982">
        <v>80</v>
      </c>
      <c r="D982">
        <v>79.958938599000007</v>
      </c>
      <c r="E982">
        <v>50</v>
      </c>
      <c r="F982">
        <v>47.371921538999999</v>
      </c>
      <c r="G982">
        <v>1346.8676757999999</v>
      </c>
      <c r="H982">
        <v>1342.5791016000001</v>
      </c>
      <c r="I982">
        <v>1321.0965576000001</v>
      </c>
      <c r="J982">
        <v>1316.8110352000001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393.84509700000001</v>
      </c>
      <c r="B983" s="1">
        <f>DATE(2011,5,29) + TIME(20,16,56)</f>
        <v>40692.845092592594</v>
      </c>
      <c r="C983">
        <v>80</v>
      </c>
      <c r="D983">
        <v>79.958900451999995</v>
      </c>
      <c r="E983">
        <v>50</v>
      </c>
      <c r="F983">
        <v>47.336849213000001</v>
      </c>
      <c r="G983">
        <v>1346.8516846</v>
      </c>
      <c r="H983">
        <v>1342.5699463000001</v>
      </c>
      <c r="I983">
        <v>1321.0900879000001</v>
      </c>
      <c r="J983">
        <v>1316.8027344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394.36863299999999</v>
      </c>
      <c r="B984" s="1">
        <f>DATE(2011,5,30) + TIME(8,50,49)</f>
        <v>40693.368622685186</v>
      </c>
      <c r="C984">
        <v>80</v>
      </c>
      <c r="D984">
        <v>79.958854674999998</v>
      </c>
      <c r="E984">
        <v>50</v>
      </c>
      <c r="F984">
        <v>47.301422119000001</v>
      </c>
      <c r="G984">
        <v>1346.8356934000001</v>
      </c>
      <c r="H984">
        <v>1342.5606689000001</v>
      </c>
      <c r="I984">
        <v>1321.0834961</v>
      </c>
      <c r="J984">
        <v>1316.7941894999999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394.90400399999999</v>
      </c>
      <c r="B985" s="1">
        <f>DATE(2011,5,30) + TIME(21,41,45)</f>
        <v>40693.903993055559</v>
      </c>
      <c r="C985">
        <v>80</v>
      </c>
      <c r="D985">
        <v>79.958816528</v>
      </c>
      <c r="E985">
        <v>50</v>
      </c>
      <c r="F985">
        <v>47.265552520999996</v>
      </c>
      <c r="G985">
        <v>1346.8195800999999</v>
      </c>
      <c r="H985">
        <v>1342.5513916</v>
      </c>
      <c r="I985">
        <v>1321.0766602000001</v>
      </c>
      <c r="J985">
        <v>1316.7854004000001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395.45261799999997</v>
      </c>
      <c r="B986" s="1">
        <f>DATE(2011,5,31) + TIME(10,51,46)</f>
        <v>40694.452615740738</v>
      </c>
      <c r="C986">
        <v>80</v>
      </c>
      <c r="D986">
        <v>79.958770752000007</v>
      </c>
      <c r="E986">
        <v>50</v>
      </c>
      <c r="F986">
        <v>47.229160309000001</v>
      </c>
      <c r="G986">
        <v>1346.8033447</v>
      </c>
      <c r="H986">
        <v>1342.5421143000001</v>
      </c>
      <c r="I986">
        <v>1321.0697021000001</v>
      </c>
      <c r="J986">
        <v>1316.7763672000001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396</v>
      </c>
      <c r="B987" s="1">
        <f>DATE(2011,6,1) + TIME(0,0,0)</f>
        <v>40695</v>
      </c>
      <c r="C987">
        <v>80</v>
      </c>
      <c r="D987">
        <v>79.958732604999994</v>
      </c>
      <c r="E987">
        <v>50</v>
      </c>
      <c r="F987">
        <v>47.192787170000003</v>
      </c>
      <c r="G987">
        <v>1346.7869873</v>
      </c>
      <c r="H987">
        <v>1342.5325928</v>
      </c>
      <c r="I987">
        <v>1321.0623779</v>
      </c>
      <c r="J987">
        <v>1316.7669678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396.55463200000003</v>
      </c>
      <c r="B988" s="1">
        <f>DATE(2011,6,1) + TIME(13,18,40)</f>
        <v>40695.554629629631</v>
      </c>
      <c r="C988">
        <v>80</v>
      </c>
      <c r="D988">
        <v>79.958686829000001</v>
      </c>
      <c r="E988">
        <v>50</v>
      </c>
      <c r="F988">
        <v>47.156242370999998</v>
      </c>
      <c r="G988">
        <v>1346.7709961</v>
      </c>
      <c r="H988">
        <v>1342.5233154</v>
      </c>
      <c r="I988">
        <v>1321.0550536999999</v>
      </c>
      <c r="J988">
        <v>1316.7573242000001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397.12602900000002</v>
      </c>
      <c r="B989" s="1">
        <f>DATE(2011,6,2) + TIME(3,1,28)</f>
        <v>40696.126018518517</v>
      </c>
      <c r="C989">
        <v>80</v>
      </c>
      <c r="D989">
        <v>79.958648682000003</v>
      </c>
      <c r="E989">
        <v>50</v>
      </c>
      <c r="F989">
        <v>47.119163512999997</v>
      </c>
      <c r="G989">
        <v>1346.7548827999999</v>
      </c>
      <c r="H989">
        <v>1342.5140381000001</v>
      </c>
      <c r="I989">
        <v>1321.0474853999999</v>
      </c>
      <c r="J989">
        <v>1316.7475586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397.70797199999998</v>
      </c>
      <c r="B990" s="1">
        <f>DATE(2011,6,2) + TIME(16,59,28)</f>
        <v>40696.707962962966</v>
      </c>
      <c r="C990">
        <v>80</v>
      </c>
      <c r="D990">
        <v>79.958602905000006</v>
      </c>
      <c r="E990">
        <v>50</v>
      </c>
      <c r="F990">
        <v>47.081684113000001</v>
      </c>
      <c r="G990">
        <v>1346.7385254000001</v>
      </c>
      <c r="H990">
        <v>1342.5046387</v>
      </c>
      <c r="I990">
        <v>1321.0396728999999</v>
      </c>
      <c r="J990">
        <v>1316.7373047000001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398.29816</v>
      </c>
      <c r="B991" s="1">
        <f>DATE(2011,6,3) + TIME(7,9,21)</f>
        <v>40697.298159722224</v>
      </c>
      <c r="C991">
        <v>80</v>
      </c>
      <c r="D991">
        <v>79.958564757999994</v>
      </c>
      <c r="E991">
        <v>50</v>
      </c>
      <c r="F991">
        <v>47.043899535999998</v>
      </c>
      <c r="G991">
        <v>1346.722168</v>
      </c>
      <c r="H991">
        <v>1342.4951172000001</v>
      </c>
      <c r="I991">
        <v>1321.0316161999999</v>
      </c>
      <c r="J991">
        <v>1316.7266846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398.89254599999998</v>
      </c>
      <c r="B992" s="1">
        <f>DATE(2011,6,3) + TIME(21,25,15)</f>
        <v>40697.892534722225</v>
      </c>
      <c r="C992">
        <v>80</v>
      </c>
      <c r="D992">
        <v>79.958526610999996</v>
      </c>
      <c r="E992">
        <v>50</v>
      </c>
      <c r="F992">
        <v>47.005996703999998</v>
      </c>
      <c r="G992">
        <v>1346.7058105000001</v>
      </c>
      <c r="H992">
        <v>1342.4855957</v>
      </c>
      <c r="I992">
        <v>1321.0233154</v>
      </c>
      <c r="J992">
        <v>1316.7159423999999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399.49233099999998</v>
      </c>
      <c r="B993" s="1">
        <f>DATE(2011,6,4) + TIME(11,48,57)</f>
        <v>40698.492326388892</v>
      </c>
      <c r="C993">
        <v>80</v>
      </c>
      <c r="D993">
        <v>79.958480835000003</v>
      </c>
      <c r="E993">
        <v>50</v>
      </c>
      <c r="F993">
        <v>46.968002319</v>
      </c>
      <c r="G993">
        <v>1346.6894531</v>
      </c>
      <c r="H993">
        <v>1342.4760742000001</v>
      </c>
      <c r="I993">
        <v>1321.0148925999999</v>
      </c>
      <c r="J993">
        <v>1316.7048339999999</v>
      </c>
      <c r="K993">
        <v>2750</v>
      </c>
      <c r="L993">
        <v>0</v>
      </c>
      <c r="M993">
        <v>0</v>
      </c>
      <c r="N993">
        <v>2750</v>
      </c>
    </row>
    <row r="994" spans="1:14" x14ac:dyDescent="0.25">
      <c r="A994">
        <v>400.09950300000003</v>
      </c>
      <c r="B994" s="1">
        <f>DATE(2011,6,5) + TIME(2,23,17)</f>
        <v>40699.099502314813</v>
      </c>
      <c r="C994">
        <v>80</v>
      </c>
      <c r="D994">
        <v>79.958442688000005</v>
      </c>
      <c r="E994">
        <v>50</v>
      </c>
      <c r="F994">
        <v>46.929870604999998</v>
      </c>
      <c r="G994">
        <v>1346.6733397999999</v>
      </c>
      <c r="H994">
        <v>1342.4666748</v>
      </c>
      <c r="I994">
        <v>1321.0062256000001</v>
      </c>
      <c r="J994">
        <v>1316.6934814000001</v>
      </c>
      <c r="K994">
        <v>2750</v>
      </c>
      <c r="L994">
        <v>0</v>
      </c>
      <c r="M994">
        <v>0</v>
      </c>
      <c r="N994">
        <v>2750</v>
      </c>
    </row>
    <row r="995" spans="1:14" x14ac:dyDescent="0.25">
      <c r="A995">
        <v>400.71250199999997</v>
      </c>
      <c r="B995" s="1">
        <f>DATE(2011,6,5) + TIME(17,6,0)</f>
        <v>40699.712500000001</v>
      </c>
      <c r="C995">
        <v>80</v>
      </c>
      <c r="D995">
        <v>79.958404540999993</v>
      </c>
      <c r="E995">
        <v>50</v>
      </c>
      <c r="F995">
        <v>46.891651154000002</v>
      </c>
      <c r="G995">
        <v>1346.6572266000001</v>
      </c>
      <c r="H995">
        <v>1342.4572754000001</v>
      </c>
      <c r="I995">
        <v>1320.9974365</v>
      </c>
      <c r="J995">
        <v>1316.6817627</v>
      </c>
      <c r="K995">
        <v>2750</v>
      </c>
      <c r="L995">
        <v>0</v>
      </c>
      <c r="M995">
        <v>0</v>
      </c>
      <c r="N995">
        <v>2750</v>
      </c>
    </row>
    <row r="996" spans="1:14" x14ac:dyDescent="0.25">
      <c r="A996">
        <v>401.32867299999998</v>
      </c>
      <c r="B996" s="1">
        <f>DATE(2011,6,6) + TIME(7,53,17)</f>
        <v>40700.328668981485</v>
      </c>
      <c r="C996">
        <v>80</v>
      </c>
      <c r="D996">
        <v>79.958366393999995</v>
      </c>
      <c r="E996">
        <v>50</v>
      </c>
      <c r="F996">
        <v>46.853458404999998</v>
      </c>
      <c r="G996">
        <v>1346.6411132999999</v>
      </c>
      <c r="H996">
        <v>1342.447876</v>
      </c>
      <c r="I996">
        <v>1320.9884033000001</v>
      </c>
      <c r="J996">
        <v>1316.6697998</v>
      </c>
      <c r="K996">
        <v>2750</v>
      </c>
      <c r="L996">
        <v>0</v>
      </c>
      <c r="M996">
        <v>0</v>
      </c>
      <c r="N996">
        <v>2750</v>
      </c>
    </row>
    <row r="997" spans="1:14" x14ac:dyDescent="0.25">
      <c r="A997">
        <v>401.951684</v>
      </c>
      <c r="B997" s="1">
        <f>DATE(2011,6,6) + TIME(22,50,25)</f>
        <v>40700.951678240737</v>
      </c>
      <c r="C997">
        <v>80</v>
      </c>
      <c r="D997">
        <v>79.958328246999997</v>
      </c>
      <c r="E997">
        <v>50</v>
      </c>
      <c r="F997">
        <v>46.815204620000003</v>
      </c>
      <c r="G997">
        <v>1346.6251221</v>
      </c>
      <c r="H997">
        <v>1342.4385986</v>
      </c>
      <c r="I997">
        <v>1320.979126</v>
      </c>
      <c r="J997">
        <v>1316.6575928</v>
      </c>
      <c r="K997">
        <v>2750</v>
      </c>
      <c r="L997">
        <v>0</v>
      </c>
      <c r="M997">
        <v>0</v>
      </c>
      <c r="N997">
        <v>2750</v>
      </c>
    </row>
    <row r="998" spans="1:14" x14ac:dyDescent="0.25">
      <c r="A998">
        <v>402.58145400000001</v>
      </c>
      <c r="B998" s="1">
        <f>DATE(2011,6,7) + TIME(13,57,17)</f>
        <v>40701.581446759257</v>
      </c>
      <c r="C998">
        <v>80</v>
      </c>
      <c r="D998">
        <v>79.958290099999999</v>
      </c>
      <c r="E998">
        <v>50</v>
      </c>
      <c r="F998">
        <v>46.776870727999999</v>
      </c>
      <c r="G998">
        <v>1346.6092529</v>
      </c>
      <c r="H998">
        <v>1342.4293213000001</v>
      </c>
      <c r="I998">
        <v>1320.9697266000001</v>
      </c>
      <c r="J998">
        <v>1316.6451416</v>
      </c>
      <c r="K998">
        <v>2750</v>
      </c>
      <c r="L998">
        <v>0</v>
      </c>
      <c r="M998">
        <v>0</v>
      </c>
      <c r="N998">
        <v>2750</v>
      </c>
    </row>
    <row r="999" spans="1:14" x14ac:dyDescent="0.25">
      <c r="A999">
        <v>403.217761</v>
      </c>
      <c r="B999" s="1">
        <f>DATE(2011,6,8) + TIME(5,13,34)</f>
        <v>40702.21775462963</v>
      </c>
      <c r="C999">
        <v>80</v>
      </c>
      <c r="D999">
        <v>79.958251953000001</v>
      </c>
      <c r="E999">
        <v>50</v>
      </c>
      <c r="F999">
        <v>46.738464354999998</v>
      </c>
      <c r="G999">
        <v>1346.5933838000001</v>
      </c>
      <c r="H999">
        <v>1342.4200439000001</v>
      </c>
      <c r="I999">
        <v>1320.9602050999999</v>
      </c>
      <c r="J999">
        <v>1316.6323242000001</v>
      </c>
      <c r="K999">
        <v>2750</v>
      </c>
      <c r="L999">
        <v>0</v>
      </c>
      <c r="M999">
        <v>0</v>
      </c>
      <c r="N999">
        <v>2750</v>
      </c>
    </row>
    <row r="1000" spans="1:14" x14ac:dyDescent="0.25">
      <c r="A1000">
        <v>403.86345899999998</v>
      </c>
      <c r="B1000" s="1">
        <f>DATE(2011,6,8) + TIME(20,43,22)</f>
        <v>40702.863449074073</v>
      </c>
      <c r="C1000">
        <v>80</v>
      </c>
      <c r="D1000">
        <v>79.958213806000003</v>
      </c>
      <c r="E1000">
        <v>50</v>
      </c>
      <c r="F1000">
        <v>46.699882506999998</v>
      </c>
      <c r="G1000">
        <v>1346.5776367000001</v>
      </c>
      <c r="H1000">
        <v>1342.4107666</v>
      </c>
      <c r="I1000">
        <v>1320.9503173999999</v>
      </c>
      <c r="J1000">
        <v>1316.6192627</v>
      </c>
      <c r="K1000">
        <v>2750</v>
      </c>
      <c r="L1000">
        <v>0</v>
      </c>
      <c r="M1000">
        <v>0</v>
      </c>
      <c r="N1000">
        <v>2750</v>
      </c>
    </row>
    <row r="1001" spans="1:14" x14ac:dyDescent="0.25">
      <c r="A1001">
        <v>404.52049499999998</v>
      </c>
      <c r="B1001" s="1">
        <f>DATE(2011,6,9) + TIME(12,29,30)</f>
        <v>40703.520486111112</v>
      </c>
      <c r="C1001">
        <v>80</v>
      </c>
      <c r="D1001">
        <v>79.958175659000005</v>
      </c>
      <c r="E1001">
        <v>50</v>
      </c>
      <c r="F1001">
        <v>46.661041259999998</v>
      </c>
      <c r="G1001">
        <v>1346.5617675999999</v>
      </c>
      <c r="H1001">
        <v>1342.4014893000001</v>
      </c>
      <c r="I1001">
        <v>1320.9401855000001</v>
      </c>
      <c r="J1001">
        <v>1316.6057129000001</v>
      </c>
      <c r="K1001">
        <v>2750</v>
      </c>
      <c r="L1001">
        <v>0</v>
      </c>
      <c r="M1001">
        <v>0</v>
      </c>
      <c r="N1001">
        <v>2750</v>
      </c>
    </row>
    <row r="1002" spans="1:14" x14ac:dyDescent="0.25">
      <c r="A1002">
        <v>405.19063599999998</v>
      </c>
      <c r="B1002" s="1">
        <f>DATE(2011,6,10) + TIME(4,34,30)</f>
        <v>40704.190625000003</v>
      </c>
      <c r="C1002">
        <v>80</v>
      </c>
      <c r="D1002">
        <v>79.958145142000006</v>
      </c>
      <c r="E1002">
        <v>50</v>
      </c>
      <c r="F1002">
        <v>46.621845245000003</v>
      </c>
      <c r="G1002">
        <v>1346.5458983999999</v>
      </c>
      <c r="H1002">
        <v>1342.3920897999999</v>
      </c>
      <c r="I1002">
        <v>1320.9298096</v>
      </c>
      <c r="J1002">
        <v>1316.5917969</v>
      </c>
      <c r="K1002">
        <v>2750</v>
      </c>
      <c r="L1002">
        <v>0</v>
      </c>
      <c r="M1002">
        <v>0</v>
      </c>
      <c r="N1002">
        <v>2750</v>
      </c>
    </row>
    <row r="1003" spans="1:14" x14ac:dyDescent="0.25">
      <c r="A1003">
        <v>405.872704</v>
      </c>
      <c r="B1003" s="1">
        <f>DATE(2011,6,10) + TIME(20,56,41)</f>
        <v>40704.872696759259</v>
      </c>
      <c r="C1003">
        <v>80</v>
      </c>
      <c r="D1003">
        <v>79.958106994999994</v>
      </c>
      <c r="E1003">
        <v>50</v>
      </c>
      <c r="F1003">
        <v>46.582294464</v>
      </c>
      <c r="G1003">
        <v>1346.5299072</v>
      </c>
      <c r="H1003">
        <v>1342.3826904</v>
      </c>
      <c r="I1003">
        <v>1320.9190673999999</v>
      </c>
      <c r="J1003">
        <v>1316.5772704999999</v>
      </c>
      <c r="K1003">
        <v>2750</v>
      </c>
      <c r="L1003">
        <v>0</v>
      </c>
      <c r="M1003">
        <v>0</v>
      </c>
      <c r="N1003">
        <v>2750</v>
      </c>
    </row>
    <row r="1004" spans="1:14" x14ac:dyDescent="0.25">
      <c r="A1004">
        <v>406.56717400000002</v>
      </c>
      <c r="B1004" s="1">
        <f>DATE(2011,6,11) + TIME(13,36,43)</f>
        <v>40705.567164351851</v>
      </c>
      <c r="C1004">
        <v>80</v>
      </c>
      <c r="D1004">
        <v>79.958076477000006</v>
      </c>
      <c r="E1004">
        <v>50</v>
      </c>
      <c r="F1004">
        <v>46.542377471999998</v>
      </c>
      <c r="G1004">
        <v>1346.5139160000001</v>
      </c>
      <c r="H1004">
        <v>1342.3732910000001</v>
      </c>
      <c r="I1004">
        <v>1320.9079589999999</v>
      </c>
      <c r="J1004">
        <v>1316.5623779</v>
      </c>
      <c r="K1004">
        <v>2750</v>
      </c>
      <c r="L1004">
        <v>0</v>
      </c>
      <c r="M1004">
        <v>0</v>
      </c>
      <c r="N1004">
        <v>2750</v>
      </c>
    </row>
    <row r="1005" spans="1:14" x14ac:dyDescent="0.25">
      <c r="A1005">
        <v>407.276207</v>
      </c>
      <c r="B1005" s="1">
        <f>DATE(2011,6,12) + TIME(6,37,44)</f>
        <v>40706.276203703703</v>
      </c>
      <c r="C1005">
        <v>80</v>
      </c>
      <c r="D1005">
        <v>79.958038329999994</v>
      </c>
      <c r="E1005">
        <v>50</v>
      </c>
      <c r="F1005">
        <v>46.502025604000004</v>
      </c>
      <c r="G1005">
        <v>1346.4978027</v>
      </c>
      <c r="H1005">
        <v>1342.3637695</v>
      </c>
      <c r="I1005">
        <v>1320.8966064000001</v>
      </c>
      <c r="J1005">
        <v>1316.5469971</v>
      </c>
      <c r="K1005">
        <v>2750</v>
      </c>
      <c r="L1005">
        <v>0</v>
      </c>
      <c r="M1005">
        <v>0</v>
      </c>
      <c r="N1005">
        <v>2750</v>
      </c>
    </row>
    <row r="1006" spans="1:14" x14ac:dyDescent="0.25">
      <c r="A1006">
        <v>408.00212599999998</v>
      </c>
      <c r="B1006" s="1">
        <f>DATE(2011,6,13) + TIME(0,3,3)</f>
        <v>40707.002118055556</v>
      </c>
      <c r="C1006">
        <v>80</v>
      </c>
      <c r="D1006">
        <v>79.958000182999996</v>
      </c>
      <c r="E1006">
        <v>50</v>
      </c>
      <c r="F1006">
        <v>46.461151123</v>
      </c>
      <c r="G1006">
        <v>1346.4815673999999</v>
      </c>
      <c r="H1006">
        <v>1342.354126</v>
      </c>
      <c r="I1006">
        <v>1320.8847656</v>
      </c>
      <c r="J1006">
        <v>1316.5311279</v>
      </c>
      <c r="K1006">
        <v>2750</v>
      </c>
      <c r="L1006">
        <v>0</v>
      </c>
      <c r="M1006">
        <v>0</v>
      </c>
      <c r="N1006">
        <v>2750</v>
      </c>
    </row>
    <row r="1007" spans="1:14" x14ac:dyDescent="0.25">
      <c r="A1007">
        <v>408.74308500000001</v>
      </c>
      <c r="B1007" s="1">
        <f>DATE(2011,6,13) + TIME(17,50,2)</f>
        <v>40707.743078703701</v>
      </c>
      <c r="C1007">
        <v>80</v>
      </c>
      <c r="D1007">
        <v>79.957969665999997</v>
      </c>
      <c r="E1007">
        <v>50</v>
      </c>
      <c r="F1007">
        <v>46.419769287000001</v>
      </c>
      <c r="G1007">
        <v>1346.4652100000001</v>
      </c>
      <c r="H1007">
        <v>1342.3443603999999</v>
      </c>
      <c r="I1007">
        <v>1320.8725586</v>
      </c>
      <c r="J1007">
        <v>1316.5145264</v>
      </c>
      <c r="K1007">
        <v>2750</v>
      </c>
      <c r="L1007">
        <v>0</v>
      </c>
      <c r="M1007">
        <v>0</v>
      </c>
      <c r="N1007">
        <v>2750</v>
      </c>
    </row>
    <row r="1008" spans="1:14" x14ac:dyDescent="0.25">
      <c r="A1008">
        <v>409.49883</v>
      </c>
      <c r="B1008" s="1">
        <f>DATE(2011,6,14) + TIME(11,58,18)</f>
        <v>40708.498819444445</v>
      </c>
      <c r="C1008">
        <v>80</v>
      </c>
      <c r="D1008">
        <v>79.957939147999994</v>
      </c>
      <c r="E1008">
        <v>50</v>
      </c>
      <c r="F1008">
        <v>46.377902984999999</v>
      </c>
      <c r="G1008">
        <v>1346.4487305</v>
      </c>
      <c r="H1008">
        <v>1342.3345947</v>
      </c>
      <c r="I1008">
        <v>1320.8598632999999</v>
      </c>
      <c r="J1008">
        <v>1316.4973144999999</v>
      </c>
      <c r="K1008">
        <v>2750</v>
      </c>
      <c r="L1008">
        <v>0</v>
      </c>
      <c r="M1008">
        <v>0</v>
      </c>
      <c r="N1008">
        <v>2750</v>
      </c>
    </row>
    <row r="1009" spans="1:14" x14ac:dyDescent="0.25">
      <c r="A1009">
        <v>409.87811399999998</v>
      </c>
      <c r="B1009" s="1">
        <f>DATE(2011,6,14) + TIME(21,4,29)</f>
        <v>40708.878113425926</v>
      </c>
      <c r="C1009">
        <v>80</v>
      </c>
      <c r="D1009">
        <v>79.957901000999996</v>
      </c>
      <c r="E1009">
        <v>50</v>
      </c>
      <c r="F1009">
        <v>46.350059508999998</v>
      </c>
      <c r="G1009">
        <v>1346.4320068</v>
      </c>
      <c r="H1009">
        <v>1342.3245850000001</v>
      </c>
      <c r="I1009">
        <v>1320.8470459</v>
      </c>
      <c r="J1009">
        <v>1316.480957</v>
      </c>
      <c r="K1009">
        <v>2750</v>
      </c>
      <c r="L1009">
        <v>0</v>
      </c>
      <c r="M1009">
        <v>0</v>
      </c>
      <c r="N1009">
        <v>2750</v>
      </c>
    </row>
    <row r="1010" spans="1:14" x14ac:dyDescent="0.25">
      <c r="A1010">
        <v>410.25739900000002</v>
      </c>
      <c r="B1010" s="1">
        <f>DATE(2011,6,15) + TIME(6,10,39)</f>
        <v>40709.257395833331</v>
      </c>
      <c r="C1010">
        <v>80</v>
      </c>
      <c r="D1010">
        <v>79.957878113000007</v>
      </c>
      <c r="E1010">
        <v>50</v>
      </c>
      <c r="F1010">
        <v>46.324474334999998</v>
      </c>
      <c r="G1010">
        <v>1346.4237060999999</v>
      </c>
      <c r="H1010">
        <v>1342.3195800999999</v>
      </c>
      <c r="I1010">
        <v>1320.8400879000001</v>
      </c>
      <c r="J1010">
        <v>1316.4709473</v>
      </c>
      <c r="K1010">
        <v>2750</v>
      </c>
      <c r="L1010">
        <v>0</v>
      </c>
      <c r="M1010">
        <v>0</v>
      </c>
      <c r="N1010">
        <v>2750</v>
      </c>
    </row>
    <row r="1011" spans="1:14" x14ac:dyDescent="0.25">
      <c r="A1011">
        <v>410.636683</v>
      </c>
      <c r="B1011" s="1">
        <f>DATE(2011,6,15) + TIME(15,16,49)</f>
        <v>40709.636678240742</v>
      </c>
      <c r="C1011">
        <v>80</v>
      </c>
      <c r="D1011">
        <v>79.957855225000003</v>
      </c>
      <c r="E1011">
        <v>50</v>
      </c>
      <c r="F1011">
        <v>46.300437926999997</v>
      </c>
      <c r="G1011">
        <v>1346.4155272999999</v>
      </c>
      <c r="H1011">
        <v>1342.3146973</v>
      </c>
      <c r="I1011">
        <v>1320.8331298999999</v>
      </c>
      <c r="J1011">
        <v>1316.4613036999999</v>
      </c>
      <c r="K1011">
        <v>2750</v>
      </c>
      <c r="L1011">
        <v>0</v>
      </c>
      <c r="M1011">
        <v>0</v>
      </c>
      <c r="N1011">
        <v>2750</v>
      </c>
    </row>
    <row r="1012" spans="1:14" x14ac:dyDescent="0.25">
      <c r="A1012">
        <v>411.01596799999999</v>
      </c>
      <c r="B1012" s="1">
        <f>DATE(2011,6,16) + TIME(0,22,59)</f>
        <v>40710.015960648147</v>
      </c>
      <c r="C1012">
        <v>80</v>
      </c>
      <c r="D1012">
        <v>79.957839965999995</v>
      </c>
      <c r="E1012">
        <v>50</v>
      </c>
      <c r="F1012">
        <v>46.277473450000002</v>
      </c>
      <c r="G1012">
        <v>1346.4074707</v>
      </c>
      <c r="H1012">
        <v>1342.3098144999999</v>
      </c>
      <c r="I1012">
        <v>1320.8261719</v>
      </c>
      <c r="J1012">
        <v>1316.4516602000001</v>
      </c>
      <c r="K1012">
        <v>2750</v>
      </c>
      <c r="L1012">
        <v>0</v>
      </c>
      <c r="M1012">
        <v>0</v>
      </c>
      <c r="N1012">
        <v>2750</v>
      </c>
    </row>
    <row r="1013" spans="1:14" x14ac:dyDescent="0.25">
      <c r="A1013">
        <v>411.39525200000003</v>
      </c>
      <c r="B1013" s="1">
        <f>DATE(2011,6,16) + TIME(9,29,9)</f>
        <v>40710.395243055558</v>
      </c>
      <c r="C1013">
        <v>80</v>
      </c>
      <c r="D1013">
        <v>79.957817078000005</v>
      </c>
      <c r="E1013">
        <v>50</v>
      </c>
      <c r="F1013">
        <v>46.255260468000003</v>
      </c>
      <c r="G1013">
        <v>1346.3994141000001</v>
      </c>
      <c r="H1013">
        <v>1342.3050536999999</v>
      </c>
      <c r="I1013">
        <v>1320.8192139</v>
      </c>
      <c r="J1013">
        <v>1316.4421387</v>
      </c>
      <c r="K1013">
        <v>2750</v>
      </c>
      <c r="L1013">
        <v>0</v>
      </c>
      <c r="M1013">
        <v>0</v>
      </c>
      <c r="N1013">
        <v>2750</v>
      </c>
    </row>
    <row r="1014" spans="1:14" x14ac:dyDescent="0.25">
      <c r="A1014">
        <v>411.77453600000001</v>
      </c>
      <c r="B1014" s="1">
        <f>DATE(2011,6,16) + TIME(18,35,19)</f>
        <v>40710.774525462963</v>
      </c>
      <c r="C1014">
        <v>80</v>
      </c>
      <c r="D1014">
        <v>79.957801818999997</v>
      </c>
      <c r="E1014">
        <v>50</v>
      </c>
      <c r="F1014">
        <v>46.233577728</v>
      </c>
      <c r="G1014">
        <v>1346.3913574000001</v>
      </c>
      <c r="H1014">
        <v>1342.3001709</v>
      </c>
      <c r="I1014">
        <v>1320.8123779</v>
      </c>
      <c r="J1014">
        <v>1316.4324951000001</v>
      </c>
      <c r="K1014">
        <v>2750</v>
      </c>
      <c r="L1014">
        <v>0</v>
      </c>
      <c r="M1014">
        <v>0</v>
      </c>
      <c r="N1014">
        <v>2750</v>
      </c>
    </row>
    <row r="1015" spans="1:14" x14ac:dyDescent="0.25">
      <c r="A1015">
        <v>412.53310499999998</v>
      </c>
      <c r="B1015" s="1">
        <f>DATE(2011,6,17) + TIME(12,47,40)</f>
        <v>40711.533101851855</v>
      </c>
      <c r="C1015">
        <v>80</v>
      </c>
      <c r="D1015">
        <v>79.957794188999998</v>
      </c>
      <c r="E1015">
        <v>50</v>
      </c>
      <c r="F1015">
        <v>46.201457976999997</v>
      </c>
      <c r="G1015">
        <v>1346.3835449000001</v>
      </c>
      <c r="H1015">
        <v>1342.2955322</v>
      </c>
      <c r="I1015">
        <v>1320.8051757999999</v>
      </c>
      <c r="J1015">
        <v>1316.421875</v>
      </c>
      <c r="K1015">
        <v>2750</v>
      </c>
      <c r="L1015">
        <v>0</v>
      </c>
      <c r="M1015">
        <v>0</v>
      </c>
      <c r="N1015">
        <v>2750</v>
      </c>
    </row>
    <row r="1016" spans="1:14" x14ac:dyDescent="0.25">
      <c r="A1016">
        <v>413.29311100000001</v>
      </c>
      <c r="B1016" s="1">
        <f>DATE(2011,6,18) + TIME(7,2,4)</f>
        <v>40712.29310185185</v>
      </c>
      <c r="C1016">
        <v>80</v>
      </c>
      <c r="D1016">
        <v>79.957771300999994</v>
      </c>
      <c r="E1016">
        <v>50</v>
      </c>
      <c r="F1016">
        <v>46.165039061999998</v>
      </c>
      <c r="G1016">
        <v>1346.3677978999999</v>
      </c>
      <c r="H1016">
        <v>1342.2860106999999</v>
      </c>
      <c r="I1016">
        <v>1320.7918701000001</v>
      </c>
      <c r="J1016">
        <v>1316.4040527</v>
      </c>
      <c r="K1016">
        <v>2750</v>
      </c>
      <c r="L1016">
        <v>0</v>
      </c>
      <c r="M1016">
        <v>0</v>
      </c>
      <c r="N1016">
        <v>2750</v>
      </c>
    </row>
    <row r="1017" spans="1:14" x14ac:dyDescent="0.25">
      <c r="A1017">
        <v>414.05873600000001</v>
      </c>
      <c r="B1017" s="1">
        <f>DATE(2011,6,19) + TIME(1,24,34)</f>
        <v>40713.05872685185</v>
      </c>
      <c r="C1017">
        <v>80</v>
      </c>
      <c r="D1017">
        <v>79.957740783999995</v>
      </c>
      <c r="E1017">
        <v>50</v>
      </c>
      <c r="F1017">
        <v>46.126457213999998</v>
      </c>
      <c r="G1017">
        <v>1346.3521728999999</v>
      </c>
      <c r="H1017">
        <v>1342.2766113</v>
      </c>
      <c r="I1017">
        <v>1320.7779541</v>
      </c>
      <c r="J1017">
        <v>1316.3852539</v>
      </c>
      <c r="K1017">
        <v>2750</v>
      </c>
      <c r="L1017">
        <v>0</v>
      </c>
      <c r="M1017">
        <v>0</v>
      </c>
      <c r="N1017">
        <v>2750</v>
      </c>
    </row>
    <row r="1018" spans="1:14" x14ac:dyDescent="0.25">
      <c r="A1018">
        <v>414.83562799999999</v>
      </c>
      <c r="B1018" s="1">
        <f>DATE(2011,6,19) + TIME(20,3,18)</f>
        <v>40713.835625</v>
      </c>
      <c r="C1018">
        <v>80</v>
      </c>
      <c r="D1018">
        <v>79.957717896000005</v>
      </c>
      <c r="E1018">
        <v>50</v>
      </c>
      <c r="F1018">
        <v>46.08663559</v>
      </c>
      <c r="G1018">
        <v>1346.3366699000001</v>
      </c>
      <c r="H1018">
        <v>1342.2672118999999</v>
      </c>
      <c r="I1018">
        <v>1320.7637939000001</v>
      </c>
      <c r="J1018">
        <v>1316.3657227000001</v>
      </c>
      <c r="K1018">
        <v>2750</v>
      </c>
      <c r="L1018">
        <v>0</v>
      </c>
      <c r="M1018">
        <v>0</v>
      </c>
      <c r="N1018">
        <v>2750</v>
      </c>
    </row>
    <row r="1019" spans="1:14" x14ac:dyDescent="0.25">
      <c r="A1019">
        <v>415.62647900000002</v>
      </c>
      <c r="B1019" s="1">
        <f>DATE(2011,6,20) + TIME(15,2,7)</f>
        <v>40714.626469907409</v>
      </c>
      <c r="C1019">
        <v>80</v>
      </c>
      <c r="D1019">
        <v>79.957687378000003</v>
      </c>
      <c r="E1019">
        <v>50</v>
      </c>
      <c r="F1019">
        <v>46.045978546000001</v>
      </c>
      <c r="G1019">
        <v>1346.3210449000001</v>
      </c>
      <c r="H1019">
        <v>1342.2578125</v>
      </c>
      <c r="I1019">
        <v>1320.7491454999999</v>
      </c>
      <c r="J1019">
        <v>1316.3455810999999</v>
      </c>
      <c r="K1019">
        <v>2750</v>
      </c>
      <c r="L1019">
        <v>0</v>
      </c>
      <c r="M1019">
        <v>0</v>
      </c>
      <c r="N1019">
        <v>2750</v>
      </c>
    </row>
    <row r="1020" spans="1:14" x14ac:dyDescent="0.25">
      <c r="A1020">
        <v>416.433965</v>
      </c>
      <c r="B1020" s="1">
        <f>DATE(2011,6,21) + TIME(10,24,54)</f>
        <v>40715.433958333335</v>
      </c>
      <c r="C1020">
        <v>80</v>
      </c>
      <c r="D1020">
        <v>79.95765686</v>
      </c>
      <c r="E1020">
        <v>50</v>
      </c>
      <c r="F1020">
        <v>46.004631042</v>
      </c>
      <c r="G1020">
        <v>1346.3054199000001</v>
      </c>
      <c r="H1020">
        <v>1342.2482910000001</v>
      </c>
      <c r="I1020">
        <v>1320.7340088000001</v>
      </c>
      <c r="J1020">
        <v>1316.324707</v>
      </c>
      <c r="K1020">
        <v>2750</v>
      </c>
      <c r="L1020">
        <v>0</v>
      </c>
      <c r="M1020">
        <v>0</v>
      </c>
      <c r="N1020">
        <v>2750</v>
      </c>
    </row>
    <row r="1021" spans="1:14" x14ac:dyDescent="0.25">
      <c r="A1021">
        <v>417.25985800000001</v>
      </c>
      <c r="B1021" s="1">
        <f>DATE(2011,6,22) + TIME(6,14,11)</f>
        <v>40716.25984953704</v>
      </c>
      <c r="C1021">
        <v>80</v>
      </c>
      <c r="D1021">
        <v>79.957633971999996</v>
      </c>
      <c r="E1021">
        <v>50</v>
      </c>
      <c r="F1021">
        <v>45.962627411</v>
      </c>
      <c r="G1021">
        <v>1346.2896728999999</v>
      </c>
      <c r="H1021">
        <v>1342.2387695</v>
      </c>
      <c r="I1021">
        <v>1320.7183838000001</v>
      </c>
      <c r="J1021">
        <v>1316.3029785000001</v>
      </c>
      <c r="K1021">
        <v>2750</v>
      </c>
      <c r="L1021">
        <v>0</v>
      </c>
      <c r="M1021">
        <v>0</v>
      </c>
      <c r="N1021">
        <v>2750</v>
      </c>
    </row>
    <row r="1022" spans="1:14" x14ac:dyDescent="0.25">
      <c r="A1022">
        <v>418.10001099999999</v>
      </c>
      <c r="B1022" s="1">
        <f>DATE(2011,6,23) + TIME(2,24,0)</f>
        <v>40717.1</v>
      </c>
      <c r="C1022">
        <v>80</v>
      </c>
      <c r="D1022">
        <v>79.957603454999997</v>
      </c>
      <c r="E1022">
        <v>50</v>
      </c>
      <c r="F1022">
        <v>45.920093536000003</v>
      </c>
      <c r="G1022">
        <v>1346.2738036999999</v>
      </c>
      <c r="H1022">
        <v>1342.229126</v>
      </c>
      <c r="I1022">
        <v>1320.7021483999999</v>
      </c>
      <c r="J1022">
        <v>1316.2805175999999</v>
      </c>
      <c r="K1022">
        <v>2750</v>
      </c>
      <c r="L1022">
        <v>0</v>
      </c>
      <c r="M1022">
        <v>0</v>
      </c>
      <c r="N1022">
        <v>2750</v>
      </c>
    </row>
    <row r="1023" spans="1:14" x14ac:dyDescent="0.25">
      <c r="A1023">
        <v>418.95691699999998</v>
      </c>
      <c r="B1023" s="1">
        <f>DATE(2011,6,23) + TIME(22,57,57)</f>
        <v>40717.956909722219</v>
      </c>
      <c r="C1023">
        <v>80</v>
      </c>
      <c r="D1023">
        <v>79.957580566000004</v>
      </c>
      <c r="E1023">
        <v>50</v>
      </c>
      <c r="F1023">
        <v>45.877037047999998</v>
      </c>
      <c r="G1023">
        <v>1346.2578125</v>
      </c>
      <c r="H1023">
        <v>1342.2193603999999</v>
      </c>
      <c r="I1023">
        <v>1320.6855469</v>
      </c>
      <c r="J1023">
        <v>1316.2573242000001</v>
      </c>
      <c r="K1023">
        <v>2750</v>
      </c>
      <c r="L1023">
        <v>0</v>
      </c>
      <c r="M1023">
        <v>0</v>
      </c>
      <c r="N1023">
        <v>2750</v>
      </c>
    </row>
    <row r="1024" spans="1:14" x14ac:dyDescent="0.25">
      <c r="A1024">
        <v>419.83349900000002</v>
      </c>
      <c r="B1024" s="1">
        <f>DATE(2011,6,24) + TIME(20,0,14)</f>
        <v>40718.833495370367</v>
      </c>
      <c r="C1024">
        <v>80</v>
      </c>
      <c r="D1024">
        <v>79.957550049000005</v>
      </c>
      <c r="E1024">
        <v>50</v>
      </c>
      <c r="F1024">
        <v>45.833396911999998</v>
      </c>
      <c r="G1024">
        <v>1346.2416992000001</v>
      </c>
      <c r="H1024">
        <v>1342.2094727000001</v>
      </c>
      <c r="I1024">
        <v>1320.6683350000001</v>
      </c>
      <c r="J1024">
        <v>1316.2332764</v>
      </c>
      <c r="K1024">
        <v>2750</v>
      </c>
      <c r="L1024">
        <v>0</v>
      </c>
      <c r="M1024">
        <v>0</v>
      </c>
      <c r="N1024">
        <v>2750</v>
      </c>
    </row>
    <row r="1025" spans="1:14" x14ac:dyDescent="0.25">
      <c r="A1025">
        <v>420.73294900000002</v>
      </c>
      <c r="B1025" s="1">
        <f>DATE(2011,6,25) + TIME(17,35,26)</f>
        <v>40719.732939814814</v>
      </c>
      <c r="C1025">
        <v>80</v>
      </c>
      <c r="D1025">
        <v>79.957527161000002</v>
      </c>
      <c r="E1025">
        <v>50</v>
      </c>
      <c r="F1025">
        <v>45.7890625</v>
      </c>
      <c r="G1025">
        <v>1346.2254639</v>
      </c>
      <c r="H1025">
        <v>1342.1994629000001</v>
      </c>
      <c r="I1025">
        <v>1320.6505127</v>
      </c>
      <c r="J1025">
        <v>1316.208374</v>
      </c>
      <c r="K1025">
        <v>2750</v>
      </c>
      <c r="L1025">
        <v>0</v>
      </c>
      <c r="M1025">
        <v>0</v>
      </c>
      <c r="N1025">
        <v>2750</v>
      </c>
    </row>
    <row r="1026" spans="1:14" x14ac:dyDescent="0.25">
      <c r="A1026">
        <v>421.19582200000002</v>
      </c>
      <c r="B1026" s="1">
        <f>DATE(2011,6,26) + TIME(4,41,59)</f>
        <v>40720.195821759262</v>
      </c>
      <c r="C1026">
        <v>80</v>
      </c>
      <c r="D1026">
        <v>79.957496642999999</v>
      </c>
      <c r="E1026">
        <v>50</v>
      </c>
      <c r="F1026">
        <v>45.758071899000001</v>
      </c>
      <c r="G1026">
        <v>1346.2088623</v>
      </c>
      <c r="H1026">
        <v>1342.1893310999999</v>
      </c>
      <c r="I1026">
        <v>1320.6326904</v>
      </c>
      <c r="J1026">
        <v>1316.1844481999999</v>
      </c>
      <c r="K1026">
        <v>2750</v>
      </c>
      <c r="L1026">
        <v>0</v>
      </c>
      <c r="M1026">
        <v>0</v>
      </c>
      <c r="N1026">
        <v>2750</v>
      </c>
    </row>
    <row r="1027" spans="1:14" x14ac:dyDescent="0.25">
      <c r="A1027">
        <v>421.65869500000002</v>
      </c>
      <c r="B1027" s="1">
        <f>DATE(2011,6,26) + TIME(15,48,31)</f>
        <v>40720.658692129633</v>
      </c>
      <c r="C1027">
        <v>80</v>
      </c>
      <c r="D1027">
        <v>79.957473754999995</v>
      </c>
      <c r="E1027">
        <v>50</v>
      </c>
      <c r="F1027">
        <v>45.730098724000001</v>
      </c>
      <c r="G1027">
        <v>1346.2004394999999</v>
      </c>
      <c r="H1027">
        <v>1342.184082</v>
      </c>
      <c r="I1027">
        <v>1320.6221923999999</v>
      </c>
      <c r="J1027">
        <v>1316.1693115</v>
      </c>
      <c r="K1027">
        <v>2750</v>
      </c>
      <c r="L1027">
        <v>0</v>
      </c>
      <c r="M1027">
        <v>0</v>
      </c>
      <c r="N1027">
        <v>2750</v>
      </c>
    </row>
    <row r="1028" spans="1:14" x14ac:dyDescent="0.25">
      <c r="A1028">
        <v>422.12156800000002</v>
      </c>
      <c r="B1028" s="1">
        <f>DATE(2011,6,27) + TIME(2,55,3)</f>
        <v>40721.121562499997</v>
      </c>
      <c r="C1028">
        <v>80</v>
      </c>
      <c r="D1028">
        <v>79.957458496000001</v>
      </c>
      <c r="E1028">
        <v>50</v>
      </c>
      <c r="F1028">
        <v>45.704051970999998</v>
      </c>
      <c r="G1028">
        <v>1346.1921387</v>
      </c>
      <c r="H1028">
        <v>1342.1789550999999</v>
      </c>
      <c r="I1028">
        <v>1320.6120605000001</v>
      </c>
      <c r="J1028">
        <v>1316.1547852000001</v>
      </c>
      <c r="K1028">
        <v>2750</v>
      </c>
      <c r="L1028">
        <v>0</v>
      </c>
      <c r="M1028">
        <v>0</v>
      </c>
      <c r="N1028">
        <v>2750</v>
      </c>
    </row>
    <row r="1029" spans="1:14" x14ac:dyDescent="0.25">
      <c r="A1029">
        <v>422.58444200000002</v>
      </c>
      <c r="B1029" s="1">
        <f>DATE(2011,6,27) + TIME(14,1,35)</f>
        <v>40721.584432870368</v>
      </c>
      <c r="C1029">
        <v>80</v>
      </c>
      <c r="D1029">
        <v>79.957443237000007</v>
      </c>
      <c r="E1029">
        <v>50</v>
      </c>
      <c r="F1029">
        <v>45.679237366000002</v>
      </c>
      <c r="G1029">
        <v>1346.1838379000001</v>
      </c>
      <c r="H1029">
        <v>1342.1738281</v>
      </c>
      <c r="I1029">
        <v>1320.6019286999999</v>
      </c>
      <c r="J1029">
        <v>1316.1403809000001</v>
      </c>
      <c r="K1029">
        <v>2750</v>
      </c>
      <c r="L1029">
        <v>0</v>
      </c>
      <c r="M1029">
        <v>0</v>
      </c>
      <c r="N1029">
        <v>2750</v>
      </c>
    </row>
    <row r="1030" spans="1:14" x14ac:dyDescent="0.25">
      <c r="A1030">
        <v>423.04731500000003</v>
      </c>
      <c r="B1030" s="1">
        <f>DATE(2011,6,28) + TIME(1,8,7)</f>
        <v>40722.047303240739</v>
      </c>
      <c r="C1030">
        <v>80</v>
      </c>
      <c r="D1030">
        <v>79.957427979000002</v>
      </c>
      <c r="E1030">
        <v>50</v>
      </c>
      <c r="F1030">
        <v>45.655227660999998</v>
      </c>
      <c r="G1030">
        <v>1346.1756591999999</v>
      </c>
      <c r="H1030">
        <v>1342.1688231999999</v>
      </c>
      <c r="I1030">
        <v>1320.5919189000001</v>
      </c>
      <c r="J1030">
        <v>1316.1260986</v>
      </c>
      <c r="K1030">
        <v>2750</v>
      </c>
      <c r="L1030">
        <v>0</v>
      </c>
      <c r="M1030">
        <v>0</v>
      </c>
      <c r="N1030">
        <v>2750</v>
      </c>
    </row>
    <row r="1031" spans="1:14" x14ac:dyDescent="0.25">
      <c r="A1031">
        <v>423.51018800000003</v>
      </c>
      <c r="B1031" s="1">
        <f>DATE(2011,6,28) + TIME(12,14,40)</f>
        <v>40722.510185185187</v>
      </c>
      <c r="C1031">
        <v>80</v>
      </c>
      <c r="D1031">
        <v>79.957420349000003</v>
      </c>
      <c r="E1031">
        <v>50</v>
      </c>
      <c r="F1031">
        <v>45.631748199</v>
      </c>
      <c r="G1031">
        <v>1346.1676024999999</v>
      </c>
      <c r="H1031">
        <v>1342.1636963000001</v>
      </c>
      <c r="I1031">
        <v>1320.5819091999999</v>
      </c>
      <c r="J1031">
        <v>1316.1119385</v>
      </c>
      <c r="K1031">
        <v>2750</v>
      </c>
      <c r="L1031">
        <v>0</v>
      </c>
      <c r="M1031">
        <v>0</v>
      </c>
      <c r="N1031">
        <v>2750</v>
      </c>
    </row>
    <row r="1032" spans="1:14" x14ac:dyDescent="0.25">
      <c r="A1032">
        <v>423.97306099999997</v>
      </c>
      <c r="B1032" s="1">
        <f>DATE(2011,6,28) + TIME(23,21,12)</f>
        <v>40722.973055555558</v>
      </c>
      <c r="C1032">
        <v>80</v>
      </c>
      <c r="D1032">
        <v>79.957405089999995</v>
      </c>
      <c r="E1032">
        <v>50</v>
      </c>
      <c r="F1032">
        <v>45.608631133999999</v>
      </c>
      <c r="G1032">
        <v>1346.1594238</v>
      </c>
      <c r="H1032">
        <v>1342.1586914</v>
      </c>
      <c r="I1032">
        <v>1320.5718993999999</v>
      </c>
      <c r="J1032">
        <v>1316.0976562000001</v>
      </c>
      <c r="K1032">
        <v>2750</v>
      </c>
      <c r="L1032">
        <v>0</v>
      </c>
      <c r="M1032">
        <v>0</v>
      </c>
      <c r="N1032">
        <v>2750</v>
      </c>
    </row>
    <row r="1033" spans="1:14" x14ac:dyDescent="0.25">
      <c r="A1033">
        <v>424.43593399999997</v>
      </c>
      <c r="B1033" s="1">
        <f>DATE(2011,6,29) + TIME(10,27,44)</f>
        <v>40723.435925925929</v>
      </c>
      <c r="C1033">
        <v>80</v>
      </c>
      <c r="D1033">
        <v>79.957397460999999</v>
      </c>
      <c r="E1033">
        <v>50</v>
      </c>
      <c r="F1033">
        <v>45.585769653</v>
      </c>
      <c r="G1033">
        <v>1346.1513672000001</v>
      </c>
      <c r="H1033">
        <v>1342.1536865</v>
      </c>
      <c r="I1033">
        <v>1320.5617675999999</v>
      </c>
      <c r="J1033">
        <v>1316.083374</v>
      </c>
      <c r="K1033">
        <v>2750</v>
      </c>
      <c r="L1033">
        <v>0</v>
      </c>
      <c r="M1033">
        <v>0</v>
      </c>
      <c r="N1033">
        <v>2750</v>
      </c>
    </row>
    <row r="1034" spans="1:14" x14ac:dyDescent="0.25">
      <c r="A1034">
        <v>424.89880699999998</v>
      </c>
      <c r="B1034" s="1">
        <f>DATE(2011,6,29) + TIME(21,34,16)</f>
        <v>40723.898796296293</v>
      </c>
      <c r="C1034">
        <v>80</v>
      </c>
      <c r="D1034">
        <v>79.957382202000005</v>
      </c>
      <c r="E1034">
        <v>50</v>
      </c>
      <c r="F1034">
        <v>45.563095093000001</v>
      </c>
      <c r="G1034">
        <v>1346.1434326000001</v>
      </c>
      <c r="H1034">
        <v>1342.1486815999999</v>
      </c>
      <c r="I1034">
        <v>1320.5516356999999</v>
      </c>
      <c r="J1034">
        <v>1316.0690918</v>
      </c>
      <c r="K1034">
        <v>2750</v>
      </c>
      <c r="L1034">
        <v>0</v>
      </c>
      <c r="M1034">
        <v>0</v>
      </c>
      <c r="N1034">
        <v>2750</v>
      </c>
    </row>
    <row r="1035" spans="1:14" x14ac:dyDescent="0.25">
      <c r="A1035">
        <v>425.36168099999998</v>
      </c>
      <c r="B1035" s="1">
        <f>DATE(2011,6,30) + TIME(8,40,49)</f>
        <v>40724.361678240741</v>
      </c>
      <c r="C1035">
        <v>80</v>
      </c>
      <c r="D1035">
        <v>79.957374572999996</v>
      </c>
      <c r="E1035">
        <v>50</v>
      </c>
      <c r="F1035">
        <v>45.540565491000002</v>
      </c>
      <c r="G1035">
        <v>1346.1354980000001</v>
      </c>
      <c r="H1035">
        <v>1342.1437988</v>
      </c>
      <c r="I1035">
        <v>1320.5415039</v>
      </c>
      <c r="J1035">
        <v>1316.0545654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426</v>
      </c>
      <c r="B1036" s="1">
        <f>DATE(2011,7,1) + TIME(0,0,0)</f>
        <v>40725</v>
      </c>
      <c r="C1036">
        <v>80</v>
      </c>
      <c r="D1036">
        <v>79.957366942999997</v>
      </c>
      <c r="E1036">
        <v>50</v>
      </c>
      <c r="F1036">
        <v>45.513488770000002</v>
      </c>
      <c r="G1036">
        <v>1346.1276855000001</v>
      </c>
      <c r="H1036">
        <v>1342.1387939000001</v>
      </c>
      <c r="I1036">
        <v>1320.5310059000001</v>
      </c>
      <c r="J1036">
        <v>1316.0393065999999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426.925746</v>
      </c>
      <c r="B1037" s="1">
        <f>DATE(2011,7,1) + TIME(22,13,4)</f>
        <v>40725.925740740742</v>
      </c>
      <c r="C1037">
        <v>80</v>
      </c>
      <c r="D1037">
        <v>79.957359314000001</v>
      </c>
      <c r="E1037">
        <v>50</v>
      </c>
      <c r="F1037">
        <v>45.478973388999997</v>
      </c>
      <c r="G1037">
        <v>1346.1169434000001</v>
      </c>
      <c r="H1037">
        <v>1342.1322021000001</v>
      </c>
      <c r="I1037">
        <v>1320.5168457</v>
      </c>
      <c r="J1037">
        <v>1316.019043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427.86309699999998</v>
      </c>
      <c r="B1038" s="1">
        <f>DATE(2011,7,2) + TIME(20,42,51)</f>
        <v>40726.86309027778</v>
      </c>
      <c r="C1038">
        <v>80</v>
      </c>
      <c r="D1038">
        <v>79.957344054999993</v>
      </c>
      <c r="E1038">
        <v>50</v>
      </c>
      <c r="F1038">
        <v>45.439037323000001</v>
      </c>
      <c r="G1038">
        <v>1346.1013184000001</v>
      </c>
      <c r="H1038">
        <v>1342.1224365</v>
      </c>
      <c r="I1038">
        <v>1320.4971923999999</v>
      </c>
      <c r="J1038">
        <v>1315.9915771000001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428.81903299999999</v>
      </c>
      <c r="B1039" s="1">
        <f>DATE(2011,7,3) + TIME(19,39,24)</f>
        <v>40727.819027777776</v>
      </c>
      <c r="C1039">
        <v>80</v>
      </c>
      <c r="D1039">
        <v>79.957328795999999</v>
      </c>
      <c r="E1039">
        <v>50</v>
      </c>
      <c r="F1039">
        <v>45.396308898999997</v>
      </c>
      <c r="G1039">
        <v>1346.0858154</v>
      </c>
      <c r="H1039">
        <v>1342.1126709</v>
      </c>
      <c r="I1039">
        <v>1320.4765625</v>
      </c>
      <c r="J1039">
        <v>1315.9622803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429.793971</v>
      </c>
      <c r="B1040" s="1">
        <f>DATE(2011,7,4) + TIME(19,3,19)</f>
        <v>40728.793969907405</v>
      </c>
      <c r="C1040">
        <v>80</v>
      </c>
      <c r="D1040">
        <v>79.957313537999994</v>
      </c>
      <c r="E1040">
        <v>50</v>
      </c>
      <c r="F1040">
        <v>45.351951599000003</v>
      </c>
      <c r="G1040">
        <v>1346.0701904</v>
      </c>
      <c r="H1040">
        <v>1342.1027832</v>
      </c>
      <c r="I1040">
        <v>1320.4549560999999</v>
      </c>
      <c r="J1040">
        <v>1315.9316406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430.78720299999998</v>
      </c>
      <c r="B1041" s="1">
        <f>DATE(2011,7,5) + TIME(18,53,34)</f>
        <v>40729.787199074075</v>
      </c>
      <c r="C1041">
        <v>80</v>
      </c>
      <c r="D1041">
        <v>79.957290649000001</v>
      </c>
      <c r="E1041">
        <v>50</v>
      </c>
      <c r="F1041">
        <v>45.306518554999997</v>
      </c>
      <c r="G1041">
        <v>1346.0544434000001</v>
      </c>
      <c r="H1041">
        <v>1342.0928954999999</v>
      </c>
      <c r="I1041">
        <v>1320.4326172000001</v>
      </c>
      <c r="J1041">
        <v>1315.8997803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431.79798199999999</v>
      </c>
      <c r="B1042" s="1">
        <f>DATE(2011,7,6) + TIME(19,9,5)</f>
        <v>40730.797974537039</v>
      </c>
      <c r="C1042">
        <v>80</v>
      </c>
      <c r="D1042">
        <v>79.957275390999996</v>
      </c>
      <c r="E1042">
        <v>50</v>
      </c>
      <c r="F1042">
        <v>45.260276793999999</v>
      </c>
      <c r="G1042">
        <v>1346.0385742000001</v>
      </c>
      <c r="H1042">
        <v>1342.0827637</v>
      </c>
      <c r="I1042">
        <v>1320.409668</v>
      </c>
      <c r="J1042">
        <v>1315.8668213000001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432.83152999999999</v>
      </c>
      <c r="B1043" s="1">
        <f>DATE(2011,7,7) + TIME(19,57,24)</f>
        <v>40731.83152777778</v>
      </c>
      <c r="C1043">
        <v>80</v>
      </c>
      <c r="D1043">
        <v>79.957260132000002</v>
      </c>
      <c r="E1043">
        <v>50</v>
      </c>
      <c r="F1043">
        <v>45.213249206999997</v>
      </c>
      <c r="G1043">
        <v>1346.0225829999999</v>
      </c>
      <c r="H1043">
        <v>1342.0727539</v>
      </c>
      <c r="I1043">
        <v>1320.3859863</v>
      </c>
      <c r="J1043">
        <v>1315.8328856999999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433.88627600000001</v>
      </c>
      <c r="B1044" s="1">
        <f>DATE(2011,7,8) + TIME(21,16,14)</f>
        <v>40732.886273148149</v>
      </c>
      <c r="C1044">
        <v>80</v>
      </c>
      <c r="D1044">
        <v>79.957244872999993</v>
      </c>
      <c r="E1044">
        <v>50</v>
      </c>
      <c r="F1044">
        <v>45.165439606</v>
      </c>
      <c r="G1044">
        <v>1346.0064697</v>
      </c>
      <c r="H1044">
        <v>1342.0625</v>
      </c>
      <c r="I1044">
        <v>1320.3615723</v>
      </c>
      <c r="J1044">
        <v>1315.7976074000001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434.966048</v>
      </c>
      <c r="B1045" s="1">
        <f>DATE(2011,7,9) + TIME(23,11,6)</f>
        <v>40733.966041666667</v>
      </c>
      <c r="C1045">
        <v>80</v>
      </c>
      <c r="D1045">
        <v>79.957229613999999</v>
      </c>
      <c r="E1045">
        <v>50</v>
      </c>
      <c r="F1045">
        <v>45.116790770999998</v>
      </c>
      <c r="G1045">
        <v>1345.9902344</v>
      </c>
      <c r="H1045">
        <v>1342.052124</v>
      </c>
      <c r="I1045">
        <v>1320.3363036999999</v>
      </c>
      <c r="J1045">
        <v>1315.7613524999999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435.50868600000001</v>
      </c>
      <c r="B1046" s="1">
        <f>DATE(2011,7,10) + TIME(12,12,30)</f>
        <v>40734.508680555555</v>
      </c>
      <c r="C1046">
        <v>80</v>
      </c>
      <c r="D1046">
        <v>79.957206725999995</v>
      </c>
      <c r="E1046">
        <v>50</v>
      </c>
      <c r="F1046">
        <v>45.081993103000002</v>
      </c>
      <c r="G1046">
        <v>1345.9737548999999</v>
      </c>
      <c r="H1046">
        <v>1342.0415039</v>
      </c>
      <c r="I1046">
        <v>1320.3115233999999</v>
      </c>
      <c r="J1046">
        <v>1315.7266846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436.05132500000002</v>
      </c>
      <c r="B1047" s="1">
        <f>DATE(2011,7,11) + TIME(1,13,54)</f>
        <v>40735.051319444443</v>
      </c>
      <c r="C1047">
        <v>80</v>
      </c>
      <c r="D1047">
        <v>79.957191467000001</v>
      </c>
      <c r="E1047">
        <v>50</v>
      </c>
      <c r="F1047">
        <v>45.051357269</v>
      </c>
      <c r="G1047">
        <v>1345.9655762</v>
      </c>
      <c r="H1047">
        <v>1342.0362548999999</v>
      </c>
      <c r="I1047">
        <v>1320.296875</v>
      </c>
      <c r="J1047">
        <v>1315.7048339999999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436.59396400000003</v>
      </c>
      <c r="B1048" s="1">
        <f>DATE(2011,7,11) + TIME(14,15,18)</f>
        <v>40735.593958333331</v>
      </c>
      <c r="C1048">
        <v>80</v>
      </c>
      <c r="D1048">
        <v>79.957176208000007</v>
      </c>
      <c r="E1048">
        <v>50</v>
      </c>
      <c r="F1048">
        <v>45.023174286</v>
      </c>
      <c r="G1048">
        <v>1345.9575195</v>
      </c>
      <c r="H1048">
        <v>1342.0311279</v>
      </c>
      <c r="I1048">
        <v>1320.2828368999999</v>
      </c>
      <c r="J1048">
        <v>1315.6839600000001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437.13660299999998</v>
      </c>
      <c r="B1049" s="1">
        <f>DATE(2011,7,12) + TIME(3,16,42)</f>
        <v>40736.136597222219</v>
      </c>
      <c r="C1049">
        <v>80</v>
      </c>
      <c r="D1049">
        <v>79.957168578999998</v>
      </c>
      <c r="E1049">
        <v>50</v>
      </c>
      <c r="F1049">
        <v>44.996433258000003</v>
      </c>
      <c r="G1049">
        <v>1345.9494629000001</v>
      </c>
      <c r="H1049">
        <v>1342.0258789</v>
      </c>
      <c r="I1049">
        <v>1320.2689209</v>
      </c>
      <c r="J1049">
        <v>1315.6635742000001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437.67924099999999</v>
      </c>
      <c r="B1050" s="1">
        <f>DATE(2011,7,12) + TIME(16,18,6)</f>
        <v>40736.679236111115</v>
      </c>
      <c r="C1050">
        <v>80</v>
      </c>
      <c r="D1050">
        <v>79.957160950000002</v>
      </c>
      <c r="E1050">
        <v>50</v>
      </c>
      <c r="F1050">
        <v>44.970558167</v>
      </c>
      <c r="G1050">
        <v>1345.9415283000001</v>
      </c>
      <c r="H1050">
        <v>1342.0207519999999</v>
      </c>
      <c r="I1050">
        <v>1320.255249</v>
      </c>
      <c r="J1050">
        <v>1315.6434326000001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438.22188</v>
      </c>
      <c r="B1051" s="1">
        <f>DATE(2011,7,13) + TIME(5,19,30)</f>
        <v>40737.221875000003</v>
      </c>
      <c r="C1051">
        <v>80</v>
      </c>
      <c r="D1051">
        <v>79.957153320000003</v>
      </c>
      <c r="E1051">
        <v>50</v>
      </c>
      <c r="F1051">
        <v>44.945201873999999</v>
      </c>
      <c r="G1051">
        <v>1345.9335937999999</v>
      </c>
      <c r="H1051">
        <v>1342.015625</v>
      </c>
      <c r="I1051">
        <v>1320.2415771000001</v>
      </c>
      <c r="J1051">
        <v>1315.6235352000001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438.76451900000001</v>
      </c>
      <c r="B1052" s="1">
        <f>DATE(2011,7,13) + TIME(18,20,54)</f>
        <v>40737.764513888891</v>
      </c>
      <c r="C1052">
        <v>80</v>
      </c>
      <c r="D1052">
        <v>79.957145690999994</v>
      </c>
      <c r="E1052">
        <v>50</v>
      </c>
      <c r="F1052">
        <v>44.920162200999997</v>
      </c>
      <c r="G1052">
        <v>1345.9256591999999</v>
      </c>
      <c r="H1052">
        <v>1342.0104980000001</v>
      </c>
      <c r="I1052">
        <v>1320.2280272999999</v>
      </c>
      <c r="J1052">
        <v>1315.6035156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439.84979600000003</v>
      </c>
      <c r="B1053" s="1">
        <f>DATE(2011,7,14) + TIME(20,23,42)</f>
        <v>40738.849791666667</v>
      </c>
      <c r="C1053">
        <v>80</v>
      </c>
      <c r="D1053">
        <v>79.957153320000003</v>
      </c>
      <c r="E1053">
        <v>50</v>
      </c>
      <c r="F1053">
        <v>44.885074615000001</v>
      </c>
      <c r="G1053">
        <v>1345.9179687999999</v>
      </c>
      <c r="H1053">
        <v>1342.0054932</v>
      </c>
      <c r="I1053">
        <v>1320.2133789</v>
      </c>
      <c r="J1053">
        <v>1315.5812988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440.93563899999998</v>
      </c>
      <c r="B1054" s="1">
        <f>DATE(2011,7,15) + TIME(22,27,19)</f>
        <v>40739.935636574075</v>
      </c>
      <c r="C1054">
        <v>80</v>
      </c>
      <c r="D1054">
        <v>79.957153320000003</v>
      </c>
      <c r="E1054">
        <v>50</v>
      </c>
      <c r="F1054">
        <v>44.841804504000002</v>
      </c>
      <c r="G1054">
        <v>1345.9023437999999</v>
      </c>
      <c r="H1054">
        <v>1341.9953613</v>
      </c>
      <c r="I1054">
        <v>1320.1879882999999</v>
      </c>
      <c r="J1054">
        <v>1315.5449219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442.03383500000001</v>
      </c>
      <c r="B1055" s="1">
        <f>DATE(2011,7,17) + TIME(0,48,43)</f>
        <v>40741.033831018518</v>
      </c>
      <c r="C1055">
        <v>80</v>
      </c>
      <c r="D1055">
        <v>79.957145690999994</v>
      </c>
      <c r="E1055">
        <v>50</v>
      </c>
      <c r="F1055">
        <v>44.795001984000002</v>
      </c>
      <c r="G1055">
        <v>1345.8869629000001</v>
      </c>
      <c r="H1055">
        <v>1341.9853516000001</v>
      </c>
      <c r="I1055">
        <v>1320.1612548999999</v>
      </c>
      <c r="J1055">
        <v>1315.5059814000001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443.15511199999997</v>
      </c>
      <c r="B1056" s="1">
        <f>DATE(2011,7,18) + TIME(3,43,21)</f>
        <v>40742.155104166668</v>
      </c>
      <c r="C1056">
        <v>80</v>
      </c>
      <c r="D1056">
        <v>79.957138061999999</v>
      </c>
      <c r="E1056">
        <v>50</v>
      </c>
      <c r="F1056">
        <v>44.746273041000002</v>
      </c>
      <c r="G1056">
        <v>1345.8714600000001</v>
      </c>
      <c r="H1056">
        <v>1341.9753418</v>
      </c>
      <c r="I1056">
        <v>1320.1335449000001</v>
      </c>
      <c r="J1056">
        <v>1315.4654541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444.305722</v>
      </c>
      <c r="B1057" s="1">
        <f>DATE(2011,7,19) + TIME(7,20,14)</f>
        <v>40743.305717592593</v>
      </c>
      <c r="C1057">
        <v>80</v>
      </c>
      <c r="D1057">
        <v>79.957122803000004</v>
      </c>
      <c r="E1057">
        <v>50</v>
      </c>
      <c r="F1057">
        <v>44.696079253999997</v>
      </c>
      <c r="G1057">
        <v>1345.855957</v>
      </c>
      <c r="H1057">
        <v>1341.9652100000001</v>
      </c>
      <c r="I1057">
        <v>1320.1049805</v>
      </c>
      <c r="J1057">
        <v>1315.4232178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445.470416</v>
      </c>
      <c r="B1058" s="1">
        <f>DATE(2011,7,20) + TIME(11,17,23)</f>
        <v>40744.470405092594</v>
      </c>
      <c r="C1058">
        <v>80</v>
      </c>
      <c r="D1058">
        <v>79.957115173000005</v>
      </c>
      <c r="E1058">
        <v>50</v>
      </c>
      <c r="F1058">
        <v>44.644813538000001</v>
      </c>
      <c r="G1058">
        <v>1345.8402100000001</v>
      </c>
      <c r="H1058">
        <v>1341.9548339999999</v>
      </c>
      <c r="I1058">
        <v>1320.0754394999999</v>
      </c>
      <c r="J1058">
        <v>1315.3796387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446.65123299999999</v>
      </c>
      <c r="B1059" s="1">
        <f>DATE(2011,7,21) + TIME(15,37,46)</f>
        <v>40745.651226851849</v>
      </c>
      <c r="C1059">
        <v>80</v>
      </c>
      <c r="D1059">
        <v>79.957107543999996</v>
      </c>
      <c r="E1059">
        <v>50</v>
      </c>
      <c r="F1059">
        <v>44.592746734999999</v>
      </c>
      <c r="G1059">
        <v>1345.8244629000001</v>
      </c>
      <c r="H1059">
        <v>1341.9444579999999</v>
      </c>
      <c r="I1059">
        <v>1320.0451660000001</v>
      </c>
      <c r="J1059">
        <v>1315.3349608999999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447.862888</v>
      </c>
      <c r="B1060" s="1">
        <f>DATE(2011,7,22) + TIME(20,42,33)</f>
        <v>40746.862881944442</v>
      </c>
      <c r="C1060">
        <v>80</v>
      </c>
      <c r="D1060">
        <v>79.957107543999996</v>
      </c>
      <c r="E1060">
        <v>50</v>
      </c>
      <c r="F1060">
        <v>44.539718628000003</v>
      </c>
      <c r="G1060">
        <v>1345.8087158000001</v>
      </c>
      <c r="H1060">
        <v>1341.934082</v>
      </c>
      <c r="I1060">
        <v>1320.0144043</v>
      </c>
      <c r="J1060">
        <v>1315.2890625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449.11046599999997</v>
      </c>
      <c r="B1061" s="1">
        <f>DATE(2011,7,24) + TIME(2,39,4)</f>
        <v>40748.110462962963</v>
      </c>
      <c r="C1061">
        <v>80</v>
      </c>
      <c r="D1061">
        <v>79.957099915000001</v>
      </c>
      <c r="E1061">
        <v>50</v>
      </c>
      <c r="F1061">
        <v>44.485431671000001</v>
      </c>
      <c r="G1061">
        <v>1345.7926024999999</v>
      </c>
      <c r="H1061">
        <v>1341.9234618999999</v>
      </c>
      <c r="I1061">
        <v>1319.9825439000001</v>
      </c>
      <c r="J1061">
        <v>1315.2416992000001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449.737753</v>
      </c>
      <c r="B1062" s="1">
        <f>DATE(2011,7,24) + TIME(17,42,21)</f>
        <v>40748.737743055557</v>
      </c>
      <c r="C1062">
        <v>80</v>
      </c>
      <c r="D1062">
        <v>79.957077025999993</v>
      </c>
      <c r="E1062">
        <v>50</v>
      </c>
      <c r="F1062">
        <v>44.445198058999999</v>
      </c>
      <c r="G1062">
        <v>1345.7762451000001</v>
      </c>
      <c r="H1062">
        <v>1341.9125977000001</v>
      </c>
      <c r="I1062">
        <v>1319.9514160000001</v>
      </c>
      <c r="J1062">
        <v>1315.1966553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450.36504000000002</v>
      </c>
      <c r="B1063" s="1">
        <f>DATE(2011,7,25) + TIME(8,45,39)</f>
        <v>40749.365034722221</v>
      </c>
      <c r="C1063">
        <v>80</v>
      </c>
      <c r="D1063">
        <v>79.957069396999998</v>
      </c>
      <c r="E1063">
        <v>50</v>
      </c>
      <c r="F1063">
        <v>44.410556792999998</v>
      </c>
      <c r="G1063">
        <v>1345.7681885</v>
      </c>
      <c r="H1063">
        <v>1341.9071045000001</v>
      </c>
      <c r="I1063">
        <v>1319.9326172000001</v>
      </c>
      <c r="J1063">
        <v>1315.1676024999999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450.99232699999999</v>
      </c>
      <c r="B1064" s="1">
        <f>DATE(2011,7,25) + TIME(23,48,57)</f>
        <v>40749.992326388892</v>
      </c>
      <c r="C1064">
        <v>80</v>
      </c>
      <c r="D1064">
        <v>79.957061768000003</v>
      </c>
      <c r="E1064">
        <v>50</v>
      </c>
      <c r="F1064">
        <v>44.378967285000002</v>
      </c>
      <c r="G1064">
        <v>1345.7601318</v>
      </c>
      <c r="H1064">
        <v>1341.9017334</v>
      </c>
      <c r="I1064">
        <v>1319.9147949000001</v>
      </c>
      <c r="J1064">
        <v>1315.1403809000001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451.61961500000001</v>
      </c>
      <c r="B1065" s="1">
        <f>DATE(2011,7,26) + TIME(14,52,14)</f>
        <v>40750.619606481479</v>
      </c>
      <c r="C1065">
        <v>80</v>
      </c>
      <c r="D1065">
        <v>79.957061768000003</v>
      </c>
      <c r="E1065">
        <v>50</v>
      </c>
      <c r="F1065">
        <v>44.349044800000001</v>
      </c>
      <c r="G1065">
        <v>1345.7520752</v>
      </c>
      <c r="H1065">
        <v>1341.8964844</v>
      </c>
      <c r="I1065">
        <v>1319.8974608999999</v>
      </c>
      <c r="J1065">
        <v>1315.1140137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452.24690199999998</v>
      </c>
      <c r="B1066" s="1">
        <f>DATE(2011,7,27) + TIME(5,55,32)</f>
        <v>40751.246898148151</v>
      </c>
      <c r="C1066">
        <v>80</v>
      </c>
      <c r="D1066">
        <v>79.957061768000003</v>
      </c>
      <c r="E1066">
        <v>50</v>
      </c>
      <c r="F1066">
        <v>44.320041656000001</v>
      </c>
      <c r="G1066">
        <v>1345.7441406</v>
      </c>
      <c r="H1066">
        <v>1341.8911132999999</v>
      </c>
      <c r="I1066">
        <v>1319.880249</v>
      </c>
      <c r="J1066">
        <v>1315.0881348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453.50147600000003</v>
      </c>
      <c r="B1067" s="1">
        <f>DATE(2011,7,28) + TIME(12,2,7)</f>
        <v>40752.501469907409</v>
      </c>
      <c r="C1067">
        <v>80</v>
      </c>
      <c r="D1067">
        <v>79.957077025999993</v>
      </c>
      <c r="E1067">
        <v>50</v>
      </c>
      <c r="F1067">
        <v>44.280963898000003</v>
      </c>
      <c r="G1067">
        <v>1345.7363281</v>
      </c>
      <c r="H1067">
        <v>1341.8858643000001</v>
      </c>
      <c r="I1067">
        <v>1319.8620605000001</v>
      </c>
      <c r="J1067">
        <v>1315.0595702999999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454.75688300000002</v>
      </c>
      <c r="B1068" s="1">
        <f>DATE(2011,7,29) + TIME(18,9,54)</f>
        <v>40753.756874999999</v>
      </c>
      <c r="C1068">
        <v>80</v>
      </c>
      <c r="D1068">
        <v>79.957077025999993</v>
      </c>
      <c r="E1068">
        <v>50</v>
      </c>
      <c r="F1068">
        <v>44.231502532999997</v>
      </c>
      <c r="G1068">
        <v>1345.7207031</v>
      </c>
      <c r="H1068">
        <v>1341.8753661999999</v>
      </c>
      <c r="I1068">
        <v>1319.8311768000001</v>
      </c>
      <c r="J1068">
        <v>1315.0135498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456.02597800000001</v>
      </c>
      <c r="B1069" s="1">
        <f>DATE(2011,7,31) + TIME(0,37,24)</f>
        <v>40755.025972222225</v>
      </c>
      <c r="C1069">
        <v>80</v>
      </c>
      <c r="D1069">
        <v>79.957077025999993</v>
      </c>
      <c r="E1069">
        <v>50</v>
      </c>
      <c r="F1069">
        <v>44.178066254000001</v>
      </c>
      <c r="G1069">
        <v>1345.7052002</v>
      </c>
      <c r="H1069">
        <v>1341.8648682</v>
      </c>
      <c r="I1069">
        <v>1319.7983397999999</v>
      </c>
      <c r="J1069">
        <v>1314.9641113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457</v>
      </c>
      <c r="B1070" s="1">
        <f>DATE(2011,8,1) + TIME(0,0,0)</f>
        <v>40756</v>
      </c>
      <c r="C1070">
        <v>80</v>
      </c>
      <c r="D1070">
        <v>79.957069396999998</v>
      </c>
      <c r="E1070">
        <v>50</v>
      </c>
      <c r="F1070">
        <v>44.128620148000003</v>
      </c>
      <c r="G1070">
        <v>1345.6895752</v>
      </c>
      <c r="H1070">
        <v>1341.8543701000001</v>
      </c>
      <c r="I1070">
        <v>1319.7652588000001</v>
      </c>
      <c r="J1070">
        <v>1314.9143065999999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458.28745500000002</v>
      </c>
      <c r="B1071" s="1">
        <f>DATE(2011,8,2) + TIME(6,53,56)</f>
        <v>40757.287453703706</v>
      </c>
      <c r="C1071">
        <v>80</v>
      </c>
      <c r="D1071">
        <v>79.957077025999993</v>
      </c>
      <c r="E1071">
        <v>50</v>
      </c>
      <c r="F1071">
        <v>44.077713013</v>
      </c>
      <c r="G1071">
        <v>1345.6778564000001</v>
      </c>
      <c r="H1071">
        <v>1341.8464355000001</v>
      </c>
      <c r="I1071">
        <v>1319.7371826000001</v>
      </c>
      <c r="J1071">
        <v>1314.8706055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459.60695700000002</v>
      </c>
      <c r="B1072" s="1">
        <f>DATE(2011,8,3) + TIME(14,34,1)</f>
        <v>40758.606956018521</v>
      </c>
      <c r="C1072">
        <v>80</v>
      </c>
      <c r="D1072">
        <v>79.957084656000006</v>
      </c>
      <c r="E1072">
        <v>50</v>
      </c>
      <c r="F1072">
        <v>44.023063659999998</v>
      </c>
      <c r="G1072">
        <v>1345.6624756000001</v>
      </c>
      <c r="H1072">
        <v>1341.8359375</v>
      </c>
      <c r="I1072">
        <v>1319.7033690999999</v>
      </c>
      <c r="J1072">
        <v>1314.8188477000001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460.94587200000001</v>
      </c>
      <c r="B1073" s="1">
        <f>DATE(2011,8,4) + TIME(22,42,3)</f>
        <v>40759.945868055554</v>
      </c>
      <c r="C1073">
        <v>80</v>
      </c>
      <c r="D1073">
        <v>79.957084656000006</v>
      </c>
      <c r="E1073">
        <v>50</v>
      </c>
      <c r="F1073">
        <v>43.966659546000002</v>
      </c>
      <c r="G1073">
        <v>1345.6468506000001</v>
      </c>
      <c r="H1073">
        <v>1341.8253173999999</v>
      </c>
      <c r="I1073">
        <v>1319.6682129000001</v>
      </c>
      <c r="J1073">
        <v>1314.7648925999999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462.309213</v>
      </c>
      <c r="B1074" s="1">
        <f>DATE(2011,8,6) + TIME(7,25,16)</f>
        <v>40761.309212962966</v>
      </c>
      <c r="C1074">
        <v>80</v>
      </c>
      <c r="D1074">
        <v>79.957084656000006</v>
      </c>
      <c r="E1074">
        <v>50</v>
      </c>
      <c r="F1074">
        <v>43.909431458</v>
      </c>
      <c r="G1074">
        <v>1345.6311035000001</v>
      </c>
      <c r="H1074">
        <v>1341.8145752</v>
      </c>
      <c r="I1074">
        <v>1319.6323242000001</v>
      </c>
      <c r="J1074">
        <v>1314.7093506000001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463.70764700000001</v>
      </c>
      <c r="B1075" s="1">
        <f>DATE(2011,8,7) + TIME(16,59,0)</f>
        <v>40762.707638888889</v>
      </c>
      <c r="C1075">
        <v>80</v>
      </c>
      <c r="D1075">
        <v>79.957092285000002</v>
      </c>
      <c r="E1075">
        <v>50</v>
      </c>
      <c r="F1075">
        <v>43.851619720000002</v>
      </c>
      <c r="G1075">
        <v>1345.6153564000001</v>
      </c>
      <c r="H1075">
        <v>1341.8037108999999</v>
      </c>
      <c r="I1075">
        <v>1319.5957031</v>
      </c>
      <c r="J1075">
        <v>1314.6525879000001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465.13421399999999</v>
      </c>
      <c r="B1076" s="1">
        <f>DATE(2011,8,9) + TIME(3,13,16)</f>
        <v>40764.134212962963</v>
      </c>
      <c r="C1076">
        <v>80</v>
      </c>
      <c r="D1076">
        <v>79.957099915000001</v>
      </c>
      <c r="E1076">
        <v>50</v>
      </c>
      <c r="F1076">
        <v>43.793441772000001</v>
      </c>
      <c r="G1076">
        <v>1345.5993652</v>
      </c>
      <c r="H1076">
        <v>1341.7927245999999</v>
      </c>
      <c r="I1076">
        <v>1319.5583495999999</v>
      </c>
      <c r="J1076">
        <v>1314.5942382999999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466.57571799999999</v>
      </c>
      <c r="B1077" s="1">
        <f>DATE(2011,8,10) + TIME(13,49,1)</f>
        <v>40765.575706018521</v>
      </c>
      <c r="C1077">
        <v>80</v>
      </c>
      <c r="D1077">
        <v>79.957107543999996</v>
      </c>
      <c r="E1077">
        <v>50</v>
      </c>
      <c r="F1077">
        <v>43.735492706000002</v>
      </c>
      <c r="G1077">
        <v>1345.5831298999999</v>
      </c>
      <c r="H1077">
        <v>1341.7814940999999</v>
      </c>
      <c r="I1077">
        <v>1319.5202637</v>
      </c>
      <c r="J1077">
        <v>1314.534668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468.01846499999999</v>
      </c>
      <c r="B1078" s="1">
        <f>DATE(2011,8,12) + TIME(0,26,35)</f>
        <v>40767.018460648149</v>
      </c>
      <c r="C1078">
        <v>80</v>
      </c>
      <c r="D1078">
        <v>79.957107543999996</v>
      </c>
      <c r="E1078">
        <v>50</v>
      </c>
      <c r="F1078">
        <v>43.678569793999998</v>
      </c>
      <c r="G1078">
        <v>1345.5670166</v>
      </c>
      <c r="H1078">
        <v>1341.7702637</v>
      </c>
      <c r="I1078">
        <v>1319.4819336</v>
      </c>
      <c r="J1078">
        <v>1314.4742432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469.468501</v>
      </c>
      <c r="B1079" s="1">
        <f>DATE(2011,8,13) + TIME(11,14,38)</f>
        <v>40768.468495370369</v>
      </c>
      <c r="C1079">
        <v>80</v>
      </c>
      <c r="D1079">
        <v>79.957115173000005</v>
      </c>
      <c r="E1079">
        <v>50</v>
      </c>
      <c r="F1079">
        <v>43.623294829999999</v>
      </c>
      <c r="G1079">
        <v>1345.5510254000001</v>
      </c>
      <c r="H1079">
        <v>1341.7591553</v>
      </c>
      <c r="I1079">
        <v>1319.4437256000001</v>
      </c>
      <c r="J1079">
        <v>1314.4136963000001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470.93032899999997</v>
      </c>
      <c r="B1080" s="1">
        <f>DATE(2011,8,14) + TIME(22,19,40)</f>
        <v>40769.930324074077</v>
      </c>
      <c r="C1080">
        <v>80</v>
      </c>
      <c r="D1080">
        <v>79.957122803000004</v>
      </c>
      <c r="E1080">
        <v>50</v>
      </c>
      <c r="F1080">
        <v>43.570011139000002</v>
      </c>
      <c r="G1080">
        <v>1345.5351562000001</v>
      </c>
      <c r="H1080">
        <v>1341.7481689000001</v>
      </c>
      <c r="I1080">
        <v>1319.4056396000001</v>
      </c>
      <c r="J1080">
        <v>1314.3527832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472.39795299999997</v>
      </c>
      <c r="B1081" s="1">
        <f>DATE(2011,8,16) + TIME(9,33,3)</f>
        <v>40771.397951388892</v>
      </c>
      <c r="C1081">
        <v>80</v>
      </c>
      <c r="D1081">
        <v>79.957130432</v>
      </c>
      <c r="E1081">
        <v>50</v>
      </c>
      <c r="F1081">
        <v>43.519268036</v>
      </c>
      <c r="G1081">
        <v>1345.5194091999999</v>
      </c>
      <c r="H1081">
        <v>1341.7370605000001</v>
      </c>
      <c r="I1081">
        <v>1319.3674315999999</v>
      </c>
      <c r="J1081">
        <v>1314.291626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473.87732999999997</v>
      </c>
      <c r="B1082" s="1">
        <f>DATE(2011,8,17) + TIME(21,3,21)</f>
        <v>40772.877326388887</v>
      </c>
      <c r="C1082">
        <v>80</v>
      </c>
      <c r="D1082">
        <v>79.957145690999994</v>
      </c>
      <c r="E1082">
        <v>50</v>
      </c>
      <c r="F1082">
        <v>43.471706390000001</v>
      </c>
      <c r="G1082">
        <v>1345.5036620999999</v>
      </c>
      <c r="H1082">
        <v>1341.7259521000001</v>
      </c>
      <c r="I1082">
        <v>1319.3294678</v>
      </c>
      <c r="J1082">
        <v>1314.2303466999999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475.375001</v>
      </c>
      <c r="B1083" s="1">
        <f>DATE(2011,8,19) + TIME(9,0,0)</f>
        <v>40774.375</v>
      </c>
      <c r="C1083">
        <v>80</v>
      </c>
      <c r="D1083">
        <v>79.957153320000003</v>
      </c>
      <c r="E1083">
        <v>50</v>
      </c>
      <c r="F1083">
        <v>43.427833557</v>
      </c>
      <c r="G1083">
        <v>1345.4880370999999</v>
      </c>
      <c r="H1083">
        <v>1341.7149658000001</v>
      </c>
      <c r="I1083">
        <v>1319.291626</v>
      </c>
      <c r="J1083">
        <v>1314.1688231999999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476.89717899999999</v>
      </c>
      <c r="B1084" s="1">
        <f>DATE(2011,8,20) + TIME(21,31,56)</f>
        <v>40775.897175925929</v>
      </c>
      <c r="C1084">
        <v>80</v>
      </c>
      <c r="D1084">
        <v>79.957168578999998</v>
      </c>
      <c r="E1084">
        <v>50</v>
      </c>
      <c r="F1084">
        <v>43.388355255</v>
      </c>
      <c r="G1084">
        <v>1345.4722899999999</v>
      </c>
      <c r="H1084">
        <v>1341.7038574000001</v>
      </c>
      <c r="I1084">
        <v>1319.2537841999999</v>
      </c>
      <c r="J1084">
        <v>1314.1069336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478.45035899999999</v>
      </c>
      <c r="B1085" s="1">
        <f>DATE(2011,8,22) + TIME(10,48,30)</f>
        <v>40777.45034722222</v>
      </c>
      <c r="C1085">
        <v>80</v>
      </c>
      <c r="D1085">
        <v>79.957176208000007</v>
      </c>
      <c r="E1085">
        <v>50</v>
      </c>
      <c r="F1085">
        <v>43.354133605999998</v>
      </c>
      <c r="G1085">
        <v>1345.456543</v>
      </c>
      <c r="H1085">
        <v>1341.6926269999999</v>
      </c>
      <c r="I1085">
        <v>1319.2159423999999</v>
      </c>
      <c r="J1085">
        <v>1314.0445557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480.03760399999999</v>
      </c>
      <c r="B1086" s="1">
        <f>DATE(2011,8,24) + TIME(0,54,8)</f>
        <v>40779.037592592591</v>
      </c>
      <c r="C1086">
        <v>80</v>
      </c>
      <c r="D1086">
        <v>79.957191467000001</v>
      </c>
      <c r="E1086">
        <v>50</v>
      </c>
      <c r="F1086">
        <v>43.326267242</v>
      </c>
      <c r="G1086">
        <v>1345.4405518000001</v>
      </c>
      <c r="H1086">
        <v>1341.6812743999999</v>
      </c>
      <c r="I1086">
        <v>1319.1779785000001</v>
      </c>
      <c r="J1086">
        <v>1313.9815673999999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481.64293199999997</v>
      </c>
      <c r="B1087" s="1">
        <f>DATE(2011,8,25) + TIME(15,25,49)</f>
        <v>40780.642928240741</v>
      </c>
      <c r="C1087">
        <v>80</v>
      </c>
      <c r="D1087">
        <v>79.957206725999995</v>
      </c>
      <c r="E1087">
        <v>50</v>
      </c>
      <c r="F1087">
        <v>43.306236267000003</v>
      </c>
      <c r="G1087">
        <v>1345.4244385</v>
      </c>
      <c r="H1087">
        <v>1341.6696777</v>
      </c>
      <c r="I1087">
        <v>1319.1398925999999</v>
      </c>
      <c r="J1087">
        <v>1313.9180908000001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483.273706</v>
      </c>
      <c r="B1088" s="1">
        <f>DATE(2011,8,27) + TIME(6,34,8)</f>
        <v>40782.2737037037</v>
      </c>
      <c r="C1088">
        <v>80</v>
      </c>
      <c r="D1088">
        <v>79.957221985000004</v>
      </c>
      <c r="E1088">
        <v>50</v>
      </c>
      <c r="F1088">
        <v>43.295822143999999</v>
      </c>
      <c r="G1088">
        <v>1345.4083252</v>
      </c>
      <c r="H1088">
        <v>1341.6580810999999</v>
      </c>
      <c r="I1088">
        <v>1319.1020507999999</v>
      </c>
      <c r="J1088">
        <v>1313.8544922000001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484.929733</v>
      </c>
      <c r="B1089" s="1">
        <f>DATE(2011,8,28) + TIME(22,18,48)</f>
        <v>40783.929722222223</v>
      </c>
      <c r="C1089">
        <v>80</v>
      </c>
      <c r="D1089">
        <v>79.957244872999993</v>
      </c>
      <c r="E1089">
        <v>50</v>
      </c>
      <c r="F1089">
        <v>43.296958922999998</v>
      </c>
      <c r="G1089">
        <v>1345.3920897999999</v>
      </c>
      <c r="H1089">
        <v>1341.6463623</v>
      </c>
      <c r="I1089">
        <v>1319.0645752</v>
      </c>
      <c r="J1089">
        <v>1313.7910156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486.590599</v>
      </c>
      <c r="B1090" s="1">
        <f>DATE(2011,8,30) + TIME(14,10,27)</f>
        <v>40785.590590277781</v>
      </c>
      <c r="C1090">
        <v>80</v>
      </c>
      <c r="D1090">
        <v>79.957260132000002</v>
      </c>
      <c r="E1090">
        <v>50</v>
      </c>
      <c r="F1090">
        <v>43.311698913999997</v>
      </c>
      <c r="G1090">
        <v>1345.3757324000001</v>
      </c>
      <c r="H1090">
        <v>1341.6346435999999</v>
      </c>
      <c r="I1090">
        <v>1319.0275879000001</v>
      </c>
      <c r="J1090">
        <v>1313.7277832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488</v>
      </c>
      <c r="B1091" s="1">
        <f>DATE(2011,9,1) + TIME(0,0,0)</f>
        <v>40787</v>
      </c>
      <c r="C1091">
        <v>80</v>
      </c>
      <c r="D1091">
        <v>79.957267760999997</v>
      </c>
      <c r="E1091">
        <v>50</v>
      </c>
      <c r="F1091">
        <v>43.340503693000002</v>
      </c>
      <c r="G1091">
        <v>1345.3596190999999</v>
      </c>
      <c r="H1091">
        <v>1341.6228027</v>
      </c>
      <c r="I1091">
        <v>1318.9919434000001</v>
      </c>
      <c r="J1091">
        <v>1313.6667480000001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489.662057</v>
      </c>
      <c r="B1092" s="1">
        <f>DATE(2011,9,2) + TIME(15,53,21)</f>
        <v>40788.662048611113</v>
      </c>
      <c r="C1092">
        <v>80</v>
      </c>
      <c r="D1092">
        <v>79.957290649000001</v>
      </c>
      <c r="E1092">
        <v>50</v>
      </c>
      <c r="F1092">
        <v>43.383323668999999</v>
      </c>
      <c r="G1092">
        <v>1345.3459473</v>
      </c>
      <c r="H1092">
        <v>1341.6129149999999</v>
      </c>
      <c r="I1092">
        <v>1318.9602050999999</v>
      </c>
      <c r="J1092">
        <v>1313.6120605000001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491.348028</v>
      </c>
      <c r="B1093" s="1">
        <f>DATE(2011,9,4) + TIME(8,21,9)</f>
        <v>40790.348020833335</v>
      </c>
      <c r="C1093">
        <v>80</v>
      </c>
      <c r="D1093">
        <v>79.957313537999994</v>
      </c>
      <c r="E1093">
        <v>50</v>
      </c>
      <c r="F1093">
        <v>43.446804047000001</v>
      </c>
      <c r="G1093">
        <v>1345.3300781</v>
      </c>
      <c r="H1093">
        <v>1341.6011963000001</v>
      </c>
      <c r="I1093">
        <v>1318.9266356999999</v>
      </c>
      <c r="J1093">
        <v>1313.5540771000001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493.05784299999999</v>
      </c>
      <c r="B1094" s="1">
        <f>DATE(2011,9,6) + TIME(1,23,17)</f>
        <v>40792.057835648149</v>
      </c>
      <c r="C1094">
        <v>80</v>
      </c>
      <c r="D1094">
        <v>79.957336425999998</v>
      </c>
      <c r="E1094">
        <v>50</v>
      </c>
      <c r="F1094">
        <v>43.532470703000001</v>
      </c>
      <c r="G1094">
        <v>1345.3140868999999</v>
      </c>
      <c r="H1094">
        <v>1341.5894774999999</v>
      </c>
      <c r="I1094">
        <v>1318.8934326000001</v>
      </c>
      <c r="J1094">
        <v>1313.4962158000001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494.79942499999999</v>
      </c>
      <c r="B1095" s="1">
        <f>DATE(2011,9,7) + TIME(19,11,10)</f>
        <v>40793.799421296295</v>
      </c>
      <c r="C1095">
        <v>80</v>
      </c>
      <c r="D1095">
        <v>79.957359314000001</v>
      </c>
      <c r="E1095">
        <v>50</v>
      </c>
      <c r="F1095">
        <v>43.642658234000002</v>
      </c>
      <c r="G1095">
        <v>1345.2980957</v>
      </c>
      <c r="H1095">
        <v>1341.5776367000001</v>
      </c>
      <c r="I1095">
        <v>1318.8607178</v>
      </c>
      <c r="J1095">
        <v>1313.4393310999999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496.56839400000001</v>
      </c>
      <c r="B1096" s="1">
        <f>DATE(2011,9,9) + TIME(13,38,29)</f>
        <v>40795.568391203706</v>
      </c>
      <c r="C1096">
        <v>80</v>
      </c>
      <c r="D1096">
        <v>79.957382202000005</v>
      </c>
      <c r="E1096">
        <v>50</v>
      </c>
      <c r="F1096">
        <v>43.780006409000002</v>
      </c>
      <c r="G1096">
        <v>1345.2818603999999</v>
      </c>
      <c r="H1096">
        <v>1341.5656738</v>
      </c>
      <c r="I1096">
        <v>1318.8286132999999</v>
      </c>
      <c r="J1096">
        <v>1313.3836670000001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498.35529500000001</v>
      </c>
      <c r="B1097" s="1">
        <f>DATE(2011,9,11) + TIME(8,31,37)</f>
        <v>40797.35528935185</v>
      </c>
      <c r="C1097">
        <v>80</v>
      </c>
      <c r="D1097">
        <v>79.957405089999995</v>
      </c>
      <c r="E1097">
        <v>50</v>
      </c>
      <c r="F1097">
        <v>43.946563720999997</v>
      </c>
      <c r="G1097">
        <v>1345.265625</v>
      </c>
      <c r="H1097">
        <v>1341.5535889</v>
      </c>
      <c r="I1097">
        <v>1318.7974853999999</v>
      </c>
      <c r="J1097">
        <v>1313.3295897999999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500.16919000000001</v>
      </c>
      <c r="B1098" s="1">
        <f>DATE(2011,9,13) + TIME(4,3,38)</f>
        <v>40799.169189814813</v>
      </c>
      <c r="C1098">
        <v>80</v>
      </c>
      <c r="D1098">
        <v>79.957435607999997</v>
      </c>
      <c r="E1098">
        <v>50</v>
      </c>
      <c r="F1098">
        <v>44.143802643000001</v>
      </c>
      <c r="G1098">
        <v>1345.2492675999999</v>
      </c>
      <c r="H1098">
        <v>1341.5415039</v>
      </c>
      <c r="I1098">
        <v>1318.7672118999999</v>
      </c>
      <c r="J1098">
        <v>1313.2775879000001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502.018846</v>
      </c>
      <c r="B1099" s="1">
        <f>DATE(2011,9,15) + TIME(0,27,8)</f>
        <v>40801.018842592595</v>
      </c>
      <c r="C1099">
        <v>80</v>
      </c>
      <c r="D1099">
        <v>79.957458496000001</v>
      </c>
      <c r="E1099">
        <v>50</v>
      </c>
      <c r="F1099">
        <v>44.373600005999997</v>
      </c>
      <c r="G1099">
        <v>1345.2330322</v>
      </c>
      <c r="H1099">
        <v>1341.5292969</v>
      </c>
      <c r="I1099">
        <v>1318.7379149999999</v>
      </c>
      <c r="J1099">
        <v>1313.2275391000001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503.91420799999997</v>
      </c>
      <c r="B1100" s="1">
        <f>DATE(2011,9,16) + TIME(21,56,27)</f>
        <v>40802.914201388892</v>
      </c>
      <c r="C1100">
        <v>80</v>
      </c>
      <c r="D1100">
        <v>79.957489014000004</v>
      </c>
      <c r="E1100">
        <v>50</v>
      </c>
      <c r="F1100">
        <v>44.637916564999998</v>
      </c>
      <c r="G1100">
        <v>1345.2165527</v>
      </c>
      <c r="H1100">
        <v>1341.5169678</v>
      </c>
      <c r="I1100">
        <v>1318.7094727000001</v>
      </c>
      <c r="J1100">
        <v>1313.1795654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505.83135600000003</v>
      </c>
      <c r="B1101" s="1">
        <f>DATE(2011,9,18) + TIME(19,57,9)</f>
        <v>40804.831354166665</v>
      </c>
      <c r="C1101">
        <v>80</v>
      </c>
      <c r="D1101">
        <v>79.957519531000003</v>
      </c>
      <c r="E1101">
        <v>50</v>
      </c>
      <c r="F1101">
        <v>44.937301636000001</v>
      </c>
      <c r="G1101">
        <v>1345.1998291</v>
      </c>
      <c r="H1101">
        <v>1341.5043945</v>
      </c>
      <c r="I1101">
        <v>1318.6818848</v>
      </c>
      <c r="J1101">
        <v>1313.1336670000001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507.75352900000001</v>
      </c>
      <c r="B1102" s="1">
        <f>DATE(2011,9,20) + TIME(18,5,4)</f>
        <v>40806.753518518519</v>
      </c>
      <c r="C1102">
        <v>80</v>
      </c>
      <c r="D1102">
        <v>79.957550049000005</v>
      </c>
      <c r="E1102">
        <v>50</v>
      </c>
      <c r="F1102">
        <v>45.268192290999998</v>
      </c>
      <c r="G1102">
        <v>1345.1831055</v>
      </c>
      <c r="H1102">
        <v>1341.4918213000001</v>
      </c>
      <c r="I1102">
        <v>1318.6552733999999</v>
      </c>
      <c r="J1102">
        <v>1313.090332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509.69234999999998</v>
      </c>
      <c r="B1103" s="1">
        <f>DATE(2011,9,22) + TIME(16,36,59)</f>
        <v>40808.692349537036</v>
      </c>
      <c r="C1103">
        <v>80</v>
      </c>
      <c r="D1103">
        <v>79.957580566000004</v>
      </c>
      <c r="E1103">
        <v>50</v>
      </c>
      <c r="F1103">
        <v>45.626167297000002</v>
      </c>
      <c r="G1103">
        <v>1345.1665039</v>
      </c>
      <c r="H1103">
        <v>1341.4792480000001</v>
      </c>
      <c r="I1103">
        <v>1318.6298827999999</v>
      </c>
      <c r="J1103">
        <v>1313.0499268000001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511.65763199999998</v>
      </c>
      <c r="B1104" s="1">
        <f>DATE(2011,9,24) + TIME(15,46,59)</f>
        <v>40810.657627314817</v>
      </c>
      <c r="C1104">
        <v>80</v>
      </c>
      <c r="D1104">
        <v>79.957611084000007</v>
      </c>
      <c r="E1104">
        <v>50</v>
      </c>
      <c r="F1104">
        <v>46.008796691999997</v>
      </c>
      <c r="G1104">
        <v>1345.1501464999999</v>
      </c>
      <c r="H1104">
        <v>1341.4667969</v>
      </c>
      <c r="I1104">
        <v>1318.6055908000001</v>
      </c>
      <c r="J1104">
        <v>1313.0123291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513.63920800000005</v>
      </c>
      <c r="B1105" s="1">
        <f>DATE(2011,9,26) + TIME(15,20,27)</f>
        <v>40812.639201388891</v>
      </c>
      <c r="C1105">
        <v>80</v>
      </c>
      <c r="D1105">
        <v>79.957641601999995</v>
      </c>
      <c r="E1105">
        <v>50</v>
      </c>
      <c r="F1105">
        <v>46.413299561000002</v>
      </c>
      <c r="G1105">
        <v>1345.1336670000001</v>
      </c>
      <c r="H1105">
        <v>1341.4542236</v>
      </c>
      <c r="I1105">
        <v>1318.5823975000001</v>
      </c>
      <c r="J1105">
        <v>1312.9771728999999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515.63019099999997</v>
      </c>
      <c r="B1106" s="1">
        <f>DATE(2011,9,28) + TIME(15,7,28)</f>
        <v>40814.630185185182</v>
      </c>
      <c r="C1106">
        <v>80</v>
      </c>
      <c r="D1106">
        <v>79.957672118999994</v>
      </c>
      <c r="E1106">
        <v>50</v>
      </c>
      <c r="F1106">
        <v>46.834484099999997</v>
      </c>
      <c r="G1106">
        <v>1345.1171875</v>
      </c>
      <c r="H1106">
        <v>1341.4417725000001</v>
      </c>
      <c r="I1106">
        <v>1318.5603027</v>
      </c>
      <c r="J1106">
        <v>1312.9447021000001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517.64232900000002</v>
      </c>
      <c r="B1107" s="1">
        <f>DATE(2011,9,30) + TIME(15,24,57)</f>
        <v>40816.642326388886</v>
      </c>
      <c r="C1107">
        <v>80</v>
      </c>
      <c r="D1107">
        <v>79.957710266000007</v>
      </c>
      <c r="E1107">
        <v>50</v>
      </c>
      <c r="F1107">
        <v>47.267681121999999</v>
      </c>
      <c r="G1107">
        <v>1345.1010742000001</v>
      </c>
      <c r="H1107">
        <v>1341.4293213000001</v>
      </c>
      <c r="I1107">
        <v>1318.5394286999999</v>
      </c>
      <c r="J1107">
        <v>1312.9145507999999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518</v>
      </c>
      <c r="B1108" s="1">
        <f>DATE(2011,10,1) + TIME(0,0,0)</f>
        <v>40817</v>
      </c>
      <c r="C1108">
        <v>80</v>
      </c>
      <c r="D1108">
        <v>79.957702636999997</v>
      </c>
      <c r="E1108">
        <v>50</v>
      </c>
      <c r="F1108">
        <v>47.482799530000001</v>
      </c>
      <c r="G1108">
        <v>1345.0849608999999</v>
      </c>
      <c r="H1108">
        <v>1341.4171143000001</v>
      </c>
      <c r="I1108">
        <v>1318.5347899999999</v>
      </c>
      <c r="J1108">
        <v>1312.8935547000001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520.04427099999998</v>
      </c>
      <c r="B1109" s="1">
        <f>DATE(2011,10,3) + TIME(1,3,45)</f>
        <v>40819.044270833336</v>
      </c>
      <c r="C1109">
        <v>80</v>
      </c>
      <c r="D1109">
        <v>79.957748413000004</v>
      </c>
      <c r="E1109">
        <v>50</v>
      </c>
      <c r="F1109">
        <v>47.820091247999997</v>
      </c>
      <c r="G1109">
        <v>1345.0820312000001</v>
      </c>
      <c r="H1109">
        <v>1341.4147949000001</v>
      </c>
      <c r="I1109">
        <v>1318.5137939000001</v>
      </c>
      <c r="J1109">
        <v>1312.8814697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522.14125100000001</v>
      </c>
      <c r="B1110" s="1">
        <f>DATE(2011,10,5) + TIME(3,23,24)</f>
        <v>40821.141250000001</v>
      </c>
      <c r="C1110">
        <v>80</v>
      </c>
      <c r="D1110">
        <v>79.957786560000002</v>
      </c>
      <c r="E1110">
        <v>50</v>
      </c>
      <c r="F1110">
        <v>48.247303008999999</v>
      </c>
      <c r="G1110">
        <v>1345.065918</v>
      </c>
      <c r="H1110">
        <v>1341.4024658000001</v>
      </c>
      <c r="I1110">
        <v>1318.4964600000001</v>
      </c>
      <c r="J1110">
        <v>1312.8560791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524.29600400000004</v>
      </c>
      <c r="B1111" s="1">
        <f>DATE(2011,10,7) + TIME(7,6,14)</f>
        <v>40823.295995370368</v>
      </c>
      <c r="C1111">
        <v>80</v>
      </c>
      <c r="D1111">
        <v>79.957824707</v>
      </c>
      <c r="E1111">
        <v>50</v>
      </c>
      <c r="F1111">
        <v>48.701164245999998</v>
      </c>
      <c r="G1111">
        <v>1345.0495605000001</v>
      </c>
      <c r="H1111">
        <v>1341.3898925999999</v>
      </c>
      <c r="I1111">
        <v>1318.4787598</v>
      </c>
      <c r="J1111">
        <v>1312.8320312000001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526.48888999999997</v>
      </c>
      <c r="B1112" s="1">
        <f>DATE(2011,10,9) + TIME(11,44,0)</f>
        <v>40825.488888888889</v>
      </c>
      <c r="C1112">
        <v>80</v>
      </c>
      <c r="D1112">
        <v>79.957870482999994</v>
      </c>
      <c r="E1112">
        <v>50</v>
      </c>
      <c r="F1112">
        <v>49.164363860999998</v>
      </c>
      <c r="G1112">
        <v>1345.0332031</v>
      </c>
      <c r="H1112">
        <v>1341.3773193</v>
      </c>
      <c r="I1112">
        <v>1318.4614257999999</v>
      </c>
      <c r="J1112">
        <v>1312.8093262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528.70201999999995</v>
      </c>
      <c r="B1113" s="1">
        <f>DATE(2011,10,11) + TIME(16,50,54)</f>
        <v>40827.702013888891</v>
      </c>
      <c r="C1113">
        <v>80</v>
      </c>
      <c r="D1113">
        <v>79.957908630000006</v>
      </c>
      <c r="E1113">
        <v>50</v>
      </c>
      <c r="F1113">
        <v>49.627361297999997</v>
      </c>
      <c r="G1113">
        <v>1345.0167236</v>
      </c>
      <c r="H1113">
        <v>1341.364624</v>
      </c>
      <c r="I1113">
        <v>1318.4448242000001</v>
      </c>
      <c r="J1113">
        <v>1312.7879639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530.94881499999997</v>
      </c>
      <c r="B1114" s="1">
        <f>DATE(2011,10,13) + TIME(22,46,17)</f>
        <v>40829.948807870373</v>
      </c>
      <c r="C1114">
        <v>80</v>
      </c>
      <c r="D1114">
        <v>79.957954407000003</v>
      </c>
      <c r="E1114">
        <v>50</v>
      </c>
      <c r="F1114">
        <v>50.084964751999998</v>
      </c>
      <c r="G1114">
        <v>1345.0003661999999</v>
      </c>
      <c r="H1114">
        <v>1341.3519286999999</v>
      </c>
      <c r="I1114">
        <v>1318.4289550999999</v>
      </c>
      <c r="J1114">
        <v>1312.7680664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533.23951799999998</v>
      </c>
      <c r="B1115" s="1">
        <f>DATE(2011,10,16) + TIME(5,44,54)</f>
        <v>40832.23951388889</v>
      </c>
      <c r="C1115">
        <v>80</v>
      </c>
      <c r="D1115">
        <v>79.957992554</v>
      </c>
      <c r="E1115">
        <v>50</v>
      </c>
      <c r="F1115">
        <v>50.536243439000003</v>
      </c>
      <c r="G1115">
        <v>1344.9840088000001</v>
      </c>
      <c r="H1115">
        <v>1341.3393555</v>
      </c>
      <c r="I1115">
        <v>1318.4140625</v>
      </c>
      <c r="J1115">
        <v>1312.7493896000001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535.53256699999997</v>
      </c>
      <c r="B1116" s="1">
        <f>DATE(2011,10,18) + TIME(12,46,53)</f>
        <v>40834.532557870371</v>
      </c>
      <c r="C1116">
        <v>80</v>
      </c>
      <c r="D1116">
        <v>79.958038329999994</v>
      </c>
      <c r="E1116">
        <v>50</v>
      </c>
      <c r="F1116">
        <v>50.979896545000003</v>
      </c>
      <c r="G1116">
        <v>1344.9677733999999</v>
      </c>
      <c r="H1116">
        <v>1341.3267822</v>
      </c>
      <c r="I1116">
        <v>1318.3999022999999</v>
      </c>
      <c r="J1116">
        <v>1312.7319336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537.84578999999997</v>
      </c>
      <c r="B1117" s="1">
        <f>DATE(2011,10,20) + TIME(20,17,56)</f>
        <v>40836.84578703704</v>
      </c>
      <c r="C1117">
        <v>80</v>
      </c>
      <c r="D1117">
        <v>79.958084106000001</v>
      </c>
      <c r="E1117">
        <v>50</v>
      </c>
      <c r="F1117">
        <v>51.410308837999999</v>
      </c>
      <c r="G1117">
        <v>1344.9517822</v>
      </c>
      <c r="H1117">
        <v>1341.3144531</v>
      </c>
      <c r="I1117">
        <v>1318.3865966999999</v>
      </c>
      <c r="J1117">
        <v>1312.7156981999999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540.19822599999998</v>
      </c>
      <c r="B1118" s="1">
        <f>DATE(2011,10,23) + TIME(4,45,26)</f>
        <v>40839.198217592595</v>
      </c>
      <c r="C1118">
        <v>80</v>
      </c>
      <c r="D1118">
        <v>79.958129882999998</v>
      </c>
      <c r="E1118">
        <v>50</v>
      </c>
      <c r="F1118">
        <v>51.829010009999998</v>
      </c>
      <c r="G1118">
        <v>1344.9357910000001</v>
      </c>
      <c r="H1118">
        <v>1341.302124</v>
      </c>
      <c r="I1118">
        <v>1318.3740233999999</v>
      </c>
      <c r="J1118">
        <v>1312.7005615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542.60810000000004</v>
      </c>
      <c r="B1119" s="1">
        <f>DATE(2011,10,25) + TIME(14,35,39)</f>
        <v>40841.608090277776</v>
      </c>
      <c r="C1119">
        <v>80</v>
      </c>
      <c r="D1119">
        <v>79.958175659000005</v>
      </c>
      <c r="E1119">
        <v>50</v>
      </c>
      <c r="F1119">
        <v>52.237918854</v>
      </c>
      <c r="G1119">
        <v>1344.9200439000001</v>
      </c>
      <c r="H1119">
        <v>1341.2899170000001</v>
      </c>
      <c r="I1119">
        <v>1318.3621826000001</v>
      </c>
      <c r="J1119">
        <v>1312.6864014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543.83582100000001</v>
      </c>
      <c r="B1120" s="1">
        <f>DATE(2011,10,26) + TIME(20,3,34)</f>
        <v>40842.835810185185</v>
      </c>
      <c r="C1120">
        <v>80</v>
      </c>
      <c r="D1120">
        <v>79.958190918</v>
      </c>
      <c r="E1120">
        <v>50</v>
      </c>
      <c r="F1120">
        <v>52.578098296999997</v>
      </c>
      <c r="G1120">
        <v>1344.9040527</v>
      </c>
      <c r="H1120">
        <v>1341.2774658000001</v>
      </c>
      <c r="I1120">
        <v>1318.3552245999999</v>
      </c>
      <c r="J1120">
        <v>1312.6748047000001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545.06354099999999</v>
      </c>
      <c r="B1121" s="1">
        <f>DATE(2011,10,28) + TIME(1,31,29)</f>
        <v>40844.063530092593</v>
      </c>
      <c r="C1121">
        <v>80</v>
      </c>
      <c r="D1121">
        <v>79.958206176999994</v>
      </c>
      <c r="E1121">
        <v>50</v>
      </c>
      <c r="F1121">
        <v>52.816791533999996</v>
      </c>
      <c r="G1121">
        <v>1344.8961182</v>
      </c>
      <c r="H1121">
        <v>1341.2712402</v>
      </c>
      <c r="I1121">
        <v>1318.3477783000001</v>
      </c>
      <c r="J1121">
        <v>1312.6690673999999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547.51898200000005</v>
      </c>
      <c r="B1122" s="1">
        <f>DATE(2011,10,30) + TIME(12,27,20)</f>
        <v>40846.51898148148</v>
      </c>
      <c r="C1122">
        <v>80</v>
      </c>
      <c r="D1122">
        <v>79.958274841000005</v>
      </c>
      <c r="E1122">
        <v>50</v>
      </c>
      <c r="F1122">
        <v>53.057960510000001</v>
      </c>
      <c r="G1122">
        <v>1344.8881836</v>
      </c>
      <c r="H1122">
        <v>1341.2651367000001</v>
      </c>
      <c r="I1122">
        <v>1318.3391113</v>
      </c>
      <c r="J1122">
        <v>1312.661499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549</v>
      </c>
      <c r="B1123" s="1">
        <f>DATE(2011,11,1) + TIME(0,0,0)</f>
        <v>40848</v>
      </c>
      <c r="C1123">
        <v>80</v>
      </c>
      <c r="D1123">
        <v>79.958297728999995</v>
      </c>
      <c r="E1123">
        <v>50</v>
      </c>
      <c r="F1123">
        <v>53.368534087999997</v>
      </c>
      <c r="G1123">
        <v>1344.8725586</v>
      </c>
      <c r="H1123">
        <v>1341.2530518000001</v>
      </c>
      <c r="I1123">
        <v>1318.3328856999999</v>
      </c>
      <c r="J1123">
        <v>1312.6499022999999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549.000001</v>
      </c>
      <c r="B1124" s="1">
        <f>DATE(2011,11,1) + TIME(0,0,0)</f>
        <v>40848</v>
      </c>
      <c r="C1124">
        <v>80</v>
      </c>
      <c r="D1124">
        <v>79.958175659000005</v>
      </c>
      <c r="E1124">
        <v>50</v>
      </c>
      <c r="F1124">
        <v>53.368679047000001</v>
      </c>
      <c r="G1124">
        <v>1340.4398193</v>
      </c>
      <c r="H1124">
        <v>1338.2569579999999</v>
      </c>
      <c r="I1124">
        <v>1325.1252440999999</v>
      </c>
      <c r="J1124">
        <v>1319.5081786999999</v>
      </c>
      <c r="K1124">
        <v>0</v>
      </c>
      <c r="L1124">
        <v>2750</v>
      </c>
      <c r="M1124">
        <v>2750</v>
      </c>
      <c r="N1124">
        <v>0</v>
      </c>
    </row>
    <row r="1125" spans="1:14" x14ac:dyDescent="0.25">
      <c r="A1125">
        <v>549.00000399999999</v>
      </c>
      <c r="B1125" s="1">
        <f>DATE(2011,11,1) + TIME(0,0,0)</f>
        <v>40848</v>
      </c>
      <c r="C1125">
        <v>80</v>
      </c>
      <c r="D1125">
        <v>79.957984924000002</v>
      </c>
      <c r="E1125">
        <v>50</v>
      </c>
      <c r="F1125">
        <v>53.368949890000003</v>
      </c>
      <c r="G1125">
        <v>1339.0491943</v>
      </c>
      <c r="H1125">
        <v>1336.8664550999999</v>
      </c>
      <c r="I1125">
        <v>1327.0615233999999</v>
      </c>
      <c r="J1125">
        <v>1321.7290039</v>
      </c>
      <c r="K1125">
        <v>0</v>
      </c>
      <c r="L1125">
        <v>2750</v>
      </c>
      <c r="M1125">
        <v>2750</v>
      </c>
      <c r="N1125">
        <v>0</v>
      </c>
    </row>
    <row r="1126" spans="1:14" x14ac:dyDescent="0.25">
      <c r="A1126">
        <v>549.00001299999997</v>
      </c>
      <c r="B1126" s="1">
        <f>DATE(2011,11,1) + TIME(0,0,1)</f>
        <v>40848.000011574077</v>
      </c>
      <c r="C1126">
        <v>80</v>
      </c>
      <c r="D1126">
        <v>79.957740783999995</v>
      </c>
      <c r="E1126">
        <v>50</v>
      </c>
      <c r="F1126">
        <v>53.369281768999997</v>
      </c>
      <c r="G1126">
        <v>1337.3470459</v>
      </c>
      <c r="H1126">
        <v>1335.1639404</v>
      </c>
      <c r="I1126">
        <v>1329.9895019999999</v>
      </c>
      <c r="J1126">
        <v>1324.7308350000001</v>
      </c>
      <c r="K1126">
        <v>0</v>
      </c>
      <c r="L1126">
        <v>2750</v>
      </c>
      <c r="M1126">
        <v>2750</v>
      </c>
      <c r="N1126">
        <v>0</v>
      </c>
    </row>
    <row r="1127" spans="1:14" x14ac:dyDescent="0.25">
      <c r="A1127">
        <v>549.00004000000001</v>
      </c>
      <c r="B1127" s="1">
        <f>DATE(2011,11,1) + TIME(0,0,3)</f>
        <v>40848.000034722223</v>
      </c>
      <c r="C1127">
        <v>80</v>
      </c>
      <c r="D1127">
        <v>79.957489014000004</v>
      </c>
      <c r="E1127">
        <v>50</v>
      </c>
      <c r="F1127">
        <v>53.369541167999998</v>
      </c>
      <c r="G1127">
        <v>1335.6267089999999</v>
      </c>
      <c r="H1127">
        <v>1333.4365233999999</v>
      </c>
      <c r="I1127">
        <v>1333.3463135</v>
      </c>
      <c r="J1127">
        <v>1328.0211182</v>
      </c>
      <c r="K1127">
        <v>0</v>
      </c>
      <c r="L1127">
        <v>2750</v>
      </c>
      <c r="M1127">
        <v>2750</v>
      </c>
      <c r="N1127">
        <v>0</v>
      </c>
    </row>
    <row r="1128" spans="1:14" x14ac:dyDescent="0.25">
      <c r="A1128">
        <v>549.00012100000004</v>
      </c>
      <c r="B1128" s="1">
        <f>DATE(2011,11,1) + TIME(0,0,10)</f>
        <v>40848.000115740739</v>
      </c>
      <c r="C1128">
        <v>80</v>
      </c>
      <c r="D1128">
        <v>79.957229613999999</v>
      </c>
      <c r="E1128">
        <v>50</v>
      </c>
      <c r="F1128">
        <v>53.369476317999997</v>
      </c>
      <c r="G1128">
        <v>1333.9057617000001</v>
      </c>
      <c r="H1128">
        <v>1331.6824951000001</v>
      </c>
      <c r="I1128">
        <v>1336.7536620999999</v>
      </c>
      <c r="J1128">
        <v>1331.3553466999999</v>
      </c>
      <c r="K1128">
        <v>0</v>
      </c>
      <c r="L1128">
        <v>2750</v>
      </c>
      <c r="M1128">
        <v>2750</v>
      </c>
      <c r="N1128">
        <v>0</v>
      </c>
    </row>
    <row r="1129" spans="1:14" x14ac:dyDescent="0.25">
      <c r="A1129">
        <v>549.00036399999999</v>
      </c>
      <c r="B1129" s="1">
        <f>DATE(2011,11,1) + TIME(0,0,31)</f>
        <v>40848.000358796293</v>
      </c>
      <c r="C1129">
        <v>80</v>
      </c>
      <c r="D1129">
        <v>79.956916809000006</v>
      </c>
      <c r="E1129">
        <v>50</v>
      </c>
      <c r="F1129">
        <v>53.368408203000001</v>
      </c>
      <c r="G1129">
        <v>1332.0849608999999</v>
      </c>
      <c r="H1129">
        <v>1329.7806396000001</v>
      </c>
      <c r="I1129">
        <v>1340.1888428</v>
      </c>
      <c r="J1129">
        <v>1334.7086182</v>
      </c>
      <c r="K1129">
        <v>0</v>
      </c>
      <c r="L1129">
        <v>2750</v>
      </c>
      <c r="M1129">
        <v>2750</v>
      </c>
      <c r="N1129">
        <v>0</v>
      </c>
    </row>
    <row r="1130" spans="1:14" x14ac:dyDescent="0.25">
      <c r="A1130">
        <v>549.00109299999997</v>
      </c>
      <c r="B1130" s="1">
        <f>DATE(2011,11,1) + TIME(0,1,34)</f>
        <v>40848.001087962963</v>
      </c>
      <c r="C1130">
        <v>80</v>
      </c>
      <c r="D1130">
        <v>79.956481933999996</v>
      </c>
      <c r="E1130">
        <v>50</v>
      </c>
      <c r="F1130">
        <v>53.364261626999998</v>
      </c>
      <c r="G1130">
        <v>1330.1091309000001</v>
      </c>
      <c r="H1130">
        <v>1327.6926269999999</v>
      </c>
      <c r="I1130">
        <v>1343.6024170000001</v>
      </c>
      <c r="J1130">
        <v>1338.015625</v>
      </c>
      <c r="K1130">
        <v>0</v>
      </c>
      <c r="L1130">
        <v>2750</v>
      </c>
      <c r="M1130">
        <v>2750</v>
      </c>
      <c r="N1130">
        <v>0</v>
      </c>
    </row>
    <row r="1131" spans="1:14" x14ac:dyDescent="0.25">
      <c r="A1131">
        <v>549.00328000000002</v>
      </c>
      <c r="B1131" s="1">
        <f>DATE(2011,11,1) + TIME(0,4,43)</f>
        <v>40848.003275462965</v>
      </c>
      <c r="C1131">
        <v>80</v>
      </c>
      <c r="D1131">
        <v>79.955734253000003</v>
      </c>
      <c r="E1131">
        <v>50</v>
      </c>
      <c r="F1131">
        <v>53.350704192999999</v>
      </c>
      <c r="G1131">
        <v>1328.2276611</v>
      </c>
      <c r="H1131">
        <v>1325.7254639</v>
      </c>
      <c r="I1131">
        <v>1346.5620117000001</v>
      </c>
      <c r="J1131">
        <v>1340.8647461</v>
      </c>
      <c r="K1131">
        <v>0</v>
      </c>
      <c r="L1131">
        <v>2750</v>
      </c>
      <c r="M1131">
        <v>2750</v>
      </c>
      <c r="N1131">
        <v>0</v>
      </c>
    </row>
    <row r="1132" spans="1:14" x14ac:dyDescent="0.25">
      <c r="A1132">
        <v>549.00984100000005</v>
      </c>
      <c r="B1132" s="1">
        <f>DATE(2011,11,1) + TIME(0,14,10)</f>
        <v>40848.009837962964</v>
      </c>
      <c r="C1132">
        <v>80</v>
      </c>
      <c r="D1132">
        <v>79.954093932999996</v>
      </c>
      <c r="E1132">
        <v>50</v>
      </c>
      <c r="F1132">
        <v>53.309230804000002</v>
      </c>
      <c r="G1132">
        <v>1326.9560547000001</v>
      </c>
      <c r="H1132">
        <v>1324.4179687999999</v>
      </c>
      <c r="I1132">
        <v>1348.3500977000001</v>
      </c>
      <c r="J1132">
        <v>1342.5871582</v>
      </c>
      <c r="K1132">
        <v>0</v>
      </c>
      <c r="L1132">
        <v>2750</v>
      </c>
      <c r="M1132">
        <v>2750</v>
      </c>
      <c r="N1132">
        <v>0</v>
      </c>
    </row>
    <row r="1133" spans="1:14" x14ac:dyDescent="0.25">
      <c r="A1133">
        <v>549.02952400000004</v>
      </c>
      <c r="B1133" s="1">
        <f>DATE(2011,11,1) + TIME(0,42,30)</f>
        <v>40848.029513888891</v>
      </c>
      <c r="C1133">
        <v>80</v>
      </c>
      <c r="D1133">
        <v>79.949737549000005</v>
      </c>
      <c r="E1133">
        <v>50</v>
      </c>
      <c r="F1133">
        <v>53.188838959000002</v>
      </c>
      <c r="G1133">
        <v>1326.4838867000001</v>
      </c>
      <c r="H1133">
        <v>1323.9368896000001</v>
      </c>
      <c r="I1133">
        <v>1348.8619385</v>
      </c>
      <c r="J1133">
        <v>1343.0924072</v>
      </c>
      <c r="K1133">
        <v>0</v>
      </c>
      <c r="L1133">
        <v>2750</v>
      </c>
      <c r="M1133">
        <v>2750</v>
      </c>
      <c r="N1133">
        <v>0</v>
      </c>
    </row>
    <row r="1134" spans="1:14" x14ac:dyDescent="0.25">
      <c r="A1134">
        <v>549.06559400000003</v>
      </c>
      <c r="B1134" s="1">
        <f>DATE(2011,11,1) + TIME(1,34,27)</f>
        <v>40848.06559027778</v>
      </c>
      <c r="C1134">
        <v>80</v>
      </c>
      <c r="D1134">
        <v>79.942062378000003</v>
      </c>
      <c r="E1134">
        <v>50</v>
      </c>
      <c r="F1134">
        <v>52.983695984000001</v>
      </c>
      <c r="G1134">
        <v>1326.4077147999999</v>
      </c>
      <c r="H1134">
        <v>1323.8596190999999</v>
      </c>
      <c r="I1134">
        <v>1348.8444824000001</v>
      </c>
      <c r="J1134">
        <v>1343.0980225000001</v>
      </c>
      <c r="K1134">
        <v>0</v>
      </c>
      <c r="L1134">
        <v>2750</v>
      </c>
      <c r="M1134">
        <v>2750</v>
      </c>
      <c r="N1134">
        <v>0</v>
      </c>
    </row>
    <row r="1135" spans="1:14" x14ac:dyDescent="0.25">
      <c r="A1135">
        <v>549.10265100000004</v>
      </c>
      <c r="B1135" s="1">
        <f>DATE(2011,11,1) + TIME(2,27,49)</f>
        <v>40848.102650462963</v>
      </c>
      <c r="C1135">
        <v>80</v>
      </c>
      <c r="D1135">
        <v>79.934288025000001</v>
      </c>
      <c r="E1135">
        <v>50</v>
      </c>
      <c r="F1135">
        <v>52.788013458000002</v>
      </c>
      <c r="G1135">
        <v>1326.3989257999999</v>
      </c>
      <c r="H1135">
        <v>1323.8504639</v>
      </c>
      <c r="I1135">
        <v>1348.7799072</v>
      </c>
      <c r="J1135">
        <v>1343.0546875</v>
      </c>
      <c r="K1135">
        <v>0</v>
      </c>
      <c r="L1135">
        <v>2750</v>
      </c>
      <c r="M1135">
        <v>2750</v>
      </c>
      <c r="N1135">
        <v>0</v>
      </c>
    </row>
    <row r="1136" spans="1:14" x14ac:dyDescent="0.25">
      <c r="A1136">
        <v>549.140805</v>
      </c>
      <c r="B1136" s="1">
        <f>DATE(2011,11,1) + TIME(3,22,45)</f>
        <v>40848.140798611108</v>
      </c>
      <c r="C1136">
        <v>80</v>
      </c>
      <c r="D1136">
        <v>79.926399231000005</v>
      </c>
      <c r="E1136">
        <v>50</v>
      </c>
      <c r="F1136">
        <v>52.601177216000004</v>
      </c>
      <c r="G1136">
        <v>1326.3969727000001</v>
      </c>
      <c r="H1136">
        <v>1323.8483887</v>
      </c>
      <c r="I1136">
        <v>1348.7152100000001</v>
      </c>
      <c r="J1136">
        <v>1343.0106201000001</v>
      </c>
      <c r="K1136">
        <v>0</v>
      </c>
      <c r="L1136">
        <v>2750</v>
      </c>
      <c r="M1136">
        <v>2750</v>
      </c>
      <c r="N1136">
        <v>0</v>
      </c>
    </row>
    <row r="1137" spans="1:14" x14ac:dyDescent="0.25">
      <c r="A1137">
        <v>549.18014800000003</v>
      </c>
      <c r="B1137" s="1">
        <f>DATE(2011,11,1) + TIME(4,19,24)</f>
        <v>40848.180138888885</v>
      </c>
      <c r="C1137">
        <v>80</v>
      </c>
      <c r="D1137">
        <v>79.918365479000002</v>
      </c>
      <c r="E1137">
        <v>50</v>
      </c>
      <c r="F1137">
        <v>52.422767639</v>
      </c>
      <c r="G1137">
        <v>1326.3957519999999</v>
      </c>
      <c r="H1137">
        <v>1323.8469238</v>
      </c>
      <c r="I1137">
        <v>1348.6531981999999</v>
      </c>
      <c r="J1137">
        <v>1342.9685059000001</v>
      </c>
      <c r="K1137">
        <v>0</v>
      </c>
      <c r="L1137">
        <v>2750</v>
      </c>
      <c r="M1137">
        <v>2750</v>
      </c>
      <c r="N1137">
        <v>0</v>
      </c>
    </row>
    <row r="1138" spans="1:14" x14ac:dyDescent="0.25">
      <c r="A1138">
        <v>549.22078199999999</v>
      </c>
      <c r="B1138" s="1">
        <f>DATE(2011,11,1) + TIME(5,17,55)</f>
        <v>40848.220775462964</v>
      </c>
      <c r="C1138">
        <v>80</v>
      </c>
      <c r="D1138">
        <v>79.910186768000003</v>
      </c>
      <c r="E1138">
        <v>50</v>
      </c>
      <c r="F1138">
        <v>52.252391815000003</v>
      </c>
      <c r="G1138">
        <v>1326.3946533000001</v>
      </c>
      <c r="H1138">
        <v>1323.8457031</v>
      </c>
      <c r="I1138">
        <v>1348.59375</v>
      </c>
      <c r="J1138">
        <v>1342.9282227000001</v>
      </c>
      <c r="K1138">
        <v>0</v>
      </c>
      <c r="L1138">
        <v>2750</v>
      </c>
      <c r="M1138">
        <v>2750</v>
      </c>
      <c r="N1138">
        <v>0</v>
      </c>
    </row>
    <row r="1139" spans="1:14" x14ac:dyDescent="0.25">
      <c r="A1139">
        <v>549.26281500000005</v>
      </c>
      <c r="B1139" s="1">
        <f>DATE(2011,11,1) + TIME(6,18,27)</f>
        <v>40848.262812499997</v>
      </c>
      <c r="C1139">
        <v>80</v>
      </c>
      <c r="D1139">
        <v>79.901847838999998</v>
      </c>
      <c r="E1139">
        <v>50</v>
      </c>
      <c r="F1139">
        <v>52.089717864999997</v>
      </c>
      <c r="G1139">
        <v>1326.3934326000001</v>
      </c>
      <c r="H1139">
        <v>1323.8443603999999</v>
      </c>
      <c r="I1139">
        <v>1348.5367432</v>
      </c>
      <c r="J1139">
        <v>1342.8897704999999</v>
      </c>
      <c r="K1139">
        <v>0</v>
      </c>
      <c r="L1139">
        <v>2750</v>
      </c>
      <c r="M1139">
        <v>2750</v>
      </c>
      <c r="N1139">
        <v>0</v>
      </c>
    </row>
    <row r="1140" spans="1:14" x14ac:dyDescent="0.25">
      <c r="A1140">
        <v>549.30635400000006</v>
      </c>
      <c r="B1140" s="1">
        <f>DATE(2011,11,1) + TIME(7,21,8)</f>
        <v>40848.306342592594</v>
      </c>
      <c r="C1140">
        <v>80</v>
      </c>
      <c r="D1140">
        <v>79.893318175999994</v>
      </c>
      <c r="E1140">
        <v>50</v>
      </c>
      <c r="F1140">
        <v>51.934482574</v>
      </c>
      <c r="G1140">
        <v>1326.3923339999999</v>
      </c>
      <c r="H1140">
        <v>1323.8428954999999</v>
      </c>
      <c r="I1140">
        <v>1348.4820557</v>
      </c>
      <c r="J1140">
        <v>1342.8529053</v>
      </c>
      <c r="K1140">
        <v>0</v>
      </c>
      <c r="L1140">
        <v>2750</v>
      </c>
      <c r="M1140">
        <v>2750</v>
      </c>
      <c r="N1140">
        <v>0</v>
      </c>
    </row>
    <row r="1141" spans="1:14" x14ac:dyDescent="0.25">
      <c r="A1141">
        <v>549.35155999999995</v>
      </c>
      <c r="B1141" s="1">
        <f>DATE(2011,11,1) + TIME(8,26,14)</f>
        <v>40848.351550925923</v>
      </c>
      <c r="C1141">
        <v>80</v>
      </c>
      <c r="D1141">
        <v>79.884597778</v>
      </c>
      <c r="E1141">
        <v>50</v>
      </c>
      <c r="F1141">
        <v>51.786312103</v>
      </c>
      <c r="G1141">
        <v>1326.3911132999999</v>
      </c>
      <c r="H1141">
        <v>1323.8414307</v>
      </c>
      <c r="I1141">
        <v>1348.4296875</v>
      </c>
      <c r="J1141">
        <v>1342.8176269999999</v>
      </c>
      <c r="K1141">
        <v>0</v>
      </c>
      <c r="L1141">
        <v>2750</v>
      </c>
      <c r="M1141">
        <v>2750</v>
      </c>
      <c r="N1141">
        <v>0</v>
      </c>
    </row>
    <row r="1142" spans="1:14" x14ac:dyDescent="0.25">
      <c r="A1142">
        <v>549.39859200000001</v>
      </c>
      <c r="B1142" s="1">
        <f>DATE(2011,11,1) + TIME(9,33,58)</f>
        <v>40848.398587962962</v>
      </c>
      <c r="C1142">
        <v>80</v>
      </c>
      <c r="D1142">
        <v>79.875640868999994</v>
      </c>
      <c r="E1142">
        <v>50</v>
      </c>
      <c r="F1142">
        <v>51.644947051999999</v>
      </c>
      <c r="G1142">
        <v>1326.3897704999999</v>
      </c>
      <c r="H1142">
        <v>1323.8399658000001</v>
      </c>
      <c r="I1142">
        <v>1348.3792725000001</v>
      </c>
      <c r="J1142">
        <v>1342.7836914</v>
      </c>
      <c r="K1142">
        <v>0</v>
      </c>
      <c r="L1142">
        <v>2750</v>
      </c>
      <c r="M1142">
        <v>2750</v>
      </c>
      <c r="N1142">
        <v>0</v>
      </c>
    </row>
    <row r="1143" spans="1:14" x14ac:dyDescent="0.25">
      <c r="A1143">
        <v>549.44762800000001</v>
      </c>
      <c r="B1143" s="1">
        <f>DATE(2011,11,1) + TIME(10,44,35)</f>
        <v>40848.447627314818</v>
      </c>
      <c r="C1143">
        <v>80</v>
      </c>
      <c r="D1143">
        <v>79.866447449000006</v>
      </c>
      <c r="E1143">
        <v>50</v>
      </c>
      <c r="F1143">
        <v>51.510150908999996</v>
      </c>
      <c r="G1143">
        <v>1326.3884277</v>
      </c>
      <c r="H1143">
        <v>1323.8383789</v>
      </c>
      <c r="I1143">
        <v>1348.3308105000001</v>
      </c>
      <c r="J1143">
        <v>1342.7513428</v>
      </c>
      <c r="K1143">
        <v>0</v>
      </c>
      <c r="L1143">
        <v>2750</v>
      </c>
      <c r="M1143">
        <v>2750</v>
      </c>
      <c r="N1143">
        <v>0</v>
      </c>
    </row>
    <row r="1144" spans="1:14" x14ac:dyDescent="0.25">
      <c r="A1144">
        <v>549.49887000000001</v>
      </c>
      <c r="B1144" s="1">
        <f>DATE(2011,11,1) + TIME(11,58,22)</f>
        <v>40848.498865740738</v>
      </c>
      <c r="C1144">
        <v>80</v>
      </c>
      <c r="D1144">
        <v>79.856971740999995</v>
      </c>
      <c r="E1144">
        <v>50</v>
      </c>
      <c r="F1144">
        <v>51.381710052000003</v>
      </c>
      <c r="G1144">
        <v>1326.3870850000001</v>
      </c>
      <c r="H1144">
        <v>1323.8366699000001</v>
      </c>
      <c r="I1144">
        <v>1348.2841797000001</v>
      </c>
      <c r="J1144">
        <v>1342.7202147999999</v>
      </c>
      <c r="K1144">
        <v>0</v>
      </c>
      <c r="L1144">
        <v>2750</v>
      </c>
      <c r="M1144">
        <v>2750</v>
      </c>
      <c r="N1144">
        <v>0</v>
      </c>
    </row>
    <row r="1145" spans="1:14" x14ac:dyDescent="0.25">
      <c r="A1145">
        <v>549.55253500000003</v>
      </c>
      <c r="B1145" s="1">
        <f>DATE(2011,11,1) + TIME(13,15,39)</f>
        <v>40848.552534722221</v>
      </c>
      <c r="C1145">
        <v>80</v>
      </c>
      <c r="D1145">
        <v>79.847190857000001</v>
      </c>
      <c r="E1145">
        <v>50</v>
      </c>
      <c r="F1145">
        <v>51.259464264000002</v>
      </c>
      <c r="G1145">
        <v>1326.3856201000001</v>
      </c>
      <c r="H1145">
        <v>1323.8349608999999</v>
      </c>
      <c r="I1145">
        <v>1348.2395019999999</v>
      </c>
      <c r="J1145">
        <v>1342.6903076000001</v>
      </c>
      <c r="K1145">
        <v>0</v>
      </c>
      <c r="L1145">
        <v>2750</v>
      </c>
      <c r="M1145">
        <v>2750</v>
      </c>
      <c r="N1145">
        <v>0</v>
      </c>
    </row>
    <row r="1146" spans="1:14" x14ac:dyDescent="0.25">
      <c r="A1146">
        <v>549.60889999999995</v>
      </c>
      <c r="B1146" s="1">
        <f>DATE(2011,11,1) + TIME(14,36,48)</f>
        <v>40848.608888888892</v>
      </c>
      <c r="C1146">
        <v>80</v>
      </c>
      <c r="D1146">
        <v>79.837074279999996</v>
      </c>
      <c r="E1146">
        <v>50</v>
      </c>
      <c r="F1146">
        <v>51.143222809000001</v>
      </c>
      <c r="G1146">
        <v>1326.3841553</v>
      </c>
      <c r="H1146">
        <v>1323.8331298999999</v>
      </c>
      <c r="I1146">
        <v>1348.1962891000001</v>
      </c>
      <c r="J1146">
        <v>1342.6616211</v>
      </c>
      <c r="K1146">
        <v>0</v>
      </c>
      <c r="L1146">
        <v>2750</v>
      </c>
      <c r="M1146">
        <v>2750</v>
      </c>
      <c r="N1146">
        <v>0</v>
      </c>
    </row>
    <row r="1147" spans="1:14" x14ac:dyDescent="0.25">
      <c r="A1147">
        <v>549.66827000000001</v>
      </c>
      <c r="B1147" s="1">
        <f>DATE(2011,11,1) + TIME(16,2,18)</f>
        <v>40848.668263888889</v>
      </c>
      <c r="C1147">
        <v>80</v>
      </c>
      <c r="D1147">
        <v>79.826576232999997</v>
      </c>
      <c r="E1147">
        <v>50</v>
      </c>
      <c r="F1147">
        <v>51.032836914000001</v>
      </c>
      <c r="G1147">
        <v>1326.3825684000001</v>
      </c>
      <c r="H1147">
        <v>1323.8312988</v>
      </c>
      <c r="I1147">
        <v>1348.1546631000001</v>
      </c>
      <c r="J1147">
        <v>1342.6341553</v>
      </c>
      <c r="K1147">
        <v>0</v>
      </c>
      <c r="L1147">
        <v>2750</v>
      </c>
      <c r="M1147">
        <v>2750</v>
      </c>
      <c r="N1147">
        <v>0</v>
      </c>
    </row>
    <row r="1148" spans="1:14" x14ac:dyDescent="0.25">
      <c r="A1148">
        <v>549.73100299999999</v>
      </c>
      <c r="B1148" s="1">
        <f>DATE(2011,11,1) + TIME(17,32,38)</f>
        <v>40848.730995370373</v>
      </c>
      <c r="C1148">
        <v>80</v>
      </c>
      <c r="D1148">
        <v>79.815650939999998</v>
      </c>
      <c r="E1148">
        <v>50</v>
      </c>
      <c r="F1148">
        <v>50.928176880000002</v>
      </c>
      <c r="G1148">
        <v>1326.3808594</v>
      </c>
      <c r="H1148">
        <v>1323.8292236</v>
      </c>
      <c r="I1148">
        <v>1348.114624</v>
      </c>
      <c r="J1148">
        <v>1342.6076660000001</v>
      </c>
      <c r="K1148">
        <v>0</v>
      </c>
      <c r="L1148">
        <v>2750</v>
      </c>
      <c r="M1148">
        <v>2750</v>
      </c>
      <c r="N1148">
        <v>0</v>
      </c>
    </row>
    <row r="1149" spans="1:14" x14ac:dyDescent="0.25">
      <c r="A1149">
        <v>549.79751799999997</v>
      </c>
      <c r="B1149" s="1">
        <f>DATE(2011,11,1) + TIME(19,8,25)</f>
        <v>40848.797511574077</v>
      </c>
      <c r="C1149">
        <v>80</v>
      </c>
      <c r="D1149">
        <v>79.804252625000004</v>
      </c>
      <c r="E1149">
        <v>50</v>
      </c>
      <c r="F1149">
        <v>50.829143524000003</v>
      </c>
      <c r="G1149">
        <v>1326.3790283000001</v>
      </c>
      <c r="H1149">
        <v>1323.8270264</v>
      </c>
      <c r="I1149">
        <v>1348.0758057</v>
      </c>
      <c r="J1149">
        <v>1342.5821533000001</v>
      </c>
      <c r="K1149">
        <v>0</v>
      </c>
      <c r="L1149">
        <v>2750</v>
      </c>
      <c r="M1149">
        <v>2750</v>
      </c>
      <c r="N1149">
        <v>0</v>
      </c>
    </row>
    <row r="1150" spans="1:14" x14ac:dyDescent="0.25">
      <c r="A1150">
        <v>549.86831199999995</v>
      </c>
      <c r="B1150" s="1">
        <f>DATE(2011,11,1) + TIME(20,50,22)</f>
        <v>40848.868310185186</v>
      </c>
      <c r="C1150">
        <v>80</v>
      </c>
      <c r="D1150">
        <v>79.792320251000007</v>
      </c>
      <c r="E1150">
        <v>50</v>
      </c>
      <c r="F1150">
        <v>50.735637664999999</v>
      </c>
      <c r="G1150">
        <v>1326.3770752</v>
      </c>
      <c r="H1150">
        <v>1323.824707</v>
      </c>
      <c r="I1150">
        <v>1348.0382079999999</v>
      </c>
      <c r="J1150">
        <v>1342.5574951000001</v>
      </c>
      <c r="K1150">
        <v>0</v>
      </c>
      <c r="L1150">
        <v>2750</v>
      </c>
      <c r="M1150">
        <v>2750</v>
      </c>
      <c r="N1150">
        <v>0</v>
      </c>
    </row>
    <row r="1151" spans="1:14" x14ac:dyDescent="0.25">
      <c r="A1151">
        <v>549.94398200000001</v>
      </c>
      <c r="B1151" s="1">
        <f>DATE(2011,11,1) + TIME(22,39,20)</f>
        <v>40848.943981481483</v>
      </c>
      <c r="C1151">
        <v>80</v>
      </c>
      <c r="D1151">
        <v>79.779769896999994</v>
      </c>
      <c r="E1151">
        <v>50</v>
      </c>
      <c r="F1151">
        <v>50.647594452</v>
      </c>
      <c r="G1151">
        <v>1326.3751221</v>
      </c>
      <c r="H1151">
        <v>1323.8222656</v>
      </c>
      <c r="I1151">
        <v>1348.0017089999999</v>
      </c>
      <c r="J1151">
        <v>1342.5336914</v>
      </c>
      <c r="K1151">
        <v>0</v>
      </c>
      <c r="L1151">
        <v>2750</v>
      </c>
      <c r="M1151">
        <v>2750</v>
      </c>
      <c r="N1151">
        <v>0</v>
      </c>
    </row>
    <row r="1152" spans="1:14" x14ac:dyDescent="0.25">
      <c r="A1152">
        <v>550.02524700000004</v>
      </c>
      <c r="B1152" s="1">
        <f>DATE(2011,11,2) + TIME(0,36,21)</f>
        <v>40849.025243055556</v>
      </c>
      <c r="C1152">
        <v>80</v>
      </c>
      <c r="D1152">
        <v>79.766517639</v>
      </c>
      <c r="E1152">
        <v>50</v>
      </c>
      <c r="F1152">
        <v>50.564945221000002</v>
      </c>
      <c r="G1152">
        <v>1326.3729248</v>
      </c>
      <c r="H1152">
        <v>1323.8195800999999</v>
      </c>
      <c r="I1152">
        <v>1347.9663086</v>
      </c>
      <c r="J1152">
        <v>1342.5107422000001</v>
      </c>
      <c r="K1152">
        <v>0</v>
      </c>
      <c r="L1152">
        <v>2750</v>
      </c>
      <c r="M1152">
        <v>2750</v>
      </c>
      <c r="N1152">
        <v>0</v>
      </c>
    </row>
    <row r="1153" spans="1:14" x14ac:dyDescent="0.25">
      <c r="A1153">
        <v>550.11299399999996</v>
      </c>
      <c r="B1153" s="1">
        <f>DATE(2011,11,2) + TIME(2,42,42)</f>
        <v>40849.112986111111</v>
      </c>
      <c r="C1153">
        <v>80</v>
      </c>
      <c r="D1153">
        <v>79.752464294000006</v>
      </c>
      <c r="E1153">
        <v>50</v>
      </c>
      <c r="F1153">
        <v>50.487663269000002</v>
      </c>
      <c r="G1153">
        <v>1326.3704834</v>
      </c>
      <c r="H1153">
        <v>1323.8166504000001</v>
      </c>
      <c r="I1153">
        <v>1347.9316406</v>
      </c>
      <c r="J1153">
        <v>1342.4884033000001</v>
      </c>
      <c r="K1153">
        <v>0</v>
      </c>
      <c r="L1153">
        <v>2750</v>
      </c>
      <c r="M1153">
        <v>2750</v>
      </c>
      <c r="N1153">
        <v>0</v>
      </c>
    </row>
    <row r="1154" spans="1:14" x14ac:dyDescent="0.25">
      <c r="A1154">
        <v>550.20832299999995</v>
      </c>
      <c r="B1154" s="1">
        <f>DATE(2011,11,2) + TIME(4,59,59)</f>
        <v>40849.208321759259</v>
      </c>
      <c r="C1154">
        <v>80</v>
      </c>
      <c r="D1154">
        <v>79.737472534000005</v>
      </c>
      <c r="E1154">
        <v>50</v>
      </c>
      <c r="F1154">
        <v>50.415710449000002</v>
      </c>
      <c r="G1154">
        <v>1326.3679199000001</v>
      </c>
      <c r="H1154">
        <v>1323.8134766000001</v>
      </c>
      <c r="I1154">
        <v>1347.8978271000001</v>
      </c>
      <c r="J1154">
        <v>1342.4665527</v>
      </c>
      <c r="K1154">
        <v>0</v>
      </c>
      <c r="L1154">
        <v>2750</v>
      </c>
      <c r="M1154">
        <v>2750</v>
      </c>
      <c r="N1154">
        <v>0</v>
      </c>
    </row>
    <row r="1155" spans="1:14" x14ac:dyDescent="0.25">
      <c r="A1155">
        <v>550.31261700000005</v>
      </c>
      <c r="B1155" s="1">
        <f>DATE(2011,11,2) + TIME(7,30,10)</f>
        <v>40849.312615740739</v>
      </c>
      <c r="C1155">
        <v>80</v>
      </c>
      <c r="D1155">
        <v>79.721382141000007</v>
      </c>
      <c r="E1155">
        <v>50</v>
      </c>
      <c r="F1155">
        <v>50.349094391000001</v>
      </c>
      <c r="G1155">
        <v>1326.3651123</v>
      </c>
      <c r="H1155">
        <v>1323.8099365</v>
      </c>
      <c r="I1155">
        <v>1347.8645019999999</v>
      </c>
      <c r="J1155">
        <v>1342.4453125</v>
      </c>
      <c r="K1155">
        <v>0</v>
      </c>
      <c r="L1155">
        <v>2750</v>
      </c>
      <c r="M1155">
        <v>2750</v>
      </c>
      <c r="N1155">
        <v>0</v>
      </c>
    </row>
    <row r="1156" spans="1:14" x14ac:dyDescent="0.25">
      <c r="A1156">
        <v>550.42765499999996</v>
      </c>
      <c r="B1156" s="1">
        <f>DATE(2011,11,2) + TIME(10,15,49)</f>
        <v>40849.42765046296</v>
      </c>
      <c r="C1156">
        <v>80</v>
      </c>
      <c r="D1156">
        <v>79.703994750999996</v>
      </c>
      <c r="E1156">
        <v>50</v>
      </c>
      <c r="F1156">
        <v>50.287815094000003</v>
      </c>
      <c r="G1156">
        <v>1326.3620605000001</v>
      </c>
      <c r="H1156">
        <v>1323.8060303</v>
      </c>
      <c r="I1156">
        <v>1347.8316649999999</v>
      </c>
      <c r="J1156">
        <v>1342.4245605000001</v>
      </c>
      <c r="K1156">
        <v>0</v>
      </c>
      <c r="L1156">
        <v>2750</v>
      </c>
      <c r="M1156">
        <v>2750</v>
      </c>
      <c r="N1156">
        <v>0</v>
      </c>
    </row>
    <row r="1157" spans="1:14" x14ac:dyDescent="0.25">
      <c r="A1157">
        <v>550.55581099999995</v>
      </c>
      <c r="B1157" s="1">
        <f>DATE(2011,11,2) + TIME(13,20,22)</f>
        <v>40849.555810185186</v>
      </c>
      <c r="C1157">
        <v>80</v>
      </c>
      <c r="D1157">
        <v>79.685035705999994</v>
      </c>
      <c r="E1157">
        <v>50</v>
      </c>
      <c r="F1157">
        <v>50.231891632</v>
      </c>
      <c r="G1157">
        <v>1326.3585204999999</v>
      </c>
      <c r="H1157">
        <v>1323.8016356999999</v>
      </c>
      <c r="I1157">
        <v>1347.7990723</v>
      </c>
      <c r="J1157">
        <v>1342.4039307</v>
      </c>
      <c r="K1157">
        <v>0</v>
      </c>
      <c r="L1157">
        <v>2750</v>
      </c>
      <c r="M1157">
        <v>2750</v>
      </c>
      <c r="N1157">
        <v>0</v>
      </c>
    </row>
    <row r="1158" spans="1:14" x14ac:dyDescent="0.25">
      <c r="A1158">
        <v>550.70026499999994</v>
      </c>
      <c r="B1158" s="1">
        <f>DATE(2011,11,2) + TIME(16,48,22)</f>
        <v>40849.700254629628</v>
      </c>
      <c r="C1158">
        <v>80</v>
      </c>
      <c r="D1158">
        <v>79.664169311999999</v>
      </c>
      <c r="E1158">
        <v>50</v>
      </c>
      <c r="F1158">
        <v>50.181354523000003</v>
      </c>
      <c r="G1158">
        <v>1326.3546143000001</v>
      </c>
      <c r="H1158">
        <v>1323.7966309000001</v>
      </c>
      <c r="I1158">
        <v>1347.7663574000001</v>
      </c>
      <c r="J1158">
        <v>1342.3835449000001</v>
      </c>
      <c r="K1158">
        <v>0</v>
      </c>
      <c r="L1158">
        <v>2750</v>
      </c>
      <c r="M1158">
        <v>2750</v>
      </c>
      <c r="N1158">
        <v>0</v>
      </c>
    </row>
    <row r="1159" spans="1:14" x14ac:dyDescent="0.25">
      <c r="A1159">
        <v>550.85437000000002</v>
      </c>
      <c r="B1159" s="1">
        <f>DATE(2011,11,2) + TIME(20,30,17)</f>
        <v>40849.854363425926</v>
      </c>
      <c r="C1159">
        <v>80</v>
      </c>
      <c r="D1159">
        <v>79.642219542999996</v>
      </c>
      <c r="E1159">
        <v>50</v>
      </c>
      <c r="F1159">
        <v>50.138652802000003</v>
      </c>
      <c r="G1159">
        <v>1326.3500977000001</v>
      </c>
      <c r="H1159">
        <v>1323.7910156</v>
      </c>
      <c r="I1159">
        <v>1347.7355957</v>
      </c>
      <c r="J1159">
        <v>1342.3645019999999</v>
      </c>
      <c r="K1159">
        <v>0</v>
      </c>
      <c r="L1159">
        <v>2750</v>
      </c>
      <c r="M1159">
        <v>2750</v>
      </c>
      <c r="N1159">
        <v>0</v>
      </c>
    </row>
    <row r="1160" spans="1:14" x14ac:dyDescent="0.25">
      <c r="A1160">
        <v>551.00985900000001</v>
      </c>
      <c r="B1160" s="1">
        <f>DATE(2011,11,3) + TIME(0,14,11)</f>
        <v>40850.00984953704</v>
      </c>
      <c r="C1160">
        <v>80</v>
      </c>
      <c r="D1160">
        <v>79.620178222999996</v>
      </c>
      <c r="E1160">
        <v>50</v>
      </c>
      <c r="F1160">
        <v>50.104553223000003</v>
      </c>
      <c r="G1160">
        <v>1326.3453368999999</v>
      </c>
      <c r="H1160">
        <v>1323.7849120999999</v>
      </c>
      <c r="I1160">
        <v>1347.7075195</v>
      </c>
      <c r="J1160">
        <v>1342.347168</v>
      </c>
      <c r="K1160">
        <v>0</v>
      </c>
      <c r="L1160">
        <v>2750</v>
      </c>
      <c r="M1160">
        <v>2750</v>
      </c>
      <c r="N1160">
        <v>0</v>
      </c>
    </row>
    <row r="1161" spans="1:14" x14ac:dyDescent="0.25">
      <c r="A1161">
        <v>551.16823899999997</v>
      </c>
      <c r="B1161" s="1">
        <f>DATE(2011,11,3) + TIME(4,2,15)</f>
        <v>40850.168229166666</v>
      </c>
      <c r="C1161">
        <v>80</v>
      </c>
      <c r="D1161">
        <v>79.597877502000003</v>
      </c>
      <c r="E1161">
        <v>50</v>
      </c>
      <c r="F1161">
        <v>50.077148438000002</v>
      </c>
      <c r="G1161">
        <v>1326.340332</v>
      </c>
      <c r="H1161">
        <v>1323.7785644999999</v>
      </c>
      <c r="I1161">
        <v>1347.6811522999999</v>
      </c>
      <c r="J1161">
        <v>1342.3311768000001</v>
      </c>
      <c r="K1161">
        <v>0</v>
      </c>
      <c r="L1161">
        <v>2750</v>
      </c>
      <c r="M1161">
        <v>2750</v>
      </c>
      <c r="N1161">
        <v>0</v>
      </c>
    </row>
    <row r="1162" spans="1:14" x14ac:dyDescent="0.25">
      <c r="A1162">
        <v>551.33040000000005</v>
      </c>
      <c r="B1162" s="1">
        <f>DATE(2011,11,3) + TIME(7,55,46)</f>
        <v>40850.330393518518</v>
      </c>
      <c r="C1162">
        <v>80</v>
      </c>
      <c r="D1162">
        <v>79.575210571</v>
      </c>
      <c r="E1162">
        <v>50</v>
      </c>
      <c r="F1162">
        <v>50.055103301999999</v>
      </c>
      <c r="G1162">
        <v>1326.3350829999999</v>
      </c>
      <c r="H1162">
        <v>1323.7719727000001</v>
      </c>
      <c r="I1162">
        <v>1347.6563721</v>
      </c>
      <c r="J1162">
        <v>1342.3160399999999</v>
      </c>
      <c r="K1162">
        <v>0</v>
      </c>
      <c r="L1162">
        <v>2750</v>
      </c>
      <c r="M1162">
        <v>2750</v>
      </c>
      <c r="N1162">
        <v>0</v>
      </c>
    </row>
    <row r="1163" spans="1:14" x14ac:dyDescent="0.25">
      <c r="A1163">
        <v>551.49728000000005</v>
      </c>
      <c r="B1163" s="1">
        <f>DATE(2011,11,3) + TIME(11,56,5)</f>
        <v>40850.49728009259</v>
      </c>
      <c r="C1163">
        <v>80</v>
      </c>
      <c r="D1163">
        <v>79.552085876000007</v>
      </c>
      <c r="E1163">
        <v>50</v>
      </c>
      <c r="F1163">
        <v>50.037372589</v>
      </c>
      <c r="G1163">
        <v>1326.3297118999999</v>
      </c>
      <c r="H1163">
        <v>1323.7651367000001</v>
      </c>
      <c r="I1163">
        <v>1347.6328125</v>
      </c>
      <c r="J1163">
        <v>1342.3017577999999</v>
      </c>
      <c r="K1163">
        <v>0</v>
      </c>
      <c r="L1163">
        <v>2750</v>
      </c>
      <c r="M1163">
        <v>2750</v>
      </c>
      <c r="N1163">
        <v>0</v>
      </c>
    </row>
    <row r="1164" spans="1:14" x14ac:dyDescent="0.25">
      <c r="A1164">
        <v>551.66943600000002</v>
      </c>
      <c r="B1164" s="1">
        <f>DATE(2011,11,3) + TIME(16,3,59)</f>
        <v>40850.669432870367</v>
      </c>
      <c r="C1164">
        <v>80</v>
      </c>
      <c r="D1164">
        <v>79.528442382999998</v>
      </c>
      <c r="E1164">
        <v>50</v>
      </c>
      <c r="F1164">
        <v>50.023162841999998</v>
      </c>
      <c r="G1164">
        <v>1326.3240966999999</v>
      </c>
      <c r="H1164">
        <v>1323.7578125</v>
      </c>
      <c r="I1164">
        <v>1347.6101074000001</v>
      </c>
      <c r="J1164">
        <v>1342.2880858999999</v>
      </c>
      <c r="K1164">
        <v>0</v>
      </c>
      <c r="L1164">
        <v>2750</v>
      </c>
      <c r="M1164">
        <v>2750</v>
      </c>
      <c r="N1164">
        <v>0</v>
      </c>
    </row>
    <row r="1165" spans="1:14" x14ac:dyDescent="0.25">
      <c r="A1165">
        <v>551.84737299999995</v>
      </c>
      <c r="B1165" s="1">
        <f>DATE(2011,11,3) + TIME(20,20,12)</f>
        <v>40850.847361111111</v>
      </c>
      <c r="C1165">
        <v>80</v>
      </c>
      <c r="D1165">
        <v>79.504219054999993</v>
      </c>
      <c r="E1165">
        <v>50</v>
      </c>
      <c r="F1165">
        <v>50.011829376000001</v>
      </c>
      <c r="G1165">
        <v>1326.3182373</v>
      </c>
      <c r="H1165">
        <v>1323.7501221</v>
      </c>
      <c r="I1165">
        <v>1347.5881348</v>
      </c>
      <c r="J1165">
        <v>1342.2749022999999</v>
      </c>
      <c r="K1165">
        <v>0</v>
      </c>
      <c r="L1165">
        <v>2750</v>
      </c>
      <c r="M1165">
        <v>2750</v>
      </c>
      <c r="N1165">
        <v>0</v>
      </c>
    </row>
    <row r="1166" spans="1:14" x14ac:dyDescent="0.25">
      <c r="A1166">
        <v>552.03211399999998</v>
      </c>
      <c r="B1166" s="1">
        <f>DATE(2011,11,4) + TIME(0,46,14)</f>
        <v>40851.032106481478</v>
      </c>
      <c r="C1166">
        <v>80</v>
      </c>
      <c r="D1166">
        <v>79.479316710999996</v>
      </c>
      <c r="E1166">
        <v>50</v>
      </c>
      <c r="F1166">
        <v>50.002819060999997</v>
      </c>
      <c r="G1166">
        <v>1326.3120117000001</v>
      </c>
      <c r="H1166">
        <v>1323.7420654</v>
      </c>
      <c r="I1166">
        <v>1347.5668945</v>
      </c>
      <c r="J1166">
        <v>1342.262207</v>
      </c>
      <c r="K1166">
        <v>0</v>
      </c>
      <c r="L1166">
        <v>2750</v>
      </c>
      <c r="M1166">
        <v>2750</v>
      </c>
      <c r="N1166">
        <v>0</v>
      </c>
    </row>
    <row r="1167" spans="1:14" x14ac:dyDescent="0.25">
      <c r="A1167">
        <v>552.22477100000003</v>
      </c>
      <c r="B1167" s="1">
        <f>DATE(2011,11,4) + TIME(5,23,40)</f>
        <v>40851.224768518521</v>
      </c>
      <c r="C1167">
        <v>80</v>
      </c>
      <c r="D1167">
        <v>79.453605651999993</v>
      </c>
      <c r="E1167">
        <v>50</v>
      </c>
      <c r="F1167">
        <v>49.995685577000003</v>
      </c>
      <c r="G1167">
        <v>1326.3054199000001</v>
      </c>
      <c r="H1167">
        <v>1323.7335204999999</v>
      </c>
      <c r="I1167">
        <v>1347.5461425999999</v>
      </c>
      <c r="J1167">
        <v>1342.2497559000001</v>
      </c>
      <c r="K1167">
        <v>0</v>
      </c>
      <c r="L1167">
        <v>2750</v>
      </c>
      <c r="M1167">
        <v>2750</v>
      </c>
      <c r="N1167">
        <v>0</v>
      </c>
    </row>
    <row r="1168" spans="1:14" x14ac:dyDescent="0.25">
      <c r="A1168">
        <v>552.42661499999997</v>
      </c>
      <c r="B1168" s="1">
        <f>DATE(2011,11,4) + TIME(10,14,19)</f>
        <v>40851.426608796297</v>
      </c>
      <c r="C1168">
        <v>80</v>
      </c>
      <c r="D1168">
        <v>79.426971436000002</v>
      </c>
      <c r="E1168">
        <v>50</v>
      </c>
      <c r="F1168">
        <v>49.990070342999999</v>
      </c>
      <c r="G1168">
        <v>1326.2984618999999</v>
      </c>
      <c r="H1168">
        <v>1323.7244873</v>
      </c>
      <c r="I1168">
        <v>1347.5257568</v>
      </c>
      <c r="J1168">
        <v>1342.2375488</v>
      </c>
      <c r="K1168">
        <v>0</v>
      </c>
      <c r="L1168">
        <v>2750</v>
      </c>
      <c r="M1168">
        <v>2750</v>
      </c>
      <c r="N1168">
        <v>0</v>
      </c>
    </row>
    <row r="1169" spans="1:14" x14ac:dyDescent="0.25">
      <c r="A1169">
        <v>552.63912300000004</v>
      </c>
      <c r="B1169" s="1">
        <f>DATE(2011,11,4) + TIME(15,20,20)</f>
        <v>40851.639120370368</v>
      </c>
      <c r="C1169">
        <v>80</v>
      </c>
      <c r="D1169">
        <v>79.399246215999995</v>
      </c>
      <c r="E1169">
        <v>50</v>
      </c>
      <c r="F1169">
        <v>49.985679626</v>
      </c>
      <c r="G1169">
        <v>1326.2911377</v>
      </c>
      <c r="H1169">
        <v>1323.7148437999999</v>
      </c>
      <c r="I1169">
        <v>1347.5056152</v>
      </c>
      <c r="J1169">
        <v>1342.2254639</v>
      </c>
      <c r="K1169">
        <v>0</v>
      </c>
      <c r="L1169">
        <v>2750</v>
      </c>
      <c r="M1169">
        <v>2750</v>
      </c>
      <c r="N1169">
        <v>0</v>
      </c>
    </row>
    <row r="1170" spans="1:14" x14ac:dyDescent="0.25">
      <c r="A1170">
        <v>552.86404100000004</v>
      </c>
      <c r="B1170" s="1">
        <f>DATE(2011,11,4) + TIME(20,44,13)</f>
        <v>40851.864039351851</v>
      </c>
      <c r="C1170">
        <v>80</v>
      </c>
      <c r="D1170">
        <v>79.370262146000002</v>
      </c>
      <c r="E1170">
        <v>50</v>
      </c>
      <c r="F1170">
        <v>49.982280731000003</v>
      </c>
      <c r="G1170">
        <v>1326.2833252</v>
      </c>
      <c r="H1170">
        <v>1323.7044678</v>
      </c>
      <c r="I1170">
        <v>1347.4854736</v>
      </c>
      <c r="J1170">
        <v>1342.213501</v>
      </c>
      <c r="K1170">
        <v>0</v>
      </c>
      <c r="L1170">
        <v>2750</v>
      </c>
      <c r="M1170">
        <v>2750</v>
      </c>
      <c r="N1170">
        <v>0</v>
      </c>
    </row>
    <row r="1171" spans="1:14" x14ac:dyDescent="0.25">
      <c r="A1171">
        <v>553.10044900000003</v>
      </c>
      <c r="B1171" s="1">
        <f>DATE(2011,11,5) + TIME(2,24,38)</f>
        <v>40852.100439814814</v>
      </c>
      <c r="C1171">
        <v>80</v>
      </c>
      <c r="D1171">
        <v>79.340110779</v>
      </c>
      <c r="E1171">
        <v>50</v>
      </c>
      <c r="F1171">
        <v>49.979690552000001</v>
      </c>
      <c r="G1171">
        <v>1326.2749022999999</v>
      </c>
      <c r="H1171">
        <v>1323.6932373</v>
      </c>
      <c r="I1171">
        <v>1347.4654541</v>
      </c>
      <c r="J1171">
        <v>1342.2015381000001</v>
      </c>
      <c r="K1171">
        <v>0</v>
      </c>
      <c r="L1171">
        <v>2750</v>
      </c>
      <c r="M1171">
        <v>2750</v>
      </c>
      <c r="N1171">
        <v>0</v>
      </c>
    </row>
    <row r="1172" spans="1:14" x14ac:dyDescent="0.25">
      <c r="A1172">
        <v>553.34263499999997</v>
      </c>
      <c r="B1172" s="1">
        <f>DATE(2011,11,5) + TIME(8,13,23)</f>
        <v>40852.342627314814</v>
      </c>
      <c r="C1172">
        <v>80</v>
      </c>
      <c r="D1172">
        <v>79.309341431000007</v>
      </c>
      <c r="E1172">
        <v>50</v>
      </c>
      <c r="F1172">
        <v>49.977775573999999</v>
      </c>
      <c r="G1172">
        <v>1326.2658690999999</v>
      </c>
      <c r="H1172">
        <v>1323.6813964999999</v>
      </c>
      <c r="I1172">
        <v>1347.4456786999999</v>
      </c>
      <c r="J1172">
        <v>1342.1895752</v>
      </c>
      <c r="K1172">
        <v>0</v>
      </c>
      <c r="L1172">
        <v>2750</v>
      </c>
      <c r="M1172">
        <v>2750</v>
      </c>
      <c r="N1172">
        <v>0</v>
      </c>
    </row>
    <row r="1173" spans="1:14" x14ac:dyDescent="0.25">
      <c r="A1173">
        <v>553.591137</v>
      </c>
      <c r="B1173" s="1">
        <f>DATE(2011,11,5) + TIME(14,11,14)</f>
        <v>40852.591134259259</v>
      </c>
      <c r="C1173">
        <v>80</v>
      </c>
      <c r="D1173">
        <v>79.277946471999996</v>
      </c>
      <c r="E1173">
        <v>50</v>
      </c>
      <c r="F1173">
        <v>49.976367949999997</v>
      </c>
      <c r="G1173">
        <v>1326.2565918</v>
      </c>
      <c r="H1173">
        <v>1323.6690673999999</v>
      </c>
      <c r="I1173">
        <v>1347.4262695</v>
      </c>
      <c r="J1173">
        <v>1342.1781006000001</v>
      </c>
      <c r="K1173">
        <v>0</v>
      </c>
      <c r="L1173">
        <v>2750</v>
      </c>
      <c r="M1173">
        <v>2750</v>
      </c>
      <c r="N1173">
        <v>0</v>
      </c>
    </row>
    <row r="1174" spans="1:14" x14ac:dyDescent="0.25">
      <c r="A1174">
        <v>553.84553300000005</v>
      </c>
      <c r="B1174" s="1">
        <f>DATE(2011,11,5) + TIME(20,17,34)</f>
        <v>40852.845532407409</v>
      </c>
      <c r="C1174">
        <v>80</v>
      </c>
      <c r="D1174">
        <v>79.245979309000006</v>
      </c>
      <c r="E1174">
        <v>50</v>
      </c>
      <c r="F1174">
        <v>49.975337981999999</v>
      </c>
      <c r="G1174">
        <v>1326.2469481999999</v>
      </c>
      <c r="H1174">
        <v>1323.6561279</v>
      </c>
      <c r="I1174">
        <v>1347.4074707</v>
      </c>
      <c r="J1174">
        <v>1342.1668701000001</v>
      </c>
      <c r="K1174">
        <v>0</v>
      </c>
      <c r="L1174">
        <v>2750</v>
      </c>
      <c r="M1174">
        <v>2750</v>
      </c>
      <c r="N1174">
        <v>0</v>
      </c>
    </row>
    <row r="1175" spans="1:14" x14ac:dyDescent="0.25">
      <c r="A1175">
        <v>554.10413600000004</v>
      </c>
      <c r="B1175" s="1">
        <f>DATE(2011,11,6) + TIME(2,29,57)</f>
        <v>40853.104131944441</v>
      </c>
      <c r="C1175">
        <v>80</v>
      </c>
      <c r="D1175">
        <v>79.213623046999999</v>
      </c>
      <c r="E1175">
        <v>50</v>
      </c>
      <c r="F1175">
        <v>49.974586487000003</v>
      </c>
      <c r="G1175">
        <v>1326.2368164</v>
      </c>
      <c r="H1175">
        <v>1323.6427002</v>
      </c>
      <c r="I1175">
        <v>1347.3891602000001</v>
      </c>
      <c r="J1175">
        <v>1342.1558838000001</v>
      </c>
      <c r="K1175">
        <v>0</v>
      </c>
      <c r="L1175">
        <v>2750</v>
      </c>
      <c r="M1175">
        <v>2750</v>
      </c>
      <c r="N1175">
        <v>0</v>
      </c>
    </row>
    <row r="1176" spans="1:14" x14ac:dyDescent="0.25">
      <c r="A1176">
        <v>554.36730499999999</v>
      </c>
      <c r="B1176" s="1">
        <f>DATE(2011,11,6) + TIME(8,48,55)</f>
        <v>40853.367303240739</v>
      </c>
      <c r="C1176">
        <v>80</v>
      </c>
      <c r="D1176">
        <v>79.180877686000002</v>
      </c>
      <c r="E1176">
        <v>50</v>
      </c>
      <c r="F1176">
        <v>49.974040985000002</v>
      </c>
      <c r="G1176">
        <v>1326.2264404</v>
      </c>
      <c r="H1176">
        <v>1323.6287841999999</v>
      </c>
      <c r="I1176">
        <v>1347.3713379000001</v>
      </c>
      <c r="J1176">
        <v>1342.1451416</v>
      </c>
      <c r="K1176">
        <v>0</v>
      </c>
      <c r="L1176">
        <v>2750</v>
      </c>
      <c r="M1176">
        <v>2750</v>
      </c>
      <c r="N1176">
        <v>0</v>
      </c>
    </row>
    <row r="1177" spans="1:14" x14ac:dyDescent="0.25">
      <c r="A1177">
        <v>554.63566100000003</v>
      </c>
      <c r="B1177" s="1">
        <f>DATE(2011,11,6) + TIME(15,15,21)</f>
        <v>40853.635659722226</v>
      </c>
      <c r="C1177">
        <v>80</v>
      </c>
      <c r="D1177">
        <v>79.147712708</v>
      </c>
      <c r="E1177">
        <v>50</v>
      </c>
      <c r="F1177">
        <v>49.973644256999997</v>
      </c>
      <c r="G1177">
        <v>1326.2158202999999</v>
      </c>
      <c r="H1177">
        <v>1323.6145019999999</v>
      </c>
      <c r="I1177">
        <v>1347.3540039</v>
      </c>
      <c r="J1177">
        <v>1342.1347656</v>
      </c>
      <c r="K1177">
        <v>0</v>
      </c>
      <c r="L1177">
        <v>2750</v>
      </c>
      <c r="M1177">
        <v>2750</v>
      </c>
      <c r="N1177">
        <v>0</v>
      </c>
    </row>
    <row r="1178" spans="1:14" x14ac:dyDescent="0.25">
      <c r="A1178">
        <v>554.909717</v>
      </c>
      <c r="B1178" s="1">
        <f>DATE(2011,11,6) + TIME(21,49,59)</f>
        <v>40853.909710648149</v>
      </c>
      <c r="C1178">
        <v>80</v>
      </c>
      <c r="D1178">
        <v>79.114089965999995</v>
      </c>
      <c r="E1178">
        <v>50</v>
      </c>
      <c r="F1178">
        <v>49.973350525000001</v>
      </c>
      <c r="G1178">
        <v>1326.2048339999999</v>
      </c>
      <c r="H1178">
        <v>1323.5996094</v>
      </c>
      <c r="I1178">
        <v>1347.3371582</v>
      </c>
      <c r="J1178">
        <v>1342.1247559000001</v>
      </c>
      <c r="K1178">
        <v>0</v>
      </c>
      <c r="L1178">
        <v>2750</v>
      </c>
      <c r="M1178">
        <v>2750</v>
      </c>
      <c r="N1178">
        <v>0</v>
      </c>
    </row>
    <row r="1179" spans="1:14" x14ac:dyDescent="0.25">
      <c r="A1179">
        <v>555.18997999999999</v>
      </c>
      <c r="B1179" s="1">
        <f>DATE(2011,11,7) + TIME(4,33,34)</f>
        <v>40854.189976851849</v>
      </c>
      <c r="C1179">
        <v>80</v>
      </c>
      <c r="D1179">
        <v>79.079978943</v>
      </c>
      <c r="E1179">
        <v>50</v>
      </c>
      <c r="F1179">
        <v>49.973136902</v>
      </c>
      <c r="G1179">
        <v>1326.1934814000001</v>
      </c>
      <c r="H1179">
        <v>1323.5843506000001</v>
      </c>
      <c r="I1179">
        <v>1347.3205565999999</v>
      </c>
      <c r="J1179">
        <v>1342.1147461</v>
      </c>
      <c r="K1179">
        <v>0</v>
      </c>
      <c r="L1179">
        <v>2750</v>
      </c>
      <c r="M1179">
        <v>2750</v>
      </c>
      <c r="N1179">
        <v>0</v>
      </c>
    </row>
    <row r="1180" spans="1:14" x14ac:dyDescent="0.25">
      <c r="A1180">
        <v>555.47697000000005</v>
      </c>
      <c r="B1180" s="1">
        <f>DATE(2011,11,7) + TIME(11,26,50)</f>
        <v>40854.476967592593</v>
      </c>
      <c r="C1180">
        <v>80</v>
      </c>
      <c r="D1180">
        <v>79.045333862000007</v>
      </c>
      <c r="E1180">
        <v>50</v>
      </c>
      <c r="F1180">
        <v>49.972976684999999</v>
      </c>
      <c r="G1180">
        <v>1326.1817627</v>
      </c>
      <c r="H1180">
        <v>1323.5684814000001</v>
      </c>
      <c r="I1180">
        <v>1347.3044434000001</v>
      </c>
      <c r="J1180">
        <v>1342.1051024999999</v>
      </c>
      <c r="K1180">
        <v>0</v>
      </c>
      <c r="L1180">
        <v>2750</v>
      </c>
      <c r="M1180">
        <v>2750</v>
      </c>
      <c r="N1180">
        <v>0</v>
      </c>
    </row>
    <row r="1181" spans="1:14" x14ac:dyDescent="0.25">
      <c r="A1181">
        <v>555.76846</v>
      </c>
      <c r="B1181" s="1">
        <f>DATE(2011,11,7) + TIME(18,26,34)</f>
        <v>40854.768449074072</v>
      </c>
      <c r="C1181">
        <v>80</v>
      </c>
      <c r="D1181">
        <v>79.010368346999996</v>
      </c>
      <c r="E1181">
        <v>50</v>
      </c>
      <c r="F1181">
        <v>49.972854613999999</v>
      </c>
      <c r="G1181">
        <v>1326.1696777</v>
      </c>
      <c r="H1181">
        <v>1323.552124</v>
      </c>
      <c r="I1181">
        <v>1347.2884521000001</v>
      </c>
      <c r="J1181">
        <v>1342.0955810999999</v>
      </c>
      <c r="K1181">
        <v>0</v>
      </c>
      <c r="L1181">
        <v>2750</v>
      </c>
      <c r="M1181">
        <v>2750</v>
      </c>
      <c r="N1181">
        <v>0</v>
      </c>
    </row>
    <row r="1182" spans="1:14" x14ac:dyDescent="0.25">
      <c r="A1182">
        <v>556.06488200000001</v>
      </c>
      <c r="B1182" s="1">
        <f>DATE(2011,11,8) + TIME(1,33,25)</f>
        <v>40855.064872685187</v>
      </c>
      <c r="C1182">
        <v>80</v>
      </c>
      <c r="D1182">
        <v>78.975051879999995</v>
      </c>
      <c r="E1182">
        <v>50</v>
      </c>
      <c r="F1182">
        <v>49.972766876000001</v>
      </c>
      <c r="G1182">
        <v>1326.1572266000001</v>
      </c>
      <c r="H1182">
        <v>1323.5352783000001</v>
      </c>
      <c r="I1182">
        <v>1347.2729492000001</v>
      </c>
      <c r="J1182">
        <v>1342.0861815999999</v>
      </c>
      <c r="K1182">
        <v>0</v>
      </c>
      <c r="L1182">
        <v>2750</v>
      </c>
      <c r="M1182">
        <v>2750</v>
      </c>
      <c r="N1182">
        <v>0</v>
      </c>
    </row>
    <row r="1183" spans="1:14" x14ac:dyDescent="0.25">
      <c r="A1183">
        <v>556.36695999999995</v>
      </c>
      <c r="B1183" s="1">
        <f>DATE(2011,11,8) + TIME(8,48,25)</f>
        <v>40855.366956018515</v>
      </c>
      <c r="C1183">
        <v>80</v>
      </c>
      <c r="D1183">
        <v>78.939346313000001</v>
      </c>
      <c r="E1183">
        <v>50</v>
      </c>
      <c r="F1183">
        <v>49.972694396999998</v>
      </c>
      <c r="G1183">
        <v>1326.1445312000001</v>
      </c>
      <c r="H1183">
        <v>1323.5179443</v>
      </c>
      <c r="I1183">
        <v>1347.2578125</v>
      </c>
      <c r="J1183">
        <v>1342.0771483999999</v>
      </c>
      <c r="K1183">
        <v>0</v>
      </c>
      <c r="L1183">
        <v>2750</v>
      </c>
      <c r="M1183">
        <v>2750</v>
      </c>
      <c r="N1183">
        <v>0</v>
      </c>
    </row>
    <row r="1184" spans="1:14" x14ac:dyDescent="0.25">
      <c r="A1184">
        <v>556.67526799999996</v>
      </c>
      <c r="B1184" s="1">
        <f>DATE(2011,11,8) + TIME(16,12,23)</f>
        <v>40855.675266203703</v>
      </c>
      <c r="C1184">
        <v>80</v>
      </c>
      <c r="D1184">
        <v>78.903198242000002</v>
      </c>
      <c r="E1184">
        <v>50</v>
      </c>
      <c r="F1184">
        <v>49.972637177000003</v>
      </c>
      <c r="G1184">
        <v>1326.1314697</v>
      </c>
      <c r="H1184">
        <v>1323.5001221</v>
      </c>
      <c r="I1184">
        <v>1347.2429199000001</v>
      </c>
      <c r="J1184">
        <v>1342.0682373</v>
      </c>
      <c r="K1184">
        <v>0</v>
      </c>
      <c r="L1184">
        <v>2750</v>
      </c>
      <c r="M1184">
        <v>2750</v>
      </c>
      <c r="N1184">
        <v>0</v>
      </c>
    </row>
    <row r="1185" spans="1:14" x14ac:dyDescent="0.25">
      <c r="A1185">
        <v>556.99039000000005</v>
      </c>
      <c r="B1185" s="1">
        <f>DATE(2011,11,8) + TIME(23,46,9)</f>
        <v>40855.990381944444</v>
      </c>
      <c r="C1185">
        <v>80</v>
      </c>
      <c r="D1185">
        <v>78.866569518999995</v>
      </c>
      <c r="E1185">
        <v>50</v>
      </c>
      <c r="F1185">
        <v>49.972595214999998</v>
      </c>
      <c r="G1185">
        <v>1326.1180420000001</v>
      </c>
      <c r="H1185">
        <v>1323.4818115</v>
      </c>
      <c r="I1185">
        <v>1347.2282714999999</v>
      </c>
      <c r="J1185">
        <v>1342.0594481999999</v>
      </c>
      <c r="K1185">
        <v>0</v>
      </c>
      <c r="L1185">
        <v>2750</v>
      </c>
      <c r="M1185">
        <v>2750</v>
      </c>
      <c r="N1185">
        <v>0</v>
      </c>
    </row>
    <row r="1186" spans="1:14" x14ac:dyDescent="0.25">
      <c r="A1186">
        <v>557.31292699999995</v>
      </c>
      <c r="B1186" s="1">
        <f>DATE(2011,11,9) + TIME(7,30,36)</f>
        <v>40856.312916666669</v>
      </c>
      <c r="C1186">
        <v>80</v>
      </c>
      <c r="D1186">
        <v>78.829414368000002</v>
      </c>
      <c r="E1186">
        <v>50</v>
      </c>
      <c r="F1186">
        <v>49.972557068</v>
      </c>
      <c r="G1186">
        <v>1326.104126</v>
      </c>
      <c r="H1186">
        <v>1323.4628906</v>
      </c>
      <c r="I1186">
        <v>1347.2138672000001</v>
      </c>
      <c r="J1186">
        <v>1342.0507812000001</v>
      </c>
      <c r="K1186">
        <v>0</v>
      </c>
      <c r="L1186">
        <v>2750</v>
      </c>
      <c r="M1186">
        <v>2750</v>
      </c>
      <c r="N1186">
        <v>0</v>
      </c>
    </row>
    <row r="1187" spans="1:14" x14ac:dyDescent="0.25">
      <c r="A1187">
        <v>557.643506</v>
      </c>
      <c r="B1187" s="1">
        <f>DATE(2011,11,9) + TIME(15,26,38)</f>
        <v>40856.643495370372</v>
      </c>
      <c r="C1187">
        <v>80</v>
      </c>
      <c r="D1187">
        <v>78.791671753000003</v>
      </c>
      <c r="E1187">
        <v>50</v>
      </c>
      <c r="F1187">
        <v>49.972522736000002</v>
      </c>
      <c r="G1187">
        <v>1326.0898437999999</v>
      </c>
      <c r="H1187">
        <v>1323.4433594</v>
      </c>
      <c r="I1187">
        <v>1347.1995850000001</v>
      </c>
      <c r="J1187">
        <v>1342.0422363</v>
      </c>
      <c r="K1187">
        <v>0</v>
      </c>
      <c r="L1187">
        <v>2750</v>
      </c>
      <c r="M1187">
        <v>2750</v>
      </c>
      <c r="N1187">
        <v>0</v>
      </c>
    </row>
    <row r="1188" spans="1:14" x14ac:dyDescent="0.25">
      <c r="A1188">
        <v>557.98278600000003</v>
      </c>
      <c r="B1188" s="1">
        <f>DATE(2011,11,9) + TIME(23,35,12)</f>
        <v>40856.982777777775</v>
      </c>
      <c r="C1188">
        <v>80</v>
      </c>
      <c r="D1188">
        <v>78.753295898000005</v>
      </c>
      <c r="E1188">
        <v>50</v>
      </c>
      <c r="F1188">
        <v>49.972492217999999</v>
      </c>
      <c r="G1188">
        <v>1326.0750731999999</v>
      </c>
      <c r="H1188">
        <v>1323.4232178</v>
      </c>
      <c r="I1188">
        <v>1347.1855469</v>
      </c>
      <c r="J1188">
        <v>1342.0338135</v>
      </c>
      <c r="K1188">
        <v>0</v>
      </c>
      <c r="L1188">
        <v>2750</v>
      </c>
      <c r="M1188">
        <v>2750</v>
      </c>
      <c r="N1188">
        <v>0</v>
      </c>
    </row>
    <row r="1189" spans="1:14" x14ac:dyDescent="0.25">
      <c r="A1189">
        <v>558.33146399999998</v>
      </c>
      <c r="B1189" s="1">
        <f>DATE(2011,11,10) + TIME(7,57,18)</f>
        <v>40857.331458333334</v>
      </c>
      <c r="C1189">
        <v>80</v>
      </c>
      <c r="D1189">
        <v>78.714225768999995</v>
      </c>
      <c r="E1189">
        <v>50</v>
      </c>
      <c r="F1189">
        <v>49.972469330000003</v>
      </c>
      <c r="G1189">
        <v>1326.0599365</v>
      </c>
      <c r="H1189">
        <v>1323.4023437999999</v>
      </c>
      <c r="I1189">
        <v>1347.1716309000001</v>
      </c>
      <c r="J1189">
        <v>1342.0253906</v>
      </c>
      <c r="K1189">
        <v>0</v>
      </c>
      <c r="L1189">
        <v>2750</v>
      </c>
      <c r="M1189">
        <v>2750</v>
      </c>
      <c r="N1189">
        <v>0</v>
      </c>
    </row>
    <row r="1190" spans="1:14" x14ac:dyDescent="0.25">
      <c r="A1190">
        <v>558.69028300000002</v>
      </c>
      <c r="B1190" s="1">
        <f>DATE(2011,11,10) + TIME(16,34,0)</f>
        <v>40857.69027777778</v>
      </c>
      <c r="C1190">
        <v>80</v>
      </c>
      <c r="D1190">
        <v>78.674407959000007</v>
      </c>
      <c r="E1190">
        <v>50</v>
      </c>
      <c r="F1190">
        <v>49.972442627</v>
      </c>
      <c r="G1190">
        <v>1326.0441894999999</v>
      </c>
      <c r="H1190">
        <v>1323.3807373</v>
      </c>
      <c r="I1190">
        <v>1347.1578368999999</v>
      </c>
      <c r="J1190">
        <v>1342.0172118999999</v>
      </c>
      <c r="K1190">
        <v>0</v>
      </c>
      <c r="L1190">
        <v>2750</v>
      </c>
      <c r="M1190">
        <v>2750</v>
      </c>
      <c r="N1190">
        <v>0</v>
      </c>
    </row>
    <row r="1191" spans="1:14" x14ac:dyDescent="0.25">
      <c r="A1191">
        <v>559.06004099999996</v>
      </c>
      <c r="B1191" s="1">
        <f>DATE(2011,11,11) + TIME(1,26,27)</f>
        <v>40858.060034722221</v>
      </c>
      <c r="C1191">
        <v>80</v>
      </c>
      <c r="D1191">
        <v>78.633766174000002</v>
      </c>
      <c r="E1191">
        <v>50</v>
      </c>
      <c r="F1191">
        <v>49.972423552999999</v>
      </c>
      <c r="G1191">
        <v>1326.027832</v>
      </c>
      <c r="H1191">
        <v>1323.3583983999999</v>
      </c>
      <c r="I1191">
        <v>1347.144043</v>
      </c>
      <c r="J1191">
        <v>1342.0089111</v>
      </c>
      <c r="K1191">
        <v>0</v>
      </c>
      <c r="L1191">
        <v>2750</v>
      </c>
      <c r="M1191">
        <v>2750</v>
      </c>
      <c r="N1191">
        <v>0</v>
      </c>
    </row>
    <row r="1192" spans="1:14" x14ac:dyDescent="0.25">
      <c r="A1192">
        <v>559.44143799999995</v>
      </c>
      <c r="B1192" s="1">
        <f>DATE(2011,11,11) + TIME(10,35,40)</f>
        <v>40858.441435185188</v>
      </c>
      <c r="C1192">
        <v>80</v>
      </c>
      <c r="D1192">
        <v>78.592247009000005</v>
      </c>
      <c r="E1192">
        <v>50</v>
      </c>
      <c r="F1192">
        <v>49.972400665000002</v>
      </c>
      <c r="G1192">
        <v>1326.0109863</v>
      </c>
      <c r="H1192">
        <v>1323.3352050999999</v>
      </c>
      <c r="I1192">
        <v>1347.1303711</v>
      </c>
      <c r="J1192">
        <v>1342.0007324000001</v>
      </c>
      <c r="K1192">
        <v>0</v>
      </c>
      <c r="L1192">
        <v>2750</v>
      </c>
      <c r="M1192">
        <v>2750</v>
      </c>
      <c r="N1192">
        <v>0</v>
      </c>
    </row>
    <row r="1193" spans="1:14" x14ac:dyDescent="0.25">
      <c r="A1193">
        <v>559.83551899999998</v>
      </c>
      <c r="B1193" s="1">
        <f>DATE(2011,11,11) + TIME(20,3,8)</f>
        <v>40858.835509259261</v>
      </c>
      <c r="C1193">
        <v>80</v>
      </c>
      <c r="D1193">
        <v>78.549774170000006</v>
      </c>
      <c r="E1193">
        <v>50</v>
      </c>
      <c r="F1193">
        <v>49.972381591999998</v>
      </c>
      <c r="G1193">
        <v>1325.9935303</v>
      </c>
      <c r="H1193">
        <v>1323.3111572</v>
      </c>
      <c r="I1193">
        <v>1347.1168213000001</v>
      </c>
      <c r="J1193">
        <v>1341.9925536999999</v>
      </c>
      <c r="K1193">
        <v>0</v>
      </c>
      <c r="L1193">
        <v>2750</v>
      </c>
      <c r="M1193">
        <v>2750</v>
      </c>
      <c r="N1193">
        <v>0</v>
      </c>
    </row>
    <row r="1194" spans="1:14" x14ac:dyDescent="0.25">
      <c r="A1194">
        <v>560.24330399999997</v>
      </c>
      <c r="B1194" s="1">
        <f>DATE(2011,11,12) + TIME(5,50,21)</f>
        <v>40859.243298611109</v>
      </c>
      <c r="C1194">
        <v>80</v>
      </c>
      <c r="D1194">
        <v>78.506271362000007</v>
      </c>
      <c r="E1194">
        <v>50</v>
      </c>
      <c r="F1194">
        <v>49.972362517999997</v>
      </c>
      <c r="G1194">
        <v>1325.9753418</v>
      </c>
      <c r="H1194">
        <v>1323.2861327999999</v>
      </c>
      <c r="I1194">
        <v>1347.1031493999999</v>
      </c>
      <c r="J1194">
        <v>1341.9844971</v>
      </c>
      <c r="K1194">
        <v>0</v>
      </c>
      <c r="L1194">
        <v>2750</v>
      </c>
      <c r="M1194">
        <v>2750</v>
      </c>
      <c r="N1194">
        <v>0</v>
      </c>
    </row>
    <row r="1195" spans="1:14" x14ac:dyDescent="0.25">
      <c r="A1195">
        <v>560.66589299999998</v>
      </c>
      <c r="B1195" s="1">
        <f>DATE(2011,11,12) + TIME(15,58,53)</f>
        <v>40859.665891203702</v>
      </c>
      <c r="C1195">
        <v>80</v>
      </c>
      <c r="D1195">
        <v>78.461647033999995</v>
      </c>
      <c r="E1195">
        <v>50</v>
      </c>
      <c r="F1195">
        <v>49.972343445</v>
      </c>
      <c r="G1195">
        <v>1325.9564209</v>
      </c>
      <c r="H1195">
        <v>1323.2601318</v>
      </c>
      <c r="I1195">
        <v>1347.0895995999999</v>
      </c>
      <c r="J1195">
        <v>1341.9763184000001</v>
      </c>
      <c r="K1195">
        <v>0</v>
      </c>
      <c r="L1195">
        <v>2750</v>
      </c>
      <c r="M1195">
        <v>2750</v>
      </c>
      <c r="N1195">
        <v>0</v>
      </c>
    </row>
    <row r="1196" spans="1:14" x14ac:dyDescent="0.25">
      <c r="A1196">
        <v>561.10449900000003</v>
      </c>
      <c r="B1196" s="1">
        <f>DATE(2011,11,13) + TIME(2,30,28)</f>
        <v>40860.104490740741</v>
      </c>
      <c r="C1196">
        <v>80</v>
      </c>
      <c r="D1196">
        <v>78.415824889999996</v>
      </c>
      <c r="E1196">
        <v>50</v>
      </c>
      <c r="F1196">
        <v>49.972324370999999</v>
      </c>
      <c r="G1196">
        <v>1325.9367675999999</v>
      </c>
      <c r="H1196">
        <v>1323.2330322</v>
      </c>
      <c r="I1196">
        <v>1347.0760498</v>
      </c>
      <c r="J1196">
        <v>1341.9682617000001</v>
      </c>
      <c r="K1196">
        <v>0</v>
      </c>
      <c r="L1196">
        <v>2750</v>
      </c>
      <c r="M1196">
        <v>2750</v>
      </c>
      <c r="N1196">
        <v>0</v>
      </c>
    </row>
    <row r="1197" spans="1:14" x14ac:dyDescent="0.25">
      <c r="A1197">
        <v>561.56045500000005</v>
      </c>
      <c r="B1197" s="1">
        <f>DATE(2011,11,13) + TIME(13,27,3)</f>
        <v>40860.56045138889</v>
      </c>
      <c r="C1197">
        <v>80</v>
      </c>
      <c r="D1197">
        <v>78.368698120000005</v>
      </c>
      <c r="E1197">
        <v>50</v>
      </c>
      <c r="F1197">
        <v>49.972309113000001</v>
      </c>
      <c r="G1197">
        <v>1325.9162598</v>
      </c>
      <c r="H1197">
        <v>1323.2047118999999</v>
      </c>
      <c r="I1197">
        <v>1347.0623779</v>
      </c>
      <c r="J1197">
        <v>1341.9600829999999</v>
      </c>
      <c r="K1197">
        <v>0</v>
      </c>
      <c r="L1197">
        <v>2750</v>
      </c>
      <c r="M1197">
        <v>2750</v>
      </c>
      <c r="N1197">
        <v>0</v>
      </c>
    </row>
    <row r="1198" spans="1:14" x14ac:dyDescent="0.25">
      <c r="A1198">
        <v>562.03523600000005</v>
      </c>
      <c r="B1198" s="1">
        <f>DATE(2011,11,14) + TIME(0,50,44)</f>
        <v>40861.035231481481</v>
      </c>
      <c r="C1198">
        <v>80</v>
      </c>
      <c r="D1198">
        <v>78.320167541999993</v>
      </c>
      <c r="E1198">
        <v>50</v>
      </c>
      <c r="F1198">
        <v>49.972290039000001</v>
      </c>
      <c r="G1198">
        <v>1325.8947754000001</v>
      </c>
      <c r="H1198">
        <v>1323.1751709</v>
      </c>
      <c r="I1198">
        <v>1347.0487060999999</v>
      </c>
      <c r="J1198">
        <v>1341.9519043</v>
      </c>
      <c r="K1198">
        <v>0</v>
      </c>
      <c r="L1198">
        <v>2750</v>
      </c>
      <c r="M1198">
        <v>2750</v>
      </c>
      <c r="N1198">
        <v>0</v>
      </c>
    </row>
    <row r="1199" spans="1:14" x14ac:dyDescent="0.25">
      <c r="A1199">
        <v>562.53047400000003</v>
      </c>
      <c r="B1199" s="1">
        <f>DATE(2011,11,14) + TIME(12,43,52)</f>
        <v>40861.530462962961</v>
      </c>
      <c r="C1199">
        <v>80</v>
      </c>
      <c r="D1199">
        <v>78.270118713000002</v>
      </c>
      <c r="E1199">
        <v>50</v>
      </c>
      <c r="F1199">
        <v>49.972274779999999</v>
      </c>
      <c r="G1199">
        <v>1325.8724365</v>
      </c>
      <c r="H1199">
        <v>1323.1441649999999</v>
      </c>
      <c r="I1199">
        <v>1347.0349120999999</v>
      </c>
      <c r="J1199">
        <v>1341.9437256000001</v>
      </c>
      <c r="K1199">
        <v>0</v>
      </c>
      <c r="L1199">
        <v>2750</v>
      </c>
      <c r="M1199">
        <v>2750</v>
      </c>
      <c r="N1199">
        <v>0</v>
      </c>
    </row>
    <row r="1200" spans="1:14" x14ac:dyDescent="0.25">
      <c r="A1200">
        <v>563.04361700000004</v>
      </c>
      <c r="B1200" s="1">
        <f>DATE(2011,11,15) + TIME(1,2,48)</f>
        <v>40862.043611111112</v>
      </c>
      <c r="C1200">
        <v>80</v>
      </c>
      <c r="D1200">
        <v>78.218681334999999</v>
      </c>
      <c r="E1200">
        <v>50</v>
      </c>
      <c r="F1200">
        <v>49.972259520999998</v>
      </c>
      <c r="G1200">
        <v>1325.848999</v>
      </c>
      <c r="H1200">
        <v>1323.1118164</v>
      </c>
      <c r="I1200">
        <v>1347.0209961</v>
      </c>
      <c r="J1200">
        <v>1341.9354248</v>
      </c>
      <c r="K1200">
        <v>0</v>
      </c>
      <c r="L1200">
        <v>2750</v>
      </c>
      <c r="M1200">
        <v>2750</v>
      </c>
      <c r="N1200">
        <v>0</v>
      </c>
    </row>
    <row r="1201" spans="1:14" x14ac:dyDescent="0.25">
      <c r="A1201">
        <v>563.57556299999999</v>
      </c>
      <c r="B1201" s="1">
        <f>DATE(2011,11,15) + TIME(13,48,48)</f>
        <v>40862.575555555559</v>
      </c>
      <c r="C1201">
        <v>80</v>
      </c>
      <c r="D1201">
        <v>78.165855407999999</v>
      </c>
      <c r="E1201">
        <v>50</v>
      </c>
      <c r="F1201">
        <v>49.972240448000001</v>
      </c>
      <c r="G1201">
        <v>1325.8245850000001</v>
      </c>
      <c r="H1201">
        <v>1323.0782471</v>
      </c>
      <c r="I1201">
        <v>1347.0070800999999</v>
      </c>
      <c r="J1201">
        <v>1341.927124</v>
      </c>
      <c r="K1201">
        <v>0</v>
      </c>
      <c r="L1201">
        <v>2750</v>
      </c>
      <c r="M1201">
        <v>2750</v>
      </c>
      <c r="N1201">
        <v>0</v>
      </c>
    </row>
    <row r="1202" spans="1:14" x14ac:dyDescent="0.25">
      <c r="A1202">
        <v>564.126082</v>
      </c>
      <c r="B1202" s="1">
        <f>DATE(2011,11,16) + TIME(3,1,33)</f>
        <v>40863.126076388886</v>
      </c>
      <c r="C1202">
        <v>80</v>
      </c>
      <c r="D1202">
        <v>78.111686707000004</v>
      </c>
      <c r="E1202">
        <v>50</v>
      </c>
      <c r="F1202">
        <v>49.972225189</v>
      </c>
      <c r="G1202">
        <v>1325.7991943</v>
      </c>
      <c r="H1202">
        <v>1323.0430908000001</v>
      </c>
      <c r="I1202">
        <v>1346.9931641000001</v>
      </c>
      <c r="J1202">
        <v>1341.9188231999999</v>
      </c>
      <c r="K1202">
        <v>0</v>
      </c>
      <c r="L1202">
        <v>2750</v>
      </c>
      <c r="M1202">
        <v>2750</v>
      </c>
      <c r="N1202">
        <v>0</v>
      </c>
    </row>
    <row r="1203" spans="1:14" x14ac:dyDescent="0.25">
      <c r="A1203">
        <v>564.68383900000003</v>
      </c>
      <c r="B1203" s="1">
        <f>DATE(2011,11,16) + TIME(16,24,43)</f>
        <v>40863.683831018519</v>
      </c>
      <c r="C1203">
        <v>80</v>
      </c>
      <c r="D1203">
        <v>78.056838988999999</v>
      </c>
      <c r="E1203">
        <v>50</v>
      </c>
      <c r="F1203">
        <v>49.972209929999998</v>
      </c>
      <c r="G1203">
        <v>1325.7729492000001</v>
      </c>
      <c r="H1203">
        <v>1323.0067139</v>
      </c>
      <c r="I1203">
        <v>1346.9793701000001</v>
      </c>
      <c r="J1203">
        <v>1341.9106445</v>
      </c>
      <c r="K1203">
        <v>0</v>
      </c>
      <c r="L1203">
        <v>2750</v>
      </c>
      <c r="M1203">
        <v>2750</v>
      </c>
      <c r="N1203">
        <v>0</v>
      </c>
    </row>
    <row r="1204" spans="1:14" x14ac:dyDescent="0.25">
      <c r="A1204">
        <v>565.249505</v>
      </c>
      <c r="B1204" s="1">
        <f>DATE(2011,11,17) + TIME(5,59,17)</f>
        <v>40864.249502314815</v>
      </c>
      <c r="C1204">
        <v>80</v>
      </c>
      <c r="D1204">
        <v>78.001510620000005</v>
      </c>
      <c r="E1204">
        <v>50</v>
      </c>
      <c r="F1204">
        <v>49.972198486000003</v>
      </c>
      <c r="G1204">
        <v>1325.7460937999999</v>
      </c>
      <c r="H1204">
        <v>1322.9696045000001</v>
      </c>
      <c r="I1204">
        <v>1346.9656981999999</v>
      </c>
      <c r="J1204">
        <v>1341.9025879000001</v>
      </c>
      <c r="K1204">
        <v>0</v>
      </c>
      <c r="L1204">
        <v>2750</v>
      </c>
      <c r="M1204">
        <v>2750</v>
      </c>
      <c r="N1204">
        <v>0</v>
      </c>
    </row>
    <row r="1205" spans="1:14" x14ac:dyDescent="0.25">
      <c r="A1205">
        <v>565.82423200000005</v>
      </c>
      <c r="B1205" s="1">
        <f>DATE(2011,11,17) + TIME(19,46,53)</f>
        <v>40864.824224537035</v>
      </c>
      <c r="C1205">
        <v>80</v>
      </c>
      <c r="D1205">
        <v>77.945762634000005</v>
      </c>
      <c r="E1205">
        <v>50</v>
      </c>
      <c r="F1205">
        <v>49.972183227999999</v>
      </c>
      <c r="G1205">
        <v>1325.7188721</v>
      </c>
      <c r="H1205">
        <v>1322.9317627</v>
      </c>
      <c r="I1205">
        <v>1346.9523925999999</v>
      </c>
      <c r="J1205">
        <v>1341.8946533000001</v>
      </c>
      <c r="K1205">
        <v>0</v>
      </c>
      <c r="L1205">
        <v>2750</v>
      </c>
      <c r="M1205">
        <v>2750</v>
      </c>
      <c r="N1205">
        <v>0</v>
      </c>
    </row>
    <row r="1206" spans="1:14" x14ac:dyDescent="0.25">
      <c r="A1206">
        <v>566.40918699999997</v>
      </c>
      <c r="B1206" s="1">
        <f>DATE(2011,11,18) + TIME(9,49,13)</f>
        <v>40865.409178240741</v>
      </c>
      <c r="C1206">
        <v>80</v>
      </c>
      <c r="D1206">
        <v>77.889595032000003</v>
      </c>
      <c r="E1206">
        <v>50</v>
      </c>
      <c r="F1206">
        <v>49.972171783</v>
      </c>
      <c r="G1206">
        <v>1325.690918</v>
      </c>
      <c r="H1206">
        <v>1322.8931885</v>
      </c>
      <c r="I1206">
        <v>1346.9393310999999</v>
      </c>
      <c r="J1206">
        <v>1341.8869629000001</v>
      </c>
      <c r="K1206">
        <v>0</v>
      </c>
      <c r="L1206">
        <v>2750</v>
      </c>
      <c r="M1206">
        <v>2750</v>
      </c>
      <c r="N1206">
        <v>0</v>
      </c>
    </row>
    <row r="1207" spans="1:14" x14ac:dyDescent="0.25">
      <c r="A1207">
        <v>567.00558799999999</v>
      </c>
      <c r="B1207" s="1">
        <f>DATE(2011,11,19) + TIME(0,8,2)</f>
        <v>40866.005578703705</v>
      </c>
      <c r="C1207">
        <v>80</v>
      </c>
      <c r="D1207">
        <v>77.832954407000003</v>
      </c>
      <c r="E1207">
        <v>50</v>
      </c>
      <c r="F1207">
        <v>49.972156525000003</v>
      </c>
      <c r="G1207">
        <v>1325.6624756000001</v>
      </c>
      <c r="H1207">
        <v>1322.8537598</v>
      </c>
      <c r="I1207">
        <v>1346.9263916</v>
      </c>
      <c r="J1207">
        <v>1341.8792725000001</v>
      </c>
      <c r="K1207">
        <v>0</v>
      </c>
      <c r="L1207">
        <v>2750</v>
      </c>
      <c r="M1207">
        <v>2750</v>
      </c>
      <c r="N1207">
        <v>0</v>
      </c>
    </row>
    <row r="1208" spans="1:14" x14ac:dyDescent="0.25">
      <c r="A1208">
        <v>567.61468100000002</v>
      </c>
      <c r="B1208" s="1">
        <f>DATE(2011,11,19) + TIME(14,45,8)</f>
        <v>40866.614675925928</v>
      </c>
      <c r="C1208">
        <v>80</v>
      </c>
      <c r="D1208">
        <v>77.775779724000003</v>
      </c>
      <c r="E1208">
        <v>50</v>
      </c>
      <c r="F1208">
        <v>49.972145081000001</v>
      </c>
      <c r="G1208">
        <v>1325.6335449000001</v>
      </c>
      <c r="H1208">
        <v>1322.8134766000001</v>
      </c>
      <c r="I1208">
        <v>1346.9136963000001</v>
      </c>
      <c r="J1208">
        <v>1341.8718262</v>
      </c>
      <c r="K1208">
        <v>0</v>
      </c>
      <c r="L1208">
        <v>2750</v>
      </c>
      <c r="M1208">
        <v>2750</v>
      </c>
      <c r="N1208">
        <v>0</v>
      </c>
    </row>
    <row r="1209" spans="1:14" x14ac:dyDescent="0.25">
      <c r="A1209">
        <v>568.23775000000001</v>
      </c>
      <c r="B1209" s="1">
        <f>DATE(2011,11,20) + TIME(5,42,21)</f>
        <v>40867.237743055557</v>
      </c>
      <c r="C1209">
        <v>80</v>
      </c>
      <c r="D1209">
        <v>77.718002318999993</v>
      </c>
      <c r="E1209">
        <v>50</v>
      </c>
      <c r="F1209">
        <v>49.972133636000002</v>
      </c>
      <c r="G1209">
        <v>1325.6037598</v>
      </c>
      <c r="H1209">
        <v>1322.7723389</v>
      </c>
      <c r="I1209">
        <v>1346.9011230000001</v>
      </c>
      <c r="J1209">
        <v>1341.8643798999999</v>
      </c>
      <c r="K1209">
        <v>0</v>
      </c>
      <c r="L1209">
        <v>2750</v>
      </c>
      <c r="M1209">
        <v>2750</v>
      </c>
      <c r="N1209">
        <v>0</v>
      </c>
    </row>
    <row r="1210" spans="1:14" x14ac:dyDescent="0.25">
      <c r="A1210">
        <v>568.876171</v>
      </c>
      <c r="B1210" s="1">
        <f>DATE(2011,11,20) + TIME(21,1,41)</f>
        <v>40867.876168981478</v>
      </c>
      <c r="C1210">
        <v>80</v>
      </c>
      <c r="D1210">
        <v>77.65953064</v>
      </c>
      <c r="E1210">
        <v>50</v>
      </c>
      <c r="F1210">
        <v>49.972126007</v>
      </c>
      <c r="G1210">
        <v>1325.5733643000001</v>
      </c>
      <c r="H1210">
        <v>1322.7301024999999</v>
      </c>
      <c r="I1210">
        <v>1346.8886719</v>
      </c>
      <c r="J1210">
        <v>1341.8570557</v>
      </c>
      <c r="K1210">
        <v>0</v>
      </c>
      <c r="L1210">
        <v>2750</v>
      </c>
      <c r="M1210">
        <v>2750</v>
      </c>
      <c r="N1210">
        <v>0</v>
      </c>
    </row>
    <row r="1211" spans="1:14" x14ac:dyDescent="0.25">
      <c r="A1211">
        <v>569.53130199999998</v>
      </c>
      <c r="B1211" s="1">
        <f>DATE(2011,11,21) + TIME(12,45,4)</f>
        <v>40868.5312962963</v>
      </c>
      <c r="C1211">
        <v>80</v>
      </c>
      <c r="D1211">
        <v>77.600280761999997</v>
      </c>
      <c r="E1211">
        <v>50</v>
      </c>
      <c r="F1211">
        <v>49.972114562999998</v>
      </c>
      <c r="G1211">
        <v>1325.5421143000001</v>
      </c>
      <c r="H1211">
        <v>1322.6867675999999</v>
      </c>
      <c r="I1211">
        <v>1346.8763428</v>
      </c>
      <c r="J1211">
        <v>1341.8497314000001</v>
      </c>
      <c r="K1211">
        <v>0</v>
      </c>
      <c r="L1211">
        <v>2750</v>
      </c>
      <c r="M1211">
        <v>2750</v>
      </c>
      <c r="N1211">
        <v>0</v>
      </c>
    </row>
    <row r="1212" spans="1:14" x14ac:dyDescent="0.25">
      <c r="A1212">
        <v>570.20446100000004</v>
      </c>
      <c r="B1212" s="1">
        <f>DATE(2011,11,22) + TIME(4,54,25)</f>
        <v>40869.204456018517</v>
      </c>
      <c r="C1212">
        <v>80</v>
      </c>
      <c r="D1212">
        <v>77.540153502999999</v>
      </c>
      <c r="E1212">
        <v>50</v>
      </c>
      <c r="F1212">
        <v>49.972106934000003</v>
      </c>
      <c r="G1212">
        <v>1325.5101318</v>
      </c>
      <c r="H1212">
        <v>1322.6422118999999</v>
      </c>
      <c r="I1212">
        <v>1346.8640137</v>
      </c>
      <c r="J1212">
        <v>1341.8424072</v>
      </c>
      <c r="K1212">
        <v>0</v>
      </c>
      <c r="L1212">
        <v>2750</v>
      </c>
      <c r="M1212">
        <v>2750</v>
      </c>
      <c r="N1212">
        <v>0</v>
      </c>
    </row>
    <row r="1213" spans="1:14" x14ac:dyDescent="0.25">
      <c r="A1213">
        <v>570.89745400000004</v>
      </c>
      <c r="B1213" s="1">
        <f>DATE(2011,11,22) + TIME(21,32,20)</f>
        <v>40869.897453703707</v>
      </c>
      <c r="C1213">
        <v>80</v>
      </c>
      <c r="D1213">
        <v>77.479057311999995</v>
      </c>
      <c r="E1213">
        <v>50</v>
      </c>
      <c r="F1213">
        <v>49.972095490000001</v>
      </c>
      <c r="G1213">
        <v>1325.4771728999999</v>
      </c>
      <c r="H1213">
        <v>1322.5964355000001</v>
      </c>
      <c r="I1213">
        <v>1346.8516846</v>
      </c>
      <c r="J1213">
        <v>1341.8352050999999</v>
      </c>
      <c r="K1213">
        <v>0</v>
      </c>
      <c r="L1213">
        <v>2750</v>
      </c>
      <c r="M1213">
        <v>2750</v>
      </c>
      <c r="N1213">
        <v>0</v>
      </c>
    </row>
    <row r="1214" spans="1:14" x14ac:dyDescent="0.25">
      <c r="A1214">
        <v>571.61204399999997</v>
      </c>
      <c r="B1214" s="1">
        <f>DATE(2011,11,23) + TIME(14,41,20)</f>
        <v>40870.612037037034</v>
      </c>
      <c r="C1214">
        <v>80</v>
      </c>
      <c r="D1214">
        <v>77.416885375999996</v>
      </c>
      <c r="E1214">
        <v>50</v>
      </c>
      <c r="F1214">
        <v>49.972087860000002</v>
      </c>
      <c r="G1214">
        <v>1325.4432373</v>
      </c>
      <c r="H1214">
        <v>1322.5493164</v>
      </c>
      <c r="I1214">
        <v>1346.8394774999999</v>
      </c>
      <c r="J1214">
        <v>1341.828125</v>
      </c>
      <c r="K1214">
        <v>0</v>
      </c>
      <c r="L1214">
        <v>2750</v>
      </c>
      <c r="M1214">
        <v>2750</v>
      </c>
      <c r="N1214">
        <v>0</v>
      </c>
    </row>
    <row r="1215" spans="1:14" x14ac:dyDescent="0.25">
      <c r="A1215">
        <v>572.350143</v>
      </c>
      <c r="B1215" s="1">
        <f>DATE(2011,11,24) + TIME(8,24,12)</f>
        <v>40871.350138888891</v>
      </c>
      <c r="C1215">
        <v>80</v>
      </c>
      <c r="D1215">
        <v>77.353515625</v>
      </c>
      <c r="E1215">
        <v>50</v>
      </c>
      <c r="F1215">
        <v>49.972080231</v>
      </c>
      <c r="G1215">
        <v>1325.4082031</v>
      </c>
      <c r="H1215">
        <v>1322.5007324000001</v>
      </c>
      <c r="I1215">
        <v>1346.8272704999999</v>
      </c>
      <c r="J1215">
        <v>1341.8209228999999</v>
      </c>
      <c r="K1215">
        <v>0</v>
      </c>
      <c r="L1215">
        <v>2750</v>
      </c>
      <c r="M1215">
        <v>2750</v>
      </c>
      <c r="N1215">
        <v>0</v>
      </c>
    </row>
    <row r="1216" spans="1:14" x14ac:dyDescent="0.25">
      <c r="A1216">
        <v>573.11383499999999</v>
      </c>
      <c r="B1216" s="1">
        <f>DATE(2011,11,25) + TIME(2,43,55)</f>
        <v>40872.11383101852</v>
      </c>
      <c r="C1216">
        <v>80</v>
      </c>
      <c r="D1216">
        <v>77.288825989000003</v>
      </c>
      <c r="E1216">
        <v>50</v>
      </c>
      <c r="F1216">
        <v>49.972076416</v>
      </c>
      <c r="G1216">
        <v>1325.3720702999999</v>
      </c>
      <c r="H1216">
        <v>1322.4505615</v>
      </c>
      <c r="I1216">
        <v>1346.8150635</v>
      </c>
      <c r="J1216">
        <v>1341.8137207</v>
      </c>
      <c r="K1216">
        <v>0</v>
      </c>
      <c r="L1216">
        <v>2750</v>
      </c>
      <c r="M1216">
        <v>2750</v>
      </c>
      <c r="N1216">
        <v>0</v>
      </c>
    </row>
    <row r="1217" spans="1:14" x14ac:dyDescent="0.25">
      <c r="A1217">
        <v>573.90539899999999</v>
      </c>
      <c r="B1217" s="1">
        <f>DATE(2011,11,25) + TIME(21,43,46)</f>
        <v>40872.905393518522</v>
      </c>
      <c r="C1217">
        <v>80</v>
      </c>
      <c r="D1217">
        <v>77.222702025999993</v>
      </c>
      <c r="E1217">
        <v>50</v>
      </c>
      <c r="F1217">
        <v>49.972068786999998</v>
      </c>
      <c r="G1217">
        <v>1325.3347168</v>
      </c>
      <c r="H1217">
        <v>1322.3986815999999</v>
      </c>
      <c r="I1217">
        <v>1346.8027344</v>
      </c>
      <c r="J1217">
        <v>1341.8065185999999</v>
      </c>
      <c r="K1217">
        <v>0</v>
      </c>
      <c r="L1217">
        <v>2750</v>
      </c>
      <c r="M1217">
        <v>2750</v>
      </c>
      <c r="N1217">
        <v>0</v>
      </c>
    </row>
    <row r="1218" spans="1:14" x14ac:dyDescent="0.25">
      <c r="A1218">
        <v>574.72732800000006</v>
      </c>
      <c r="B1218" s="1">
        <f>DATE(2011,11,26) + TIME(17,27,21)</f>
        <v>40873.727326388886</v>
      </c>
      <c r="C1218">
        <v>80</v>
      </c>
      <c r="D1218">
        <v>77.155006408999995</v>
      </c>
      <c r="E1218">
        <v>50</v>
      </c>
      <c r="F1218">
        <v>49.972061156999999</v>
      </c>
      <c r="G1218">
        <v>1325.2958983999999</v>
      </c>
      <c r="H1218">
        <v>1322.3448486</v>
      </c>
      <c r="I1218">
        <v>1346.7904053</v>
      </c>
      <c r="J1218">
        <v>1341.7993164</v>
      </c>
      <c r="K1218">
        <v>0</v>
      </c>
      <c r="L1218">
        <v>2750</v>
      </c>
      <c r="M1218">
        <v>2750</v>
      </c>
      <c r="N1218">
        <v>0</v>
      </c>
    </row>
    <row r="1219" spans="1:14" x14ac:dyDescent="0.25">
      <c r="A1219">
        <v>575.58236999999997</v>
      </c>
      <c r="B1219" s="1">
        <f>DATE(2011,11,27) + TIME(13,58,36)</f>
        <v>40874.582361111112</v>
      </c>
      <c r="C1219">
        <v>80</v>
      </c>
      <c r="D1219">
        <v>77.085586547999995</v>
      </c>
      <c r="E1219">
        <v>50</v>
      </c>
      <c r="F1219">
        <v>49.972057343000003</v>
      </c>
      <c r="G1219">
        <v>1325.2557373</v>
      </c>
      <c r="H1219">
        <v>1322.2890625</v>
      </c>
      <c r="I1219">
        <v>1346.7779541</v>
      </c>
      <c r="J1219">
        <v>1341.7921143000001</v>
      </c>
      <c r="K1219">
        <v>0</v>
      </c>
      <c r="L1219">
        <v>2750</v>
      </c>
      <c r="M1219">
        <v>2750</v>
      </c>
      <c r="N1219">
        <v>0</v>
      </c>
    </row>
    <row r="1220" spans="1:14" x14ac:dyDescent="0.25">
      <c r="A1220">
        <v>576.465778</v>
      </c>
      <c r="B1220" s="1">
        <f>DATE(2011,11,28) + TIME(11,10,43)</f>
        <v>40875.465775462966</v>
      </c>
      <c r="C1220">
        <v>80</v>
      </c>
      <c r="D1220">
        <v>77.014572143999999</v>
      </c>
      <c r="E1220">
        <v>50</v>
      </c>
      <c r="F1220">
        <v>49.972053528000004</v>
      </c>
      <c r="G1220">
        <v>1325.2141113</v>
      </c>
      <c r="H1220">
        <v>1322.2312012</v>
      </c>
      <c r="I1220">
        <v>1346.7653809000001</v>
      </c>
      <c r="J1220">
        <v>1341.7847899999999</v>
      </c>
      <c r="K1220">
        <v>0</v>
      </c>
      <c r="L1220">
        <v>2750</v>
      </c>
      <c r="M1220">
        <v>2750</v>
      </c>
      <c r="N1220">
        <v>0</v>
      </c>
    </row>
    <row r="1221" spans="1:14" x14ac:dyDescent="0.25">
      <c r="A1221">
        <v>577.36178299999995</v>
      </c>
      <c r="B1221" s="1">
        <f>DATE(2011,11,29) + TIME(8,40,58)</f>
        <v>40876.36178240741</v>
      </c>
      <c r="C1221">
        <v>80</v>
      </c>
      <c r="D1221">
        <v>76.942634583</v>
      </c>
      <c r="E1221">
        <v>50</v>
      </c>
      <c r="F1221">
        <v>49.972049712999997</v>
      </c>
      <c r="G1221">
        <v>1325.1710204999999</v>
      </c>
      <c r="H1221">
        <v>1322.1713867000001</v>
      </c>
      <c r="I1221">
        <v>1346.7528076000001</v>
      </c>
      <c r="J1221">
        <v>1341.7774658000001</v>
      </c>
      <c r="K1221">
        <v>0</v>
      </c>
      <c r="L1221">
        <v>2750</v>
      </c>
      <c r="M1221">
        <v>2750</v>
      </c>
      <c r="N1221">
        <v>0</v>
      </c>
    </row>
    <row r="1222" spans="1:14" x14ac:dyDescent="0.25">
      <c r="A1222">
        <v>578.27140499999996</v>
      </c>
      <c r="B1222" s="1">
        <f>DATE(2011,11,30) + TIME(6,30,49)</f>
        <v>40877.27140046296</v>
      </c>
      <c r="C1222">
        <v>80</v>
      </c>
      <c r="D1222">
        <v>76.870216369999994</v>
      </c>
      <c r="E1222">
        <v>50</v>
      </c>
      <c r="F1222">
        <v>49.972045897999998</v>
      </c>
      <c r="G1222">
        <v>1325.1271973</v>
      </c>
      <c r="H1222">
        <v>1322.1105957</v>
      </c>
      <c r="I1222">
        <v>1346.7404785000001</v>
      </c>
      <c r="J1222">
        <v>1341.7702637</v>
      </c>
      <c r="K1222">
        <v>0</v>
      </c>
      <c r="L1222">
        <v>2750</v>
      </c>
      <c r="M1222">
        <v>2750</v>
      </c>
      <c r="N1222">
        <v>0</v>
      </c>
    </row>
    <row r="1223" spans="1:14" x14ac:dyDescent="0.25">
      <c r="A1223">
        <v>579</v>
      </c>
      <c r="B1223" s="1">
        <f>DATE(2011,12,1) + TIME(0,0,0)</f>
        <v>40878</v>
      </c>
      <c r="C1223">
        <v>80</v>
      </c>
      <c r="D1223">
        <v>76.805053710999999</v>
      </c>
      <c r="E1223">
        <v>50</v>
      </c>
      <c r="F1223">
        <v>49.972042084000002</v>
      </c>
      <c r="G1223">
        <v>1325.0836182</v>
      </c>
      <c r="H1223">
        <v>1322.0505370999999</v>
      </c>
      <c r="I1223">
        <v>1346.7282714999999</v>
      </c>
      <c r="J1223">
        <v>1341.7631836</v>
      </c>
      <c r="K1223">
        <v>0</v>
      </c>
      <c r="L1223">
        <v>2750</v>
      </c>
      <c r="M1223">
        <v>2750</v>
      </c>
      <c r="N1223">
        <v>0</v>
      </c>
    </row>
    <row r="1224" spans="1:14" x14ac:dyDescent="0.25">
      <c r="A1224">
        <v>579.92518299999995</v>
      </c>
      <c r="B1224" s="1">
        <f>DATE(2011,12,1) + TIME(22,12,15)</f>
        <v>40878.925173611111</v>
      </c>
      <c r="C1224">
        <v>80</v>
      </c>
      <c r="D1224">
        <v>76.736854553000001</v>
      </c>
      <c r="E1224">
        <v>50</v>
      </c>
      <c r="F1224">
        <v>49.972042084000002</v>
      </c>
      <c r="G1224">
        <v>1325.0456543</v>
      </c>
      <c r="H1224">
        <v>1321.9967041</v>
      </c>
      <c r="I1224">
        <v>1346.7189940999999</v>
      </c>
      <c r="J1224">
        <v>1341.7578125</v>
      </c>
      <c r="K1224">
        <v>0</v>
      </c>
      <c r="L1224">
        <v>2750</v>
      </c>
      <c r="M1224">
        <v>2750</v>
      </c>
      <c r="N1224">
        <v>0</v>
      </c>
    </row>
    <row r="1225" spans="1:14" x14ac:dyDescent="0.25">
      <c r="A1225">
        <v>580.883152</v>
      </c>
      <c r="B1225" s="1">
        <f>DATE(2011,12,2) + TIME(21,11,44)</f>
        <v>40879.883148148147</v>
      </c>
      <c r="C1225">
        <v>80</v>
      </c>
      <c r="D1225">
        <v>76.665611267000003</v>
      </c>
      <c r="E1225">
        <v>50</v>
      </c>
      <c r="F1225">
        <v>49.972042084000002</v>
      </c>
      <c r="G1225">
        <v>1325.0012207</v>
      </c>
      <c r="H1225">
        <v>1321.9351807</v>
      </c>
      <c r="I1225">
        <v>1346.7072754000001</v>
      </c>
      <c r="J1225">
        <v>1341.7509766000001</v>
      </c>
      <c r="K1225">
        <v>0</v>
      </c>
      <c r="L1225">
        <v>2750</v>
      </c>
      <c r="M1225">
        <v>2750</v>
      </c>
      <c r="N1225">
        <v>0</v>
      </c>
    </row>
    <row r="1226" spans="1:14" x14ac:dyDescent="0.25">
      <c r="A1226">
        <v>581.86238700000001</v>
      </c>
      <c r="B1226" s="1">
        <f>DATE(2011,12,3) + TIME(20,41,50)</f>
        <v>40880.862384259257</v>
      </c>
      <c r="C1226">
        <v>80</v>
      </c>
      <c r="D1226">
        <v>76.592498778999996</v>
      </c>
      <c r="E1226">
        <v>50</v>
      </c>
      <c r="F1226">
        <v>49.972042084000002</v>
      </c>
      <c r="G1226">
        <v>1324.9550781</v>
      </c>
      <c r="H1226">
        <v>1321.8712158000001</v>
      </c>
      <c r="I1226">
        <v>1346.6954346</v>
      </c>
      <c r="J1226">
        <v>1341.7442627</v>
      </c>
      <c r="K1226">
        <v>0</v>
      </c>
      <c r="L1226">
        <v>2750</v>
      </c>
      <c r="M1226">
        <v>2750</v>
      </c>
      <c r="N1226">
        <v>0</v>
      </c>
    </row>
    <row r="1227" spans="1:14" x14ac:dyDescent="0.25">
      <c r="A1227">
        <v>582.86537599999997</v>
      </c>
      <c r="B1227" s="1">
        <f>DATE(2011,12,4) + TIME(20,46,8)</f>
        <v>40881.865370370368</v>
      </c>
      <c r="C1227">
        <v>80</v>
      </c>
      <c r="D1227">
        <v>76.518127441000004</v>
      </c>
      <c r="E1227">
        <v>50</v>
      </c>
      <c r="F1227">
        <v>49.972042084000002</v>
      </c>
      <c r="G1227">
        <v>1324.9075928</v>
      </c>
      <c r="H1227">
        <v>1321.8054199000001</v>
      </c>
      <c r="I1227">
        <v>1346.6838379000001</v>
      </c>
      <c r="J1227">
        <v>1341.7374268000001</v>
      </c>
      <c r="K1227">
        <v>0</v>
      </c>
      <c r="L1227">
        <v>2750</v>
      </c>
      <c r="M1227">
        <v>2750</v>
      </c>
      <c r="N1227">
        <v>0</v>
      </c>
    </row>
    <row r="1228" spans="1:14" x14ac:dyDescent="0.25">
      <c r="A1228">
        <v>583.89405199999999</v>
      </c>
      <c r="B1228" s="1">
        <f>DATE(2011,12,5) + TIME(21,27,26)</f>
        <v>40882.894050925926</v>
      </c>
      <c r="C1228">
        <v>80</v>
      </c>
      <c r="D1228">
        <v>76.442687988000003</v>
      </c>
      <c r="E1228">
        <v>50</v>
      </c>
      <c r="F1228">
        <v>49.972042084000002</v>
      </c>
      <c r="G1228">
        <v>1324.8591309000001</v>
      </c>
      <c r="H1228">
        <v>1321.7380370999999</v>
      </c>
      <c r="I1228">
        <v>1346.6722411999999</v>
      </c>
      <c r="J1228">
        <v>1341.7307129000001</v>
      </c>
      <c r="K1228">
        <v>0</v>
      </c>
      <c r="L1228">
        <v>2750</v>
      </c>
      <c r="M1228">
        <v>2750</v>
      </c>
      <c r="N1228">
        <v>0</v>
      </c>
    </row>
    <row r="1229" spans="1:14" x14ac:dyDescent="0.25">
      <c r="A1229">
        <v>584.95097599999997</v>
      </c>
      <c r="B1229" s="1">
        <f>DATE(2011,12,6) + TIME(22,49,24)</f>
        <v>40883.950972222221</v>
      </c>
      <c r="C1229">
        <v>80</v>
      </c>
      <c r="D1229">
        <v>76.366203307999996</v>
      </c>
      <c r="E1229">
        <v>50</v>
      </c>
      <c r="F1229">
        <v>49.972045897999998</v>
      </c>
      <c r="G1229">
        <v>1324.8094481999999</v>
      </c>
      <c r="H1229">
        <v>1321.6690673999999</v>
      </c>
      <c r="I1229">
        <v>1346.6606445</v>
      </c>
      <c r="J1229">
        <v>1341.7241211</v>
      </c>
      <c r="K1229">
        <v>0</v>
      </c>
      <c r="L1229">
        <v>2750</v>
      </c>
      <c r="M1229">
        <v>2750</v>
      </c>
      <c r="N1229">
        <v>0</v>
      </c>
    </row>
    <row r="1230" spans="1:14" x14ac:dyDescent="0.25">
      <c r="A1230">
        <v>586.03891799999997</v>
      </c>
      <c r="B1230" s="1">
        <f>DATE(2011,12,8) + TIME(0,56,2)</f>
        <v>40885.038912037038</v>
      </c>
      <c r="C1230">
        <v>80</v>
      </c>
      <c r="D1230">
        <v>76.288558960000003</v>
      </c>
      <c r="E1230">
        <v>50</v>
      </c>
      <c r="F1230">
        <v>49.972045897999998</v>
      </c>
      <c r="G1230">
        <v>1324.7585449000001</v>
      </c>
      <c r="H1230">
        <v>1321.5983887</v>
      </c>
      <c r="I1230">
        <v>1346.6490478999999</v>
      </c>
      <c r="J1230">
        <v>1341.7174072</v>
      </c>
      <c r="K1230">
        <v>0</v>
      </c>
      <c r="L1230">
        <v>2750</v>
      </c>
      <c r="M1230">
        <v>2750</v>
      </c>
      <c r="N1230">
        <v>0</v>
      </c>
    </row>
    <row r="1231" spans="1:14" x14ac:dyDescent="0.25">
      <c r="A1231">
        <v>587.16081899999995</v>
      </c>
      <c r="B1231" s="1">
        <f>DATE(2011,12,9) + TIME(3,51,34)</f>
        <v>40886.160810185182</v>
      </c>
      <c r="C1231">
        <v>80</v>
      </c>
      <c r="D1231">
        <v>76.209640503000003</v>
      </c>
      <c r="E1231">
        <v>50</v>
      </c>
      <c r="F1231">
        <v>49.972049712999997</v>
      </c>
      <c r="G1231">
        <v>1324.7062988</v>
      </c>
      <c r="H1231">
        <v>1321.5257568</v>
      </c>
      <c r="I1231">
        <v>1346.6374512</v>
      </c>
      <c r="J1231">
        <v>1341.7108154</v>
      </c>
      <c r="K1231">
        <v>0</v>
      </c>
      <c r="L1231">
        <v>2750</v>
      </c>
      <c r="M1231">
        <v>2750</v>
      </c>
      <c r="N1231">
        <v>0</v>
      </c>
    </row>
    <row r="1232" spans="1:14" x14ac:dyDescent="0.25">
      <c r="A1232">
        <v>588.31986099999995</v>
      </c>
      <c r="B1232" s="1">
        <f>DATE(2011,12,10) + TIME(7,40,36)</f>
        <v>40887.319861111115</v>
      </c>
      <c r="C1232">
        <v>80</v>
      </c>
      <c r="D1232">
        <v>76.129280089999995</v>
      </c>
      <c r="E1232">
        <v>50</v>
      </c>
      <c r="F1232">
        <v>49.972053528000004</v>
      </c>
      <c r="G1232">
        <v>1324.6525879000001</v>
      </c>
      <c r="H1232">
        <v>1321.4512939000001</v>
      </c>
      <c r="I1232">
        <v>1346.6258545000001</v>
      </c>
      <c r="J1232">
        <v>1341.7041016000001</v>
      </c>
      <c r="K1232">
        <v>0</v>
      </c>
      <c r="L1232">
        <v>2750</v>
      </c>
      <c r="M1232">
        <v>2750</v>
      </c>
      <c r="N1232">
        <v>0</v>
      </c>
    </row>
    <row r="1233" spans="1:14" x14ac:dyDescent="0.25">
      <c r="A1233">
        <v>589.51951299999996</v>
      </c>
      <c r="B1233" s="1">
        <f>DATE(2011,12,11) + TIME(12,28,5)</f>
        <v>40888.519502314812</v>
      </c>
      <c r="C1233">
        <v>80</v>
      </c>
      <c r="D1233">
        <v>76.047294617000006</v>
      </c>
      <c r="E1233">
        <v>50</v>
      </c>
      <c r="F1233">
        <v>49.972061156999999</v>
      </c>
      <c r="G1233">
        <v>1324.5972899999999</v>
      </c>
      <c r="H1233">
        <v>1321.3745117000001</v>
      </c>
      <c r="I1233">
        <v>1346.6142577999999</v>
      </c>
      <c r="J1233">
        <v>1341.6973877</v>
      </c>
      <c r="K1233">
        <v>0</v>
      </c>
      <c r="L1233">
        <v>2750</v>
      </c>
      <c r="M1233">
        <v>2750</v>
      </c>
      <c r="N1233">
        <v>0</v>
      </c>
    </row>
    <row r="1234" spans="1:14" x14ac:dyDescent="0.25">
      <c r="A1234">
        <v>590.76356599999997</v>
      </c>
      <c r="B1234" s="1">
        <f>DATE(2011,12,12) + TIME(18,19,32)</f>
        <v>40889.763564814813</v>
      </c>
      <c r="C1234">
        <v>80</v>
      </c>
      <c r="D1234">
        <v>75.963500976999995</v>
      </c>
      <c r="E1234">
        <v>50</v>
      </c>
      <c r="F1234">
        <v>49.972064971999998</v>
      </c>
      <c r="G1234">
        <v>1324.5404053</v>
      </c>
      <c r="H1234">
        <v>1321.2955322</v>
      </c>
      <c r="I1234">
        <v>1346.6025391000001</v>
      </c>
      <c r="J1234">
        <v>1341.6906738</v>
      </c>
      <c r="K1234">
        <v>0</v>
      </c>
      <c r="L1234">
        <v>2750</v>
      </c>
      <c r="M1234">
        <v>2750</v>
      </c>
      <c r="N1234">
        <v>0</v>
      </c>
    </row>
    <row r="1235" spans="1:14" x14ac:dyDescent="0.25">
      <c r="A1235">
        <v>592.056197</v>
      </c>
      <c r="B1235" s="1">
        <f>DATE(2011,12,14) + TIME(1,20,55)</f>
        <v>40891.056192129632</v>
      </c>
      <c r="C1235">
        <v>80</v>
      </c>
      <c r="D1235">
        <v>75.877677917</v>
      </c>
      <c r="E1235">
        <v>50</v>
      </c>
      <c r="F1235">
        <v>49.972072601000001</v>
      </c>
      <c r="G1235">
        <v>1324.4815673999999</v>
      </c>
      <c r="H1235">
        <v>1321.2138672000001</v>
      </c>
      <c r="I1235">
        <v>1346.5908202999999</v>
      </c>
      <c r="J1235">
        <v>1341.6839600000001</v>
      </c>
      <c r="K1235">
        <v>0</v>
      </c>
      <c r="L1235">
        <v>2750</v>
      </c>
      <c r="M1235">
        <v>2750</v>
      </c>
      <c r="N1235">
        <v>0</v>
      </c>
    </row>
    <row r="1236" spans="1:14" x14ac:dyDescent="0.25">
      <c r="A1236">
        <v>593.37240899999995</v>
      </c>
      <c r="B1236" s="1">
        <f>DATE(2011,12,15) + TIME(8,56,16)</f>
        <v>40892.372407407405</v>
      </c>
      <c r="C1236">
        <v>80</v>
      </c>
      <c r="D1236">
        <v>75.790245056000003</v>
      </c>
      <c r="E1236">
        <v>50</v>
      </c>
      <c r="F1236">
        <v>49.972080231</v>
      </c>
      <c r="G1236">
        <v>1324.4207764</v>
      </c>
      <c r="H1236">
        <v>1321.1295166</v>
      </c>
      <c r="I1236">
        <v>1346.5788574000001</v>
      </c>
      <c r="J1236">
        <v>1341.677124</v>
      </c>
      <c r="K1236">
        <v>0</v>
      </c>
      <c r="L1236">
        <v>2750</v>
      </c>
      <c r="M1236">
        <v>2750</v>
      </c>
      <c r="N1236">
        <v>0</v>
      </c>
    </row>
    <row r="1237" spans="1:14" x14ac:dyDescent="0.25">
      <c r="A1237">
        <v>594.71005600000001</v>
      </c>
      <c r="B1237" s="1">
        <f>DATE(2011,12,16) + TIME(17,2,28)</f>
        <v>40893.710046296299</v>
      </c>
      <c r="C1237">
        <v>80</v>
      </c>
      <c r="D1237">
        <v>75.701950073000006</v>
      </c>
      <c r="E1237">
        <v>50</v>
      </c>
      <c r="F1237">
        <v>49.972091675000001</v>
      </c>
      <c r="G1237">
        <v>1324.3588867000001</v>
      </c>
      <c r="H1237">
        <v>1321.0437012</v>
      </c>
      <c r="I1237">
        <v>1346.5671387</v>
      </c>
      <c r="J1237">
        <v>1341.6704102000001</v>
      </c>
      <c r="K1237">
        <v>0</v>
      </c>
      <c r="L1237">
        <v>2750</v>
      </c>
      <c r="M1237">
        <v>2750</v>
      </c>
      <c r="N1237">
        <v>0</v>
      </c>
    </row>
    <row r="1238" spans="1:14" x14ac:dyDescent="0.25">
      <c r="A1238">
        <v>596.07217400000002</v>
      </c>
      <c r="B1238" s="1">
        <f>DATE(2011,12,18) + TIME(1,43,55)</f>
        <v>40895.072164351855</v>
      </c>
      <c r="C1238">
        <v>80</v>
      </c>
      <c r="D1238">
        <v>75.613014221</v>
      </c>
      <c r="E1238">
        <v>50</v>
      </c>
      <c r="F1238">
        <v>49.972099303999997</v>
      </c>
      <c r="G1238">
        <v>1324.2961425999999</v>
      </c>
      <c r="H1238">
        <v>1320.956543</v>
      </c>
      <c r="I1238">
        <v>1346.5554199000001</v>
      </c>
      <c r="J1238">
        <v>1341.6636963000001</v>
      </c>
      <c r="K1238">
        <v>0</v>
      </c>
      <c r="L1238">
        <v>2750</v>
      </c>
      <c r="M1238">
        <v>2750</v>
      </c>
      <c r="N1238">
        <v>0</v>
      </c>
    </row>
    <row r="1239" spans="1:14" x14ac:dyDescent="0.25">
      <c r="A1239">
        <v>597.46191399999998</v>
      </c>
      <c r="B1239" s="1">
        <f>DATE(2011,12,19) + TIME(11,5,9)</f>
        <v>40896.461909722224</v>
      </c>
      <c r="C1239">
        <v>80</v>
      </c>
      <c r="D1239">
        <v>75.523368834999999</v>
      </c>
      <c r="E1239">
        <v>50</v>
      </c>
      <c r="F1239">
        <v>49.972110747999999</v>
      </c>
      <c r="G1239">
        <v>1324.2324219</v>
      </c>
      <c r="H1239">
        <v>1320.8681641000001</v>
      </c>
      <c r="I1239">
        <v>1346.5439452999999</v>
      </c>
      <c r="J1239">
        <v>1341.6571045000001</v>
      </c>
      <c r="K1239">
        <v>0</v>
      </c>
      <c r="L1239">
        <v>2750</v>
      </c>
      <c r="M1239">
        <v>2750</v>
      </c>
      <c r="N1239">
        <v>0</v>
      </c>
    </row>
    <row r="1240" spans="1:14" x14ac:dyDescent="0.25">
      <c r="A1240">
        <v>598.88262299999997</v>
      </c>
      <c r="B1240" s="1">
        <f>DATE(2011,12,20) + TIME(21,10,58)</f>
        <v>40897.882615740738</v>
      </c>
      <c r="C1240">
        <v>80</v>
      </c>
      <c r="D1240">
        <v>75.432846068999993</v>
      </c>
      <c r="E1240">
        <v>50</v>
      </c>
      <c r="F1240">
        <v>49.972122192</v>
      </c>
      <c r="G1240">
        <v>1324.1678466999999</v>
      </c>
      <c r="H1240">
        <v>1320.7785644999999</v>
      </c>
      <c r="I1240">
        <v>1346.5324707</v>
      </c>
      <c r="J1240">
        <v>1341.6505127</v>
      </c>
      <c r="K1240">
        <v>0</v>
      </c>
      <c r="L1240">
        <v>2750</v>
      </c>
      <c r="M1240">
        <v>2750</v>
      </c>
      <c r="N1240">
        <v>0</v>
      </c>
    </row>
    <row r="1241" spans="1:14" x14ac:dyDescent="0.25">
      <c r="A1241">
        <v>600.33791499999995</v>
      </c>
      <c r="B1241" s="1">
        <f>DATE(2011,12,22) + TIME(8,6,35)</f>
        <v>40899.337905092594</v>
      </c>
      <c r="C1241">
        <v>80</v>
      </c>
      <c r="D1241">
        <v>75.341201781999999</v>
      </c>
      <c r="E1241">
        <v>50</v>
      </c>
      <c r="F1241">
        <v>49.972133636000002</v>
      </c>
      <c r="G1241">
        <v>1324.1021728999999</v>
      </c>
      <c r="H1241">
        <v>1320.6873779</v>
      </c>
      <c r="I1241">
        <v>1346.5211182</v>
      </c>
      <c r="J1241">
        <v>1341.644043</v>
      </c>
      <c r="K1241">
        <v>0</v>
      </c>
      <c r="L1241">
        <v>2750</v>
      </c>
      <c r="M1241">
        <v>2750</v>
      </c>
      <c r="N1241">
        <v>0</v>
      </c>
    </row>
    <row r="1242" spans="1:14" x14ac:dyDescent="0.25">
      <c r="A1242">
        <v>601.83108400000003</v>
      </c>
      <c r="B1242" s="1">
        <f>DATE(2011,12,23) + TIME(19,56,45)</f>
        <v>40900.831076388888</v>
      </c>
      <c r="C1242">
        <v>80</v>
      </c>
      <c r="D1242">
        <v>75.248207092000001</v>
      </c>
      <c r="E1242">
        <v>50</v>
      </c>
      <c r="F1242">
        <v>49.972145081000001</v>
      </c>
      <c r="G1242">
        <v>1324.0352783000001</v>
      </c>
      <c r="H1242">
        <v>1320.5946045000001</v>
      </c>
      <c r="I1242">
        <v>1346.5097656</v>
      </c>
      <c r="J1242">
        <v>1341.6375731999999</v>
      </c>
      <c r="K1242">
        <v>0</v>
      </c>
      <c r="L1242">
        <v>2750</v>
      </c>
      <c r="M1242">
        <v>2750</v>
      </c>
      <c r="N1242">
        <v>0</v>
      </c>
    </row>
    <row r="1243" spans="1:14" x14ac:dyDescent="0.25">
      <c r="A1243">
        <v>603.36571500000002</v>
      </c>
      <c r="B1243" s="1">
        <f>DATE(2011,12,25) + TIME(8,46,37)</f>
        <v>40902.365706018521</v>
      </c>
      <c r="C1243">
        <v>80</v>
      </c>
      <c r="D1243">
        <v>75.153625488000003</v>
      </c>
      <c r="E1243">
        <v>50</v>
      </c>
      <c r="F1243">
        <v>49.972160338999998</v>
      </c>
      <c r="G1243">
        <v>1323.9670410000001</v>
      </c>
      <c r="H1243">
        <v>1320.5</v>
      </c>
      <c r="I1243">
        <v>1346.4984131000001</v>
      </c>
      <c r="J1243">
        <v>1341.6309814000001</v>
      </c>
      <c r="K1243">
        <v>0</v>
      </c>
      <c r="L1243">
        <v>2750</v>
      </c>
      <c r="M1243">
        <v>2750</v>
      </c>
      <c r="N1243">
        <v>0</v>
      </c>
    </row>
    <row r="1244" spans="1:14" x14ac:dyDescent="0.25">
      <c r="A1244">
        <v>604.94609000000003</v>
      </c>
      <c r="B1244" s="1">
        <f>DATE(2011,12,26) + TIME(22,42,22)</f>
        <v>40903.946087962962</v>
      </c>
      <c r="C1244">
        <v>80</v>
      </c>
      <c r="D1244">
        <v>75.057220459000007</v>
      </c>
      <c r="E1244">
        <v>50</v>
      </c>
      <c r="F1244">
        <v>49.972175598</v>
      </c>
      <c r="G1244">
        <v>1323.8973389</v>
      </c>
      <c r="H1244">
        <v>1320.4033202999999</v>
      </c>
      <c r="I1244">
        <v>1346.4870605000001</v>
      </c>
      <c r="J1244">
        <v>1341.6245117000001</v>
      </c>
      <c r="K1244">
        <v>0</v>
      </c>
      <c r="L1244">
        <v>2750</v>
      </c>
      <c r="M1244">
        <v>2750</v>
      </c>
      <c r="N1244">
        <v>0</v>
      </c>
    </row>
    <row r="1245" spans="1:14" x14ac:dyDescent="0.25">
      <c r="A1245">
        <v>606.57682799999998</v>
      </c>
      <c r="B1245" s="1">
        <f>DATE(2011,12,28) + TIME(13,50,37)</f>
        <v>40905.576817129629</v>
      </c>
      <c r="C1245">
        <v>80</v>
      </c>
      <c r="D1245">
        <v>74.958625792999996</v>
      </c>
      <c r="E1245">
        <v>50</v>
      </c>
      <c r="F1245">
        <v>49.972194672000001</v>
      </c>
      <c r="G1245">
        <v>1323.8260498</v>
      </c>
      <c r="H1245">
        <v>1320.3044434000001</v>
      </c>
      <c r="I1245">
        <v>1346.4757079999999</v>
      </c>
      <c r="J1245">
        <v>1341.6179199000001</v>
      </c>
      <c r="K1245">
        <v>0</v>
      </c>
      <c r="L1245">
        <v>2750</v>
      </c>
      <c r="M1245">
        <v>2750</v>
      </c>
      <c r="N1245">
        <v>0</v>
      </c>
    </row>
    <row r="1246" spans="1:14" x14ac:dyDescent="0.25">
      <c r="A1246">
        <v>608.26291000000003</v>
      </c>
      <c r="B1246" s="1">
        <f>DATE(2011,12,30) + TIME(6,18,35)</f>
        <v>40907.26290509259</v>
      </c>
      <c r="C1246">
        <v>80</v>
      </c>
      <c r="D1246">
        <v>74.857475281000006</v>
      </c>
      <c r="E1246">
        <v>50</v>
      </c>
      <c r="F1246">
        <v>49.972209929999998</v>
      </c>
      <c r="G1246">
        <v>1323.7529297000001</v>
      </c>
      <c r="H1246">
        <v>1320.203125</v>
      </c>
      <c r="I1246">
        <v>1346.4642334</v>
      </c>
      <c r="J1246">
        <v>1341.6114502</v>
      </c>
      <c r="K1246">
        <v>0</v>
      </c>
      <c r="L1246">
        <v>2750</v>
      </c>
      <c r="M1246">
        <v>2750</v>
      </c>
      <c r="N1246">
        <v>0</v>
      </c>
    </row>
    <row r="1247" spans="1:14" x14ac:dyDescent="0.25">
      <c r="A1247">
        <v>610</v>
      </c>
      <c r="B1247" s="1">
        <f>DATE(2012,1,1) + TIME(0,0,0)</f>
        <v>40909</v>
      </c>
      <c r="C1247">
        <v>80</v>
      </c>
      <c r="D1247">
        <v>74.753616332999997</v>
      </c>
      <c r="E1247">
        <v>50</v>
      </c>
      <c r="F1247">
        <v>49.972229003999999</v>
      </c>
      <c r="G1247">
        <v>1323.6778564000001</v>
      </c>
      <c r="H1247">
        <v>1320.0991211</v>
      </c>
      <c r="I1247">
        <v>1346.4526367000001</v>
      </c>
      <c r="J1247">
        <v>1341.6047363</v>
      </c>
      <c r="K1247">
        <v>0</v>
      </c>
      <c r="L1247">
        <v>2750</v>
      </c>
      <c r="M1247">
        <v>2750</v>
      </c>
      <c r="N1247">
        <v>0</v>
      </c>
    </row>
    <row r="1248" spans="1:14" x14ac:dyDescent="0.25">
      <c r="A1248">
        <v>611.746848</v>
      </c>
      <c r="B1248" s="1">
        <f>DATE(2012,1,2) + TIME(17,55,27)</f>
        <v>40910.746840277781</v>
      </c>
      <c r="C1248">
        <v>80</v>
      </c>
      <c r="D1248">
        <v>74.647743224999999</v>
      </c>
      <c r="E1248">
        <v>50</v>
      </c>
      <c r="F1248">
        <v>49.972248077000003</v>
      </c>
      <c r="G1248">
        <v>1323.6011963000001</v>
      </c>
      <c r="H1248">
        <v>1319.9929199000001</v>
      </c>
      <c r="I1248">
        <v>1346.4410399999999</v>
      </c>
      <c r="J1248">
        <v>1341.5981445</v>
      </c>
      <c r="K1248">
        <v>0</v>
      </c>
      <c r="L1248">
        <v>2750</v>
      </c>
      <c r="M1248">
        <v>2750</v>
      </c>
      <c r="N1248">
        <v>0</v>
      </c>
    </row>
    <row r="1249" spans="1:14" x14ac:dyDescent="0.25">
      <c r="A1249">
        <v>613.58550600000001</v>
      </c>
      <c r="B1249" s="1">
        <f>DATE(2012,1,4) + TIME(14,3,7)</f>
        <v>40912.585497685184</v>
      </c>
      <c r="C1249">
        <v>80</v>
      </c>
      <c r="D1249">
        <v>74.539901732999994</v>
      </c>
      <c r="E1249">
        <v>50</v>
      </c>
      <c r="F1249">
        <v>49.972270966000004</v>
      </c>
      <c r="G1249">
        <v>1323.5239257999999</v>
      </c>
      <c r="H1249">
        <v>1319.8856201000001</v>
      </c>
      <c r="I1249">
        <v>1346.4296875</v>
      </c>
      <c r="J1249">
        <v>1341.5915527</v>
      </c>
      <c r="K1249">
        <v>0</v>
      </c>
      <c r="L1249">
        <v>2750</v>
      </c>
      <c r="M1249">
        <v>2750</v>
      </c>
      <c r="N1249">
        <v>0</v>
      </c>
    </row>
    <row r="1250" spans="1:14" x14ac:dyDescent="0.25">
      <c r="A1250">
        <v>615.48069899999996</v>
      </c>
      <c r="B1250" s="1">
        <f>DATE(2012,1,6) + TIME(11,32,12)</f>
        <v>40914.480694444443</v>
      </c>
      <c r="C1250">
        <v>80</v>
      </c>
      <c r="D1250">
        <v>74.428115844999994</v>
      </c>
      <c r="E1250">
        <v>50</v>
      </c>
      <c r="F1250">
        <v>49.972293854</v>
      </c>
      <c r="G1250">
        <v>1323.4440918</v>
      </c>
      <c r="H1250">
        <v>1319.7750243999999</v>
      </c>
      <c r="I1250">
        <v>1346.4180908000001</v>
      </c>
      <c r="J1250">
        <v>1341.5848389</v>
      </c>
      <c r="K1250">
        <v>0</v>
      </c>
      <c r="L1250">
        <v>2750</v>
      </c>
      <c r="M1250">
        <v>2750</v>
      </c>
      <c r="N1250">
        <v>0</v>
      </c>
    </row>
    <row r="1251" spans="1:14" x14ac:dyDescent="0.25">
      <c r="A1251">
        <v>617.399002</v>
      </c>
      <c r="B1251" s="1">
        <f>DATE(2012,1,8) + TIME(9,34,33)</f>
        <v>40916.398993055554</v>
      </c>
      <c r="C1251">
        <v>80</v>
      </c>
      <c r="D1251">
        <v>74.313323975000003</v>
      </c>
      <c r="E1251">
        <v>50</v>
      </c>
      <c r="F1251">
        <v>49.972316741999997</v>
      </c>
      <c r="G1251">
        <v>1323.3621826000001</v>
      </c>
      <c r="H1251">
        <v>1319.6616211</v>
      </c>
      <c r="I1251">
        <v>1346.40625</v>
      </c>
      <c r="J1251">
        <v>1341.578125</v>
      </c>
      <c r="K1251">
        <v>0</v>
      </c>
      <c r="L1251">
        <v>2750</v>
      </c>
      <c r="M1251">
        <v>2750</v>
      </c>
      <c r="N1251">
        <v>0</v>
      </c>
    </row>
    <row r="1252" spans="1:14" x14ac:dyDescent="0.25">
      <c r="A1252">
        <v>619.35486400000002</v>
      </c>
      <c r="B1252" s="1">
        <f>DATE(2012,1,10) + TIME(8,31,0)</f>
        <v>40918.354861111111</v>
      </c>
      <c r="C1252">
        <v>80</v>
      </c>
      <c r="D1252">
        <v>74.196525574000006</v>
      </c>
      <c r="E1252">
        <v>50</v>
      </c>
      <c r="F1252">
        <v>49.97233963</v>
      </c>
      <c r="G1252">
        <v>1323.2795410000001</v>
      </c>
      <c r="H1252">
        <v>1319.5471190999999</v>
      </c>
      <c r="I1252">
        <v>1346.3946533000001</v>
      </c>
      <c r="J1252">
        <v>1341.5714111</v>
      </c>
      <c r="K1252">
        <v>0</v>
      </c>
      <c r="L1252">
        <v>2750</v>
      </c>
      <c r="M1252">
        <v>2750</v>
      </c>
      <c r="N1252">
        <v>0</v>
      </c>
    </row>
    <row r="1253" spans="1:14" x14ac:dyDescent="0.25">
      <c r="A1253">
        <v>621.36329699999999</v>
      </c>
      <c r="B1253" s="1">
        <f>DATE(2012,1,12) + TIME(8,43,8)</f>
        <v>40920.363287037035</v>
      </c>
      <c r="C1253">
        <v>80</v>
      </c>
      <c r="D1253">
        <v>74.077194214000002</v>
      </c>
      <c r="E1253">
        <v>50</v>
      </c>
      <c r="F1253">
        <v>49.972366332999997</v>
      </c>
      <c r="G1253">
        <v>1323.1960449000001</v>
      </c>
      <c r="H1253">
        <v>1319.4312743999999</v>
      </c>
      <c r="I1253">
        <v>1346.3831786999999</v>
      </c>
      <c r="J1253">
        <v>1341.5646973</v>
      </c>
      <c r="K1253">
        <v>0</v>
      </c>
      <c r="L1253">
        <v>2750</v>
      </c>
      <c r="M1253">
        <v>2750</v>
      </c>
      <c r="N1253">
        <v>0</v>
      </c>
    </row>
    <row r="1254" spans="1:14" x14ac:dyDescent="0.25">
      <c r="A1254">
        <v>623.43626300000005</v>
      </c>
      <c r="B1254" s="1">
        <f>DATE(2012,1,14) + TIME(10,28,13)</f>
        <v>40922.436261574076</v>
      </c>
      <c r="C1254">
        <v>80</v>
      </c>
      <c r="D1254">
        <v>73.954437256000006</v>
      </c>
      <c r="E1254">
        <v>50</v>
      </c>
      <c r="F1254">
        <v>49.972393036</v>
      </c>
      <c r="G1254">
        <v>1323.1112060999999</v>
      </c>
      <c r="H1254">
        <v>1319.3135986</v>
      </c>
      <c r="I1254">
        <v>1346.371582</v>
      </c>
      <c r="J1254">
        <v>1341.5579834</v>
      </c>
      <c r="K1254">
        <v>0</v>
      </c>
      <c r="L1254">
        <v>2750</v>
      </c>
      <c r="M1254">
        <v>2750</v>
      </c>
      <c r="N1254">
        <v>0</v>
      </c>
    </row>
    <row r="1255" spans="1:14" x14ac:dyDescent="0.25">
      <c r="A1255">
        <v>625.56685600000003</v>
      </c>
      <c r="B1255" s="1">
        <f>DATE(2012,1,16) + TIME(13,36,16)</f>
        <v>40924.566851851851</v>
      </c>
      <c r="C1255">
        <v>80</v>
      </c>
      <c r="D1255">
        <v>73.827613830999994</v>
      </c>
      <c r="E1255">
        <v>50</v>
      </c>
      <c r="F1255">
        <v>49.972419739000003</v>
      </c>
      <c r="G1255">
        <v>1323.0244141000001</v>
      </c>
      <c r="H1255">
        <v>1319.1934814000001</v>
      </c>
      <c r="I1255">
        <v>1346.3598632999999</v>
      </c>
      <c r="J1255">
        <v>1341.5511475000001</v>
      </c>
      <c r="K1255">
        <v>0</v>
      </c>
      <c r="L1255">
        <v>2750</v>
      </c>
      <c r="M1255">
        <v>2750</v>
      </c>
      <c r="N1255">
        <v>0</v>
      </c>
    </row>
    <row r="1256" spans="1:14" x14ac:dyDescent="0.25">
      <c r="A1256">
        <v>627.75104299999998</v>
      </c>
      <c r="B1256" s="1">
        <f>DATE(2012,1,18) + TIME(18,1,30)</f>
        <v>40926.75104166667</v>
      </c>
      <c r="C1256">
        <v>80</v>
      </c>
      <c r="D1256">
        <v>73.696708678999997</v>
      </c>
      <c r="E1256">
        <v>50</v>
      </c>
      <c r="F1256">
        <v>49.972450256000002</v>
      </c>
      <c r="G1256">
        <v>1322.9361572</v>
      </c>
      <c r="H1256">
        <v>1319.0710449000001</v>
      </c>
      <c r="I1256">
        <v>1346.3481445</v>
      </c>
      <c r="J1256">
        <v>1341.5443115</v>
      </c>
      <c r="K1256">
        <v>0</v>
      </c>
      <c r="L1256">
        <v>2750</v>
      </c>
      <c r="M1256">
        <v>2750</v>
      </c>
      <c r="N1256">
        <v>0</v>
      </c>
    </row>
    <row r="1257" spans="1:14" x14ac:dyDescent="0.25">
      <c r="A1257">
        <v>629.95967499999995</v>
      </c>
      <c r="B1257" s="1">
        <f>DATE(2012,1,20) + TIME(23,1,55)</f>
        <v>40928.959664351853</v>
      </c>
      <c r="C1257">
        <v>80</v>
      </c>
      <c r="D1257">
        <v>73.562072753999999</v>
      </c>
      <c r="E1257">
        <v>50</v>
      </c>
      <c r="F1257">
        <v>49.972476958999998</v>
      </c>
      <c r="G1257">
        <v>1322.8464355000001</v>
      </c>
      <c r="H1257">
        <v>1318.9466553</v>
      </c>
      <c r="I1257">
        <v>1346.3364257999999</v>
      </c>
      <c r="J1257">
        <v>1341.5374756000001</v>
      </c>
      <c r="K1257">
        <v>0</v>
      </c>
      <c r="L1257">
        <v>2750</v>
      </c>
      <c r="M1257">
        <v>2750</v>
      </c>
      <c r="N1257">
        <v>0</v>
      </c>
    </row>
    <row r="1258" spans="1:14" x14ac:dyDescent="0.25">
      <c r="A1258">
        <v>632.20262700000001</v>
      </c>
      <c r="B1258" s="1">
        <f>DATE(2012,1,23) + TIME(4,51,46)</f>
        <v>40931.202615740738</v>
      </c>
      <c r="C1258">
        <v>80</v>
      </c>
      <c r="D1258">
        <v>73.424583435000002</v>
      </c>
      <c r="E1258">
        <v>50</v>
      </c>
      <c r="F1258">
        <v>49.972507477000001</v>
      </c>
      <c r="G1258">
        <v>1322.7562256000001</v>
      </c>
      <c r="H1258">
        <v>1318.8216553</v>
      </c>
      <c r="I1258">
        <v>1346.3248291</v>
      </c>
      <c r="J1258">
        <v>1341.5306396000001</v>
      </c>
      <c r="K1258">
        <v>0</v>
      </c>
      <c r="L1258">
        <v>2750</v>
      </c>
      <c r="M1258">
        <v>2750</v>
      </c>
      <c r="N1258">
        <v>0</v>
      </c>
    </row>
    <row r="1259" spans="1:14" x14ac:dyDescent="0.25">
      <c r="A1259">
        <v>634.49726299999998</v>
      </c>
      <c r="B1259" s="1">
        <f>DATE(2012,1,25) + TIME(11,56,3)</f>
        <v>40933.497256944444</v>
      </c>
      <c r="C1259">
        <v>80</v>
      </c>
      <c r="D1259">
        <v>73.283714294000006</v>
      </c>
      <c r="E1259">
        <v>50</v>
      </c>
      <c r="F1259">
        <v>49.972541808999999</v>
      </c>
      <c r="G1259">
        <v>1322.6656493999999</v>
      </c>
      <c r="H1259">
        <v>1318.6959228999999</v>
      </c>
      <c r="I1259">
        <v>1346.3132324000001</v>
      </c>
      <c r="J1259">
        <v>1341.5238036999999</v>
      </c>
      <c r="K1259">
        <v>0</v>
      </c>
      <c r="L1259">
        <v>2750</v>
      </c>
      <c r="M1259">
        <v>2750</v>
      </c>
      <c r="N1259">
        <v>0</v>
      </c>
    </row>
    <row r="1260" spans="1:14" x14ac:dyDescent="0.25">
      <c r="A1260">
        <v>636.862168</v>
      </c>
      <c r="B1260" s="1">
        <f>DATE(2012,1,27) + TIME(20,41,31)</f>
        <v>40935.862164351849</v>
      </c>
      <c r="C1260">
        <v>80</v>
      </c>
      <c r="D1260">
        <v>73.138313292999996</v>
      </c>
      <c r="E1260">
        <v>50</v>
      </c>
      <c r="F1260">
        <v>49.972572327000002</v>
      </c>
      <c r="G1260">
        <v>1322.5739745999999</v>
      </c>
      <c r="H1260">
        <v>1318.5688477000001</v>
      </c>
      <c r="I1260">
        <v>1346.3016356999999</v>
      </c>
      <c r="J1260">
        <v>1341.5168457</v>
      </c>
      <c r="K1260">
        <v>0</v>
      </c>
      <c r="L1260">
        <v>2750</v>
      </c>
      <c r="M1260">
        <v>2750</v>
      </c>
      <c r="N1260">
        <v>0</v>
      </c>
    </row>
    <row r="1261" spans="1:14" x14ac:dyDescent="0.25">
      <c r="A1261">
        <v>639.27224100000001</v>
      </c>
      <c r="B1261" s="1">
        <f>DATE(2012,1,30) + TIME(6,32,1)</f>
        <v>40938.272233796299</v>
      </c>
      <c r="C1261">
        <v>80</v>
      </c>
      <c r="D1261">
        <v>72.987548828000001</v>
      </c>
      <c r="E1261">
        <v>50</v>
      </c>
      <c r="F1261">
        <v>49.972606659</v>
      </c>
      <c r="G1261">
        <v>1322.4807129000001</v>
      </c>
      <c r="H1261">
        <v>1318.4395752</v>
      </c>
      <c r="I1261">
        <v>1346.2899170000001</v>
      </c>
      <c r="J1261">
        <v>1341.5098877</v>
      </c>
      <c r="K1261">
        <v>0</v>
      </c>
      <c r="L1261">
        <v>2750</v>
      </c>
      <c r="M1261">
        <v>2750</v>
      </c>
      <c r="N1261">
        <v>0</v>
      </c>
    </row>
    <row r="1262" spans="1:14" x14ac:dyDescent="0.25">
      <c r="A1262">
        <v>641</v>
      </c>
      <c r="B1262" s="1">
        <f>DATE(2012,2,1) + TIME(0,0,0)</f>
        <v>40940</v>
      </c>
      <c r="C1262">
        <v>80</v>
      </c>
      <c r="D1262">
        <v>72.843284607000001</v>
      </c>
      <c r="E1262">
        <v>50</v>
      </c>
      <c r="F1262">
        <v>49.972625731999997</v>
      </c>
      <c r="G1262">
        <v>1322.3878173999999</v>
      </c>
      <c r="H1262">
        <v>1318.3118896000001</v>
      </c>
      <c r="I1262">
        <v>1346.2781981999999</v>
      </c>
      <c r="J1262">
        <v>1341.5029297000001</v>
      </c>
      <c r="K1262">
        <v>0</v>
      </c>
      <c r="L1262">
        <v>2750</v>
      </c>
      <c r="M1262">
        <v>2750</v>
      </c>
      <c r="N1262">
        <v>0</v>
      </c>
    </row>
    <row r="1263" spans="1:14" x14ac:dyDescent="0.25">
      <c r="A1263">
        <v>643.45219699999996</v>
      </c>
      <c r="B1263" s="1">
        <f>DATE(2012,2,3) + TIME(10,51,9)</f>
        <v>40942.452187499999</v>
      </c>
      <c r="C1263">
        <v>80</v>
      </c>
      <c r="D1263">
        <v>72.713119507000002</v>
      </c>
      <c r="E1263">
        <v>50</v>
      </c>
      <c r="F1263">
        <v>49.972667694000002</v>
      </c>
      <c r="G1263">
        <v>1322.3137207</v>
      </c>
      <c r="H1263">
        <v>1318.2056885</v>
      </c>
      <c r="I1263">
        <v>1346.2700195</v>
      </c>
      <c r="J1263">
        <v>1341.4980469</v>
      </c>
      <c r="K1263">
        <v>0</v>
      </c>
      <c r="L1263">
        <v>2750</v>
      </c>
      <c r="M1263">
        <v>2750</v>
      </c>
      <c r="N1263">
        <v>0</v>
      </c>
    </row>
    <row r="1264" spans="1:14" x14ac:dyDescent="0.25">
      <c r="A1264">
        <v>646.02432499999998</v>
      </c>
      <c r="B1264" s="1">
        <f>DATE(2012,2,6) + TIME(0,35,1)</f>
        <v>40945.024317129632</v>
      </c>
      <c r="C1264">
        <v>80</v>
      </c>
      <c r="D1264">
        <v>72.555870056000003</v>
      </c>
      <c r="E1264">
        <v>50</v>
      </c>
      <c r="F1264">
        <v>49.972705841</v>
      </c>
      <c r="G1264">
        <v>1322.2238769999999</v>
      </c>
      <c r="H1264">
        <v>1318.0827637</v>
      </c>
      <c r="I1264">
        <v>1346.2585449000001</v>
      </c>
      <c r="J1264">
        <v>1341.4910889</v>
      </c>
      <c r="K1264">
        <v>0</v>
      </c>
      <c r="L1264">
        <v>2750</v>
      </c>
      <c r="M1264">
        <v>2750</v>
      </c>
      <c r="N1264">
        <v>0</v>
      </c>
    </row>
    <row r="1265" spans="1:14" x14ac:dyDescent="0.25">
      <c r="A1265">
        <v>648.64105900000004</v>
      </c>
      <c r="B1265" s="1">
        <f>DATE(2012,2,8) + TIME(15,23,7)</f>
        <v>40947.641053240739</v>
      </c>
      <c r="C1265">
        <v>80</v>
      </c>
      <c r="D1265">
        <v>72.385826111</v>
      </c>
      <c r="E1265">
        <v>50</v>
      </c>
      <c r="F1265">
        <v>49.972747802999997</v>
      </c>
      <c r="G1265">
        <v>1322.1279297000001</v>
      </c>
      <c r="H1265">
        <v>1317.9500731999999</v>
      </c>
      <c r="I1265">
        <v>1346.2467041</v>
      </c>
      <c r="J1265">
        <v>1341.4838867000001</v>
      </c>
      <c r="K1265">
        <v>0</v>
      </c>
      <c r="L1265">
        <v>2750</v>
      </c>
      <c r="M1265">
        <v>2750</v>
      </c>
      <c r="N1265">
        <v>0</v>
      </c>
    </row>
    <row r="1266" spans="1:14" x14ac:dyDescent="0.25">
      <c r="A1266">
        <v>651.31258000000003</v>
      </c>
      <c r="B1266" s="1">
        <f>DATE(2012,2,11) + TIME(7,30,6)</f>
        <v>40950.312569444446</v>
      </c>
      <c r="C1266">
        <v>80</v>
      </c>
      <c r="D1266">
        <v>72.208999633999994</v>
      </c>
      <c r="E1266">
        <v>50</v>
      </c>
      <c r="F1266">
        <v>49.972785950000002</v>
      </c>
      <c r="G1266">
        <v>1322.0301514</v>
      </c>
      <c r="H1266">
        <v>1317.8144531</v>
      </c>
      <c r="I1266">
        <v>1346.2348632999999</v>
      </c>
      <c r="J1266">
        <v>1341.4766846</v>
      </c>
      <c r="K1266">
        <v>0</v>
      </c>
      <c r="L1266">
        <v>2750</v>
      </c>
      <c r="M1266">
        <v>2750</v>
      </c>
      <c r="N1266">
        <v>0</v>
      </c>
    </row>
    <row r="1267" spans="1:14" x14ac:dyDescent="0.25">
      <c r="A1267">
        <v>654.01120500000002</v>
      </c>
      <c r="B1267" s="1">
        <f>DATE(2012,2,14) + TIME(0,16,8)</f>
        <v>40953.011203703703</v>
      </c>
      <c r="C1267">
        <v>80</v>
      </c>
      <c r="D1267">
        <v>72.026008606000005</v>
      </c>
      <c r="E1267">
        <v>50</v>
      </c>
      <c r="F1267">
        <v>49.972827911000003</v>
      </c>
      <c r="G1267">
        <v>1321.9313964999999</v>
      </c>
      <c r="H1267">
        <v>1317.6773682</v>
      </c>
      <c r="I1267">
        <v>1346.2229004000001</v>
      </c>
      <c r="J1267">
        <v>1341.4693603999999</v>
      </c>
      <c r="K1267">
        <v>0</v>
      </c>
      <c r="L1267">
        <v>2750</v>
      </c>
      <c r="M1267">
        <v>2750</v>
      </c>
      <c r="N1267">
        <v>0</v>
      </c>
    </row>
    <row r="1268" spans="1:14" x14ac:dyDescent="0.25">
      <c r="A1268">
        <v>656.75882999999999</v>
      </c>
      <c r="B1268" s="1">
        <f>DATE(2012,2,16) + TIME(18,12,42)</f>
        <v>40955.758819444447</v>
      </c>
      <c r="C1268">
        <v>80</v>
      </c>
      <c r="D1268">
        <v>71.837860106999997</v>
      </c>
      <c r="E1268">
        <v>50</v>
      </c>
      <c r="F1268">
        <v>49.972869873</v>
      </c>
      <c r="G1268">
        <v>1321.8326416</v>
      </c>
      <c r="H1268">
        <v>1317.5401611</v>
      </c>
      <c r="I1268">
        <v>1346.2111815999999</v>
      </c>
      <c r="J1268">
        <v>1341.4620361</v>
      </c>
      <c r="K1268">
        <v>0</v>
      </c>
      <c r="L1268">
        <v>2750</v>
      </c>
      <c r="M1268">
        <v>2750</v>
      </c>
      <c r="N1268">
        <v>0</v>
      </c>
    </row>
    <row r="1269" spans="1:14" x14ac:dyDescent="0.25">
      <c r="A1269">
        <v>659.57820600000002</v>
      </c>
      <c r="B1269" s="1">
        <f>DATE(2012,2,19) + TIME(13,52,36)</f>
        <v>40958.578194444446</v>
      </c>
      <c r="C1269">
        <v>80</v>
      </c>
      <c r="D1269">
        <v>71.643241881999998</v>
      </c>
      <c r="E1269">
        <v>50</v>
      </c>
      <c r="F1269">
        <v>49.972911834999998</v>
      </c>
      <c r="G1269">
        <v>1321.7333983999999</v>
      </c>
      <c r="H1269">
        <v>1317.4022216999999</v>
      </c>
      <c r="I1269">
        <v>1346.1993408000001</v>
      </c>
      <c r="J1269">
        <v>1341.4547118999999</v>
      </c>
      <c r="K1269">
        <v>0</v>
      </c>
      <c r="L1269">
        <v>2750</v>
      </c>
      <c r="M1269">
        <v>2750</v>
      </c>
      <c r="N1269">
        <v>0</v>
      </c>
    </row>
    <row r="1270" spans="1:14" x14ac:dyDescent="0.25">
      <c r="A1270">
        <v>662.46919100000002</v>
      </c>
      <c r="B1270" s="1">
        <f>DATE(2012,2,22) + TIME(11,15,38)</f>
        <v>40961.469189814816</v>
      </c>
      <c r="C1270">
        <v>80</v>
      </c>
      <c r="D1270">
        <v>71.440605164000004</v>
      </c>
      <c r="E1270">
        <v>50</v>
      </c>
      <c r="F1270">
        <v>49.972957610999998</v>
      </c>
      <c r="G1270">
        <v>1321.6330565999999</v>
      </c>
      <c r="H1270">
        <v>1317.2629394999999</v>
      </c>
      <c r="I1270">
        <v>1346.1873779</v>
      </c>
      <c r="J1270">
        <v>1341.4472656</v>
      </c>
      <c r="K1270">
        <v>0</v>
      </c>
      <c r="L1270">
        <v>2750</v>
      </c>
      <c r="M1270">
        <v>2750</v>
      </c>
      <c r="N1270">
        <v>0</v>
      </c>
    </row>
    <row r="1271" spans="1:14" x14ac:dyDescent="0.25">
      <c r="A1271">
        <v>665.43803700000001</v>
      </c>
      <c r="B1271" s="1">
        <f>DATE(2012,2,25) + TIME(10,30,46)</f>
        <v>40964.438032407408</v>
      </c>
      <c r="C1271">
        <v>80</v>
      </c>
      <c r="D1271">
        <v>71.229316710999996</v>
      </c>
      <c r="E1271">
        <v>50</v>
      </c>
      <c r="F1271">
        <v>49.973003386999999</v>
      </c>
      <c r="G1271">
        <v>1321.5317382999999</v>
      </c>
      <c r="H1271">
        <v>1317.1219481999999</v>
      </c>
      <c r="I1271">
        <v>1346.1754149999999</v>
      </c>
      <c r="J1271">
        <v>1341.4396973</v>
      </c>
      <c r="K1271">
        <v>0</v>
      </c>
      <c r="L1271">
        <v>2750</v>
      </c>
      <c r="M1271">
        <v>2750</v>
      </c>
      <c r="N1271">
        <v>0</v>
      </c>
    </row>
    <row r="1272" spans="1:14" x14ac:dyDescent="0.25">
      <c r="A1272">
        <v>668.434393</v>
      </c>
      <c r="B1272" s="1">
        <f>DATE(2012,2,28) + TIME(10,25,31)</f>
        <v>40967.434386574074</v>
      </c>
      <c r="C1272">
        <v>80</v>
      </c>
      <c r="D1272">
        <v>71.009223938000005</v>
      </c>
      <c r="E1272">
        <v>50</v>
      </c>
      <c r="F1272">
        <v>49.973049164000003</v>
      </c>
      <c r="G1272">
        <v>1321.4290771000001</v>
      </c>
      <c r="H1272">
        <v>1316.9792480000001</v>
      </c>
      <c r="I1272">
        <v>1346.1632079999999</v>
      </c>
      <c r="J1272">
        <v>1341.4320068</v>
      </c>
      <c r="K1272">
        <v>0</v>
      </c>
      <c r="L1272">
        <v>2750</v>
      </c>
      <c r="M1272">
        <v>2750</v>
      </c>
      <c r="N1272">
        <v>0</v>
      </c>
    </row>
    <row r="1273" spans="1:14" x14ac:dyDescent="0.25">
      <c r="A1273">
        <v>670</v>
      </c>
      <c r="B1273" s="1">
        <f>DATE(2012,3,1) + TIME(0,0,0)</f>
        <v>40969</v>
      </c>
      <c r="C1273">
        <v>80</v>
      </c>
      <c r="D1273">
        <v>70.809913635000001</v>
      </c>
      <c r="E1273">
        <v>50</v>
      </c>
      <c r="F1273">
        <v>49.973064422999997</v>
      </c>
      <c r="G1273">
        <v>1321.3287353999999</v>
      </c>
      <c r="H1273">
        <v>1316.8419189000001</v>
      </c>
      <c r="I1273">
        <v>1346.1508789</v>
      </c>
      <c r="J1273">
        <v>1341.4241943</v>
      </c>
      <c r="K1273">
        <v>0</v>
      </c>
      <c r="L1273">
        <v>2750</v>
      </c>
      <c r="M1273">
        <v>2750</v>
      </c>
      <c r="N1273">
        <v>0</v>
      </c>
    </row>
    <row r="1274" spans="1:14" x14ac:dyDescent="0.25">
      <c r="A1274">
        <v>673.03812800000003</v>
      </c>
      <c r="B1274" s="1">
        <f>DATE(2012,3,4) + TIME(0,54,54)</f>
        <v>40972.038124999999</v>
      </c>
      <c r="C1274">
        <v>80</v>
      </c>
      <c r="D1274">
        <v>70.650009155000006</v>
      </c>
      <c r="E1274">
        <v>50</v>
      </c>
      <c r="F1274">
        <v>49.973121642999999</v>
      </c>
      <c r="G1274">
        <v>1321.2640381000001</v>
      </c>
      <c r="H1274">
        <v>1316.7452393000001</v>
      </c>
      <c r="I1274">
        <v>1346.1447754000001</v>
      </c>
      <c r="J1274">
        <v>1341.4201660000001</v>
      </c>
      <c r="K1274">
        <v>0</v>
      </c>
      <c r="L1274">
        <v>2750</v>
      </c>
      <c r="M1274">
        <v>2750</v>
      </c>
      <c r="N1274">
        <v>0</v>
      </c>
    </row>
    <row r="1275" spans="1:14" x14ac:dyDescent="0.25">
      <c r="A1275">
        <v>676.17183999999997</v>
      </c>
      <c r="B1275" s="1">
        <f>DATE(2012,3,7) + TIME(4,7,26)</f>
        <v>40975.1718287037</v>
      </c>
      <c r="C1275">
        <v>80</v>
      </c>
      <c r="D1275">
        <v>70.423896790000001</v>
      </c>
      <c r="E1275">
        <v>50</v>
      </c>
      <c r="F1275">
        <v>49.973171233999999</v>
      </c>
      <c r="G1275">
        <v>1321.1701660000001</v>
      </c>
      <c r="H1275">
        <v>1316.6177978999999</v>
      </c>
      <c r="I1275">
        <v>1346.1326904</v>
      </c>
      <c r="J1275">
        <v>1341.4124756000001</v>
      </c>
      <c r="K1275">
        <v>0</v>
      </c>
      <c r="L1275">
        <v>2750</v>
      </c>
      <c r="M1275">
        <v>2750</v>
      </c>
      <c r="N1275">
        <v>0</v>
      </c>
    </row>
    <row r="1276" spans="1:14" x14ac:dyDescent="0.25">
      <c r="A1276">
        <v>679.37101800000005</v>
      </c>
      <c r="B1276" s="1">
        <f>DATE(2012,3,10) + TIME(8,54,15)</f>
        <v>40978.371006944442</v>
      </c>
      <c r="C1276">
        <v>80</v>
      </c>
      <c r="D1276">
        <v>70.177146911999998</v>
      </c>
      <c r="E1276">
        <v>50</v>
      </c>
      <c r="F1276">
        <v>49.973220824999999</v>
      </c>
      <c r="G1276">
        <v>1321.0686035000001</v>
      </c>
      <c r="H1276">
        <v>1316.4768065999999</v>
      </c>
      <c r="I1276">
        <v>1346.1204834</v>
      </c>
      <c r="J1276">
        <v>1341.4045410000001</v>
      </c>
      <c r="K1276">
        <v>0</v>
      </c>
      <c r="L1276">
        <v>2750</v>
      </c>
      <c r="M1276">
        <v>2750</v>
      </c>
      <c r="N1276">
        <v>0</v>
      </c>
    </row>
    <row r="1277" spans="1:14" x14ac:dyDescent="0.25">
      <c r="A1277">
        <v>682.66296399999999</v>
      </c>
      <c r="B1277" s="1">
        <f>DATE(2012,3,13) + TIME(15,54,40)</f>
        <v>40981.662962962961</v>
      </c>
      <c r="C1277">
        <v>80</v>
      </c>
      <c r="D1277">
        <v>69.919166564999998</v>
      </c>
      <c r="E1277">
        <v>50</v>
      </c>
      <c r="F1277">
        <v>49.973274230999998</v>
      </c>
      <c r="G1277">
        <v>1320.9652100000001</v>
      </c>
      <c r="H1277">
        <v>1316.3326416</v>
      </c>
      <c r="I1277">
        <v>1346.1081543</v>
      </c>
      <c r="J1277">
        <v>1341.3963623</v>
      </c>
      <c r="K1277">
        <v>0</v>
      </c>
      <c r="L1277">
        <v>2750</v>
      </c>
      <c r="M1277">
        <v>2750</v>
      </c>
      <c r="N1277">
        <v>0</v>
      </c>
    </row>
    <row r="1278" spans="1:14" x14ac:dyDescent="0.25">
      <c r="A1278">
        <v>686.01195499999994</v>
      </c>
      <c r="B1278" s="1">
        <f>DATE(2012,3,17) + TIME(0,17,12)</f>
        <v>40985.011944444443</v>
      </c>
      <c r="C1278">
        <v>80</v>
      </c>
      <c r="D1278">
        <v>69.648101807000003</v>
      </c>
      <c r="E1278">
        <v>50</v>
      </c>
      <c r="F1278">
        <v>49.973327636999997</v>
      </c>
      <c r="G1278">
        <v>1320.8605957</v>
      </c>
      <c r="H1278">
        <v>1316.1866454999999</v>
      </c>
      <c r="I1278">
        <v>1346.0955810999999</v>
      </c>
      <c r="J1278">
        <v>1341.3880615</v>
      </c>
      <c r="K1278">
        <v>0</v>
      </c>
      <c r="L1278">
        <v>2750</v>
      </c>
      <c r="M1278">
        <v>2750</v>
      </c>
      <c r="N1278">
        <v>0</v>
      </c>
    </row>
    <row r="1279" spans="1:14" x14ac:dyDescent="0.25">
      <c r="A1279">
        <v>689.40926000000002</v>
      </c>
      <c r="B1279" s="1">
        <f>DATE(2012,3,20) + TIME(9,49,20)</f>
        <v>40988.409259259257</v>
      </c>
      <c r="C1279">
        <v>80</v>
      </c>
      <c r="D1279">
        <v>69.367256165000001</v>
      </c>
      <c r="E1279">
        <v>50</v>
      </c>
      <c r="F1279">
        <v>49.973381042</v>
      </c>
      <c r="G1279">
        <v>1320.7556152</v>
      </c>
      <c r="H1279">
        <v>1316.0399170000001</v>
      </c>
      <c r="I1279">
        <v>1346.0828856999999</v>
      </c>
      <c r="J1279">
        <v>1341.3797606999999</v>
      </c>
      <c r="K1279">
        <v>0</v>
      </c>
      <c r="L1279">
        <v>2750</v>
      </c>
      <c r="M1279">
        <v>2750</v>
      </c>
      <c r="N1279">
        <v>0</v>
      </c>
    </row>
    <row r="1280" spans="1:14" x14ac:dyDescent="0.25">
      <c r="A1280">
        <v>692.84886300000005</v>
      </c>
      <c r="B1280" s="1">
        <f>DATE(2012,3,23) + TIME(20,22,21)</f>
        <v>40991.848854166667</v>
      </c>
      <c r="C1280">
        <v>80</v>
      </c>
      <c r="D1280">
        <v>69.075645446999999</v>
      </c>
      <c r="E1280">
        <v>50</v>
      </c>
      <c r="F1280">
        <v>49.973434447999999</v>
      </c>
      <c r="G1280">
        <v>1320.6508789</v>
      </c>
      <c r="H1280">
        <v>1315.8933105000001</v>
      </c>
      <c r="I1280">
        <v>1346.0701904</v>
      </c>
      <c r="J1280">
        <v>1341.3712158000001</v>
      </c>
      <c r="K1280">
        <v>0</v>
      </c>
      <c r="L1280">
        <v>2750</v>
      </c>
      <c r="M1280">
        <v>2750</v>
      </c>
      <c r="N1280">
        <v>0</v>
      </c>
    </row>
    <row r="1281" spans="1:14" x14ac:dyDescent="0.25">
      <c r="A1281">
        <v>696.35436300000003</v>
      </c>
      <c r="B1281" s="1">
        <f>DATE(2012,3,27) + TIME(8,30,16)</f>
        <v>40995.354351851849</v>
      </c>
      <c r="C1281">
        <v>80</v>
      </c>
      <c r="D1281">
        <v>68.775199889999996</v>
      </c>
      <c r="E1281">
        <v>50</v>
      </c>
      <c r="F1281">
        <v>49.973491668999998</v>
      </c>
      <c r="G1281">
        <v>1320.5466309000001</v>
      </c>
      <c r="H1281">
        <v>1315.7470702999999</v>
      </c>
      <c r="I1281">
        <v>1346.0574951000001</v>
      </c>
      <c r="J1281">
        <v>1341.3626709</v>
      </c>
      <c r="K1281">
        <v>0</v>
      </c>
      <c r="L1281">
        <v>2750</v>
      </c>
      <c r="M1281">
        <v>2750</v>
      </c>
      <c r="N1281">
        <v>0</v>
      </c>
    </row>
    <row r="1282" spans="1:14" x14ac:dyDescent="0.25">
      <c r="A1282">
        <v>699.95530499999995</v>
      </c>
      <c r="B1282" s="1">
        <f>DATE(2012,3,30) + TIME(22,55,38)</f>
        <v>40998.955300925925</v>
      </c>
      <c r="C1282">
        <v>80</v>
      </c>
      <c r="D1282">
        <v>68.461036682</v>
      </c>
      <c r="E1282">
        <v>50</v>
      </c>
      <c r="F1282">
        <v>49.973548889</v>
      </c>
      <c r="G1282">
        <v>1320.4423827999999</v>
      </c>
      <c r="H1282">
        <v>1315.6009521000001</v>
      </c>
      <c r="I1282">
        <v>1346.0447998</v>
      </c>
      <c r="J1282">
        <v>1341.3538818</v>
      </c>
      <c r="K1282">
        <v>0</v>
      </c>
      <c r="L1282">
        <v>2750</v>
      </c>
      <c r="M1282">
        <v>2750</v>
      </c>
      <c r="N1282">
        <v>0</v>
      </c>
    </row>
    <row r="1283" spans="1:14" x14ac:dyDescent="0.25">
      <c r="A1283">
        <v>701</v>
      </c>
      <c r="B1283" s="1">
        <f>DATE(2012,4,1) + TIME(0,0,0)</f>
        <v>41000</v>
      </c>
      <c r="C1283">
        <v>80</v>
      </c>
      <c r="D1283">
        <v>68.209564209000007</v>
      </c>
      <c r="E1283">
        <v>50</v>
      </c>
      <c r="F1283">
        <v>49.973556518999999</v>
      </c>
      <c r="G1283">
        <v>1320.3405762</v>
      </c>
      <c r="H1283">
        <v>1315.4645995999999</v>
      </c>
      <c r="I1283">
        <v>1346.0316161999999</v>
      </c>
      <c r="J1283">
        <v>1341.3448486</v>
      </c>
      <c r="K1283">
        <v>0</v>
      </c>
      <c r="L1283">
        <v>2750</v>
      </c>
      <c r="M1283">
        <v>2750</v>
      </c>
      <c r="N1283">
        <v>0</v>
      </c>
    </row>
    <row r="1284" spans="1:14" x14ac:dyDescent="0.25">
      <c r="A1284">
        <v>704.70551799999998</v>
      </c>
      <c r="B1284" s="1">
        <f>DATE(2012,4,4) + TIME(16,55,56)</f>
        <v>41003.705509259256</v>
      </c>
      <c r="C1284">
        <v>80</v>
      </c>
      <c r="D1284">
        <v>68.017509459999999</v>
      </c>
      <c r="E1284">
        <v>50</v>
      </c>
      <c r="F1284">
        <v>49.973625183000003</v>
      </c>
      <c r="G1284">
        <v>1320.2955322</v>
      </c>
      <c r="H1284">
        <v>1315.3887939000001</v>
      </c>
      <c r="I1284">
        <v>1346.0279541</v>
      </c>
      <c r="J1284">
        <v>1341.3424072</v>
      </c>
      <c r="K1284">
        <v>0</v>
      </c>
      <c r="L1284">
        <v>2750</v>
      </c>
      <c r="M1284">
        <v>2750</v>
      </c>
      <c r="N1284">
        <v>0</v>
      </c>
    </row>
    <row r="1285" spans="1:14" x14ac:dyDescent="0.25">
      <c r="A1285">
        <v>708.48894499999994</v>
      </c>
      <c r="B1285" s="1">
        <f>DATE(2012,4,8) + TIME(11,44,4)</f>
        <v>41007.488935185182</v>
      </c>
      <c r="C1285">
        <v>80</v>
      </c>
      <c r="D1285">
        <v>67.687103270999998</v>
      </c>
      <c r="E1285">
        <v>50</v>
      </c>
      <c r="F1285">
        <v>49.973686217999997</v>
      </c>
      <c r="G1285">
        <v>1320.2009277</v>
      </c>
      <c r="H1285">
        <v>1315.2607422000001</v>
      </c>
      <c r="I1285">
        <v>1346.0147704999999</v>
      </c>
      <c r="J1285">
        <v>1341.3331298999999</v>
      </c>
      <c r="K1285">
        <v>0</v>
      </c>
      <c r="L1285">
        <v>2750</v>
      </c>
      <c r="M1285">
        <v>2750</v>
      </c>
      <c r="N1285">
        <v>0</v>
      </c>
    </row>
    <row r="1286" spans="1:14" x14ac:dyDescent="0.25">
      <c r="A1286">
        <v>712.29312900000002</v>
      </c>
      <c r="B1286" s="1">
        <f>DATE(2012,4,12) + TIME(7,2,6)</f>
        <v>41011.293124999997</v>
      </c>
      <c r="C1286">
        <v>80</v>
      </c>
      <c r="D1286">
        <v>67.328071593999994</v>
      </c>
      <c r="E1286">
        <v>50</v>
      </c>
      <c r="F1286">
        <v>49.973747252999999</v>
      </c>
      <c r="G1286">
        <v>1320.0974120999999</v>
      </c>
      <c r="H1286">
        <v>1315.1156006000001</v>
      </c>
      <c r="I1286">
        <v>1346.0013428</v>
      </c>
      <c r="J1286">
        <v>1341.3237305</v>
      </c>
      <c r="K1286">
        <v>0</v>
      </c>
      <c r="L1286">
        <v>2750</v>
      </c>
      <c r="M1286">
        <v>2750</v>
      </c>
      <c r="N1286">
        <v>0</v>
      </c>
    </row>
    <row r="1287" spans="1:14" x14ac:dyDescent="0.25">
      <c r="A1287">
        <v>716.17235400000004</v>
      </c>
      <c r="B1287" s="1">
        <f>DATE(2012,4,16) + TIME(4,8,11)</f>
        <v>41015.172349537039</v>
      </c>
      <c r="C1287">
        <v>80</v>
      </c>
      <c r="D1287">
        <v>66.956497192</v>
      </c>
      <c r="E1287">
        <v>50</v>
      </c>
      <c r="F1287">
        <v>49.973808288999997</v>
      </c>
      <c r="G1287">
        <v>1319.9941406</v>
      </c>
      <c r="H1287">
        <v>1314.9698486</v>
      </c>
      <c r="I1287">
        <v>1345.9879149999999</v>
      </c>
      <c r="J1287">
        <v>1341.3143310999999</v>
      </c>
      <c r="K1287">
        <v>0</v>
      </c>
      <c r="L1287">
        <v>2750</v>
      </c>
      <c r="M1287">
        <v>2750</v>
      </c>
      <c r="N1287">
        <v>0</v>
      </c>
    </row>
    <row r="1288" spans="1:14" x14ac:dyDescent="0.25">
      <c r="A1288">
        <v>720.15629899999999</v>
      </c>
      <c r="B1288" s="1">
        <f>DATE(2012,4,20) + TIME(3,45,4)</f>
        <v>41019.1562962963</v>
      </c>
      <c r="C1288">
        <v>80</v>
      </c>
      <c r="D1288">
        <v>66.571212768999999</v>
      </c>
      <c r="E1288">
        <v>50</v>
      </c>
      <c r="F1288">
        <v>49.973873138000002</v>
      </c>
      <c r="G1288">
        <v>1319.8916016000001</v>
      </c>
      <c r="H1288">
        <v>1314.824707</v>
      </c>
      <c r="I1288">
        <v>1345.9744873</v>
      </c>
      <c r="J1288">
        <v>1341.3046875</v>
      </c>
      <c r="K1288">
        <v>0</v>
      </c>
      <c r="L1288">
        <v>2750</v>
      </c>
      <c r="M1288">
        <v>2750</v>
      </c>
      <c r="N1288">
        <v>0</v>
      </c>
    </row>
    <row r="1289" spans="1:14" x14ac:dyDescent="0.25">
      <c r="A1289">
        <v>724.21768699999996</v>
      </c>
      <c r="B1289" s="1">
        <f>DATE(2012,4,24) + TIME(5,13,28)</f>
        <v>41023.217685185184</v>
      </c>
      <c r="C1289">
        <v>80</v>
      </c>
      <c r="D1289">
        <v>66.166809082</v>
      </c>
      <c r="E1289">
        <v>50</v>
      </c>
      <c r="F1289">
        <v>49.973937988000003</v>
      </c>
      <c r="G1289">
        <v>1319.7890625</v>
      </c>
      <c r="H1289">
        <v>1314.6796875</v>
      </c>
      <c r="I1289">
        <v>1345.9606934000001</v>
      </c>
      <c r="J1289">
        <v>1341.2947998</v>
      </c>
      <c r="K1289">
        <v>0</v>
      </c>
      <c r="L1289">
        <v>2750</v>
      </c>
      <c r="M1289">
        <v>2750</v>
      </c>
      <c r="N1289">
        <v>0</v>
      </c>
    </row>
    <row r="1290" spans="1:14" x14ac:dyDescent="0.25">
      <c r="A1290">
        <v>728.38254600000005</v>
      </c>
      <c r="B1290" s="1">
        <f>DATE(2012,4,28) + TIME(9,10,52)</f>
        <v>41027.3825462963</v>
      </c>
      <c r="C1290">
        <v>80</v>
      </c>
      <c r="D1290">
        <v>65.750831603999998</v>
      </c>
      <c r="E1290">
        <v>50</v>
      </c>
      <c r="F1290">
        <v>49.974006653000004</v>
      </c>
      <c r="G1290">
        <v>1319.6873779</v>
      </c>
      <c r="H1290">
        <v>1314.5351562000001</v>
      </c>
      <c r="I1290">
        <v>1345.9466553</v>
      </c>
      <c r="J1290">
        <v>1341.284668</v>
      </c>
      <c r="K1290">
        <v>0</v>
      </c>
      <c r="L1290">
        <v>2750</v>
      </c>
      <c r="M1290">
        <v>2750</v>
      </c>
      <c r="N1290">
        <v>0</v>
      </c>
    </row>
    <row r="1291" spans="1:14" x14ac:dyDescent="0.25">
      <c r="A1291">
        <v>731</v>
      </c>
      <c r="B1291" s="1">
        <f>DATE(2012,5,1) + TIME(0,0,0)</f>
        <v>41030</v>
      </c>
      <c r="C1291">
        <v>80</v>
      </c>
      <c r="D1291">
        <v>65.335830688000001</v>
      </c>
      <c r="E1291">
        <v>50</v>
      </c>
      <c r="F1291">
        <v>49.974040985000002</v>
      </c>
      <c r="G1291">
        <v>1319.5867920000001</v>
      </c>
      <c r="H1291">
        <v>1314.3944091999999</v>
      </c>
      <c r="I1291">
        <v>1345.9323730000001</v>
      </c>
      <c r="J1291">
        <v>1341.2741699000001</v>
      </c>
      <c r="K1291">
        <v>0</v>
      </c>
      <c r="L1291">
        <v>2750</v>
      </c>
      <c r="M1291">
        <v>2750</v>
      </c>
      <c r="N1291">
        <v>0</v>
      </c>
    </row>
    <row r="1292" spans="1:14" x14ac:dyDescent="0.25">
      <c r="A1292">
        <v>731.000001</v>
      </c>
      <c r="B1292" s="1">
        <f>DATE(2012,5,1) + TIME(0,0,0)</f>
        <v>41030</v>
      </c>
      <c r="C1292">
        <v>80</v>
      </c>
      <c r="D1292">
        <v>65.336029053000004</v>
      </c>
      <c r="E1292">
        <v>50</v>
      </c>
      <c r="F1292">
        <v>49.973930359000001</v>
      </c>
      <c r="G1292">
        <v>1326.0310059000001</v>
      </c>
      <c r="H1292">
        <v>1320.8345947</v>
      </c>
      <c r="I1292">
        <v>1340.4074707</v>
      </c>
      <c r="J1292">
        <v>1336.2780762</v>
      </c>
      <c r="K1292">
        <v>2750</v>
      </c>
      <c r="L1292">
        <v>0</v>
      </c>
      <c r="M1292">
        <v>0</v>
      </c>
      <c r="N1292">
        <v>2750</v>
      </c>
    </row>
    <row r="1293" spans="1:14" x14ac:dyDescent="0.25">
      <c r="A1293">
        <v>731.00000399999999</v>
      </c>
      <c r="B1293" s="1">
        <f>DATE(2012,5,1) + TIME(0,0,0)</f>
        <v>41030</v>
      </c>
      <c r="C1293">
        <v>80</v>
      </c>
      <c r="D1293">
        <v>65.336410521999994</v>
      </c>
      <c r="E1293">
        <v>50</v>
      </c>
      <c r="F1293">
        <v>49.973716736</v>
      </c>
      <c r="G1293">
        <v>1327.9357910000001</v>
      </c>
      <c r="H1293">
        <v>1323.0332031</v>
      </c>
      <c r="I1293">
        <v>1338.7094727000001</v>
      </c>
      <c r="J1293">
        <v>1334.5800781</v>
      </c>
      <c r="K1293">
        <v>2750</v>
      </c>
      <c r="L1293">
        <v>0</v>
      </c>
      <c r="M1293">
        <v>0</v>
      </c>
      <c r="N1293">
        <v>2750</v>
      </c>
    </row>
    <row r="1294" spans="1:14" x14ac:dyDescent="0.25">
      <c r="A1294">
        <v>731.00001299999997</v>
      </c>
      <c r="B1294" s="1">
        <f>DATE(2012,5,1) + TIME(0,0,1)</f>
        <v>41030.000011574077</v>
      </c>
      <c r="C1294">
        <v>80</v>
      </c>
      <c r="D1294">
        <v>65.337051392000006</v>
      </c>
      <c r="E1294">
        <v>50</v>
      </c>
      <c r="F1294">
        <v>49.973415375000002</v>
      </c>
      <c r="G1294">
        <v>1330.7043457</v>
      </c>
      <c r="H1294">
        <v>1325.8642577999999</v>
      </c>
      <c r="I1294">
        <v>1336.3248291</v>
      </c>
      <c r="J1294">
        <v>1332.1961670000001</v>
      </c>
      <c r="K1294">
        <v>2750</v>
      </c>
      <c r="L1294">
        <v>0</v>
      </c>
      <c r="M1294">
        <v>0</v>
      </c>
      <c r="N1294">
        <v>2750</v>
      </c>
    </row>
    <row r="1295" spans="1:14" x14ac:dyDescent="0.25">
      <c r="A1295">
        <v>731.00004000000001</v>
      </c>
      <c r="B1295" s="1">
        <f>DATE(2012,5,1) + TIME(0,0,3)</f>
        <v>41030.000034722223</v>
      </c>
      <c r="C1295">
        <v>80</v>
      </c>
      <c r="D1295">
        <v>65.338233947999996</v>
      </c>
      <c r="E1295">
        <v>50</v>
      </c>
      <c r="F1295">
        <v>49.973091125000003</v>
      </c>
      <c r="G1295">
        <v>1333.8133545000001</v>
      </c>
      <c r="H1295">
        <v>1328.871582</v>
      </c>
      <c r="I1295">
        <v>1333.7561035000001</v>
      </c>
      <c r="J1295">
        <v>1329.6289062000001</v>
      </c>
      <c r="K1295">
        <v>2750</v>
      </c>
      <c r="L1295">
        <v>0</v>
      </c>
      <c r="M1295">
        <v>0</v>
      </c>
      <c r="N1295">
        <v>2750</v>
      </c>
    </row>
    <row r="1296" spans="1:14" x14ac:dyDescent="0.25">
      <c r="A1296">
        <v>731.00012100000004</v>
      </c>
      <c r="B1296" s="1">
        <f>DATE(2012,5,1) + TIME(0,0,10)</f>
        <v>41030.000115740739</v>
      </c>
      <c r="C1296">
        <v>80</v>
      </c>
      <c r="D1296">
        <v>65.341026306000003</v>
      </c>
      <c r="E1296">
        <v>50</v>
      </c>
      <c r="F1296">
        <v>49.972759246999999</v>
      </c>
      <c r="G1296">
        <v>1336.9400635</v>
      </c>
      <c r="H1296">
        <v>1331.8842772999999</v>
      </c>
      <c r="I1296">
        <v>1331.2145995999999</v>
      </c>
      <c r="J1296">
        <v>1327.0891113</v>
      </c>
      <c r="K1296">
        <v>2750</v>
      </c>
      <c r="L1296">
        <v>0</v>
      </c>
      <c r="M1296">
        <v>0</v>
      </c>
      <c r="N1296">
        <v>2750</v>
      </c>
    </row>
    <row r="1297" spans="1:14" x14ac:dyDescent="0.25">
      <c r="A1297">
        <v>731.00036399999999</v>
      </c>
      <c r="B1297" s="1">
        <f>DATE(2012,5,1) + TIME(0,0,31)</f>
        <v>41030.000358796293</v>
      </c>
      <c r="C1297">
        <v>80</v>
      </c>
      <c r="D1297">
        <v>65.348762511999993</v>
      </c>
      <c r="E1297">
        <v>50</v>
      </c>
      <c r="F1297">
        <v>49.972408295000001</v>
      </c>
      <c r="G1297">
        <v>1340.0642089999999</v>
      </c>
      <c r="H1297">
        <v>1334.8941649999999</v>
      </c>
      <c r="I1297">
        <v>1328.6787108999999</v>
      </c>
      <c r="J1297">
        <v>1324.5466309000001</v>
      </c>
      <c r="K1297">
        <v>2750</v>
      </c>
      <c r="L1297">
        <v>0</v>
      </c>
      <c r="M1297">
        <v>0</v>
      </c>
      <c r="N1297">
        <v>2750</v>
      </c>
    </row>
    <row r="1298" spans="1:14" x14ac:dyDescent="0.25">
      <c r="A1298">
        <v>731.00109299999997</v>
      </c>
      <c r="B1298" s="1">
        <f>DATE(2012,5,1) + TIME(0,1,34)</f>
        <v>41030.001087962963</v>
      </c>
      <c r="C1298">
        <v>80</v>
      </c>
      <c r="D1298">
        <v>65.371635436999995</v>
      </c>
      <c r="E1298">
        <v>50</v>
      </c>
      <c r="F1298">
        <v>49.971984863000003</v>
      </c>
      <c r="G1298">
        <v>1343.1523437999999</v>
      </c>
      <c r="H1298">
        <v>1337.8642577999999</v>
      </c>
      <c r="I1298">
        <v>1326.1057129000001</v>
      </c>
      <c r="J1298">
        <v>1321.9395752</v>
      </c>
      <c r="K1298">
        <v>2750</v>
      </c>
      <c r="L1298">
        <v>0</v>
      </c>
      <c r="M1298">
        <v>0</v>
      </c>
      <c r="N1298">
        <v>2750</v>
      </c>
    </row>
    <row r="1299" spans="1:14" x14ac:dyDescent="0.25">
      <c r="A1299">
        <v>731.00328000000002</v>
      </c>
      <c r="B1299" s="1">
        <f>DATE(2012,5,1) + TIME(0,4,43)</f>
        <v>41030.003275462965</v>
      </c>
      <c r="C1299">
        <v>80</v>
      </c>
      <c r="D1299">
        <v>65.440353393999999</v>
      </c>
      <c r="E1299">
        <v>50</v>
      </c>
      <c r="F1299">
        <v>49.971378326</v>
      </c>
      <c r="G1299">
        <v>1345.8626709</v>
      </c>
      <c r="H1299">
        <v>1340.4794922000001</v>
      </c>
      <c r="I1299">
        <v>1323.6856689000001</v>
      </c>
      <c r="J1299">
        <v>1319.4733887</v>
      </c>
      <c r="K1299">
        <v>2750</v>
      </c>
      <c r="L1299">
        <v>0</v>
      </c>
      <c r="M1299">
        <v>0</v>
      </c>
      <c r="N1299">
        <v>2750</v>
      </c>
    </row>
    <row r="1300" spans="1:14" x14ac:dyDescent="0.25">
      <c r="A1300">
        <v>731.00984100000005</v>
      </c>
      <c r="B1300" s="1">
        <f>DATE(2012,5,1) + TIME(0,14,10)</f>
        <v>41030.009837962964</v>
      </c>
      <c r="C1300">
        <v>80</v>
      </c>
      <c r="D1300">
        <v>65.644622803000004</v>
      </c>
      <c r="E1300">
        <v>50</v>
      </c>
      <c r="F1300">
        <v>49.970279693999998</v>
      </c>
      <c r="G1300">
        <v>1347.6136475000001</v>
      </c>
      <c r="H1300">
        <v>1342.1975098</v>
      </c>
      <c r="I1300">
        <v>1322.0861815999999</v>
      </c>
      <c r="J1300">
        <v>1317.8481445</v>
      </c>
      <c r="K1300">
        <v>2750</v>
      </c>
      <c r="L1300">
        <v>0</v>
      </c>
      <c r="M1300">
        <v>0</v>
      </c>
      <c r="N1300">
        <v>2750</v>
      </c>
    </row>
    <row r="1301" spans="1:14" x14ac:dyDescent="0.25">
      <c r="A1301">
        <v>731.02797799999996</v>
      </c>
      <c r="B1301" s="1">
        <f>DATE(2012,5,1) + TIME(0,40,17)</f>
        <v>41030.027974537035</v>
      </c>
      <c r="C1301">
        <v>80</v>
      </c>
      <c r="D1301">
        <v>66.187492371000005</v>
      </c>
      <c r="E1301">
        <v>50</v>
      </c>
      <c r="F1301">
        <v>49.967765808000003</v>
      </c>
      <c r="G1301">
        <v>1348.2014160000001</v>
      </c>
      <c r="H1301">
        <v>1342.8254394999999</v>
      </c>
      <c r="I1301">
        <v>1321.5977783000001</v>
      </c>
      <c r="J1301">
        <v>1317.3526611</v>
      </c>
      <c r="K1301">
        <v>2750</v>
      </c>
      <c r="L1301">
        <v>0</v>
      </c>
      <c r="M1301">
        <v>0</v>
      </c>
      <c r="N1301">
        <v>2750</v>
      </c>
    </row>
    <row r="1302" spans="1:14" x14ac:dyDescent="0.25">
      <c r="A1302">
        <v>731.04649700000004</v>
      </c>
      <c r="B1302" s="1">
        <f>DATE(2012,5,1) + TIME(1,6,57)</f>
        <v>41030.046493055554</v>
      </c>
      <c r="C1302">
        <v>80</v>
      </c>
      <c r="D1302">
        <v>66.720726013000004</v>
      </c>
      <c r="E1302">
        <v>50</v>
      </c>
      <c r="F1302">
        <v>49.965278625000003</v>
      </c>
      <c r="G1302">
        <v>1348.2611084</v>
      </c>
      <c r="H1302">
        <v>1342.9219971</v>
      </c>
      <c r="I1302">
        <v>1321.5520019999999</v>
      </c>
      <c r="J1302">
        <v>1317.3059082</v>
      </c>
      <c r="K1302">
        <v>2750</v>
      </c>
      <c r="L1302">
        <v>0</v>
      </c>
      <c r="M1302">
        <v>0</v>
      </c>
      <c r="N1302">
        <v>2750</v>
      </c>
    </row>
    <row r="1303" spans="1:14" x14ac:dyDescent="0.25">
      <c r="A1303">
        <v>731.06536400000005</v>
      </c>
      <c r="B1303" s="1">
        <f>DATE(2012,5,1) + TIME(1,34,7)</f>
        <v>41030.065358796295</v>
      </c>
      <c r="C1303">
        <v>80</v>
      </c>
      <c r="D1303">
        <v>67.242835998999993</v>
      </c>
      <c r="E1303">
        <v>50</v>
      </c>
      <c r="F1303">
        <v>49.962772369</v>
      </c>
      <c r="G1303">
        <v>1348.2286377</v>
      </c>
      <c r="H1303">
        <v>1342.9261475000001</v>
      </c>
      <c r="I1303">
        <v>1321.552124</v>
      </c>
      <c r="J1303">
        <v>1317.3059082</v>
      </c>
      <c r="K1303">
        <v>2750</v>
      </c>
      <c r="L1303">
        <v>0</v>
      </c>
      <c r="M1303">
        <v>0</v>
      </c>
      <c r="N1303">
        <v>2750</v>
      </c>
    </row>
    <row r="1304" spans="1:14" x14ac:dyDescent="0.25">
      <c r="A1304">
        <v>731.08457199999998</v>
      </c>
      <c r="B1304" s="1">
        <f>DATE(2012,5,1) + TIME(2,1,47)</f>
        <v>41030.08457175926</v>
      </c>
      <c r="C1304">
        <v>80</v>
      </c>
      <c r="D1304">
        <v>67.753425598000007</v>
      </c>
      <c r="E1304">
        <v>50</v>
      </c>
      <c r="F1304">
        <v>49.96023941</v>
      </c>
      <c r="G1304">
        <v>1348.1810303</v>
      </c>
      <c r="H1304">
        <v>1342.9134521000001</v>
      </c>
      <c r="I1304">
        <v>1321.5540771000001</v>
      </c>
      <c r="J1304">
        <v>1317.3077393000001</v>
      </c>
      <c r="K1304">
        <v>2750</v>
      </c>
      <c r="L1304">
        <v>0</v>
      </c>
      <c r="M1304">
        <v>0</v>
      </c>
      <c r="N1304">
        <v>2750</v>
      </c>
    </row>
    <row r="1305" spans="1:14" x14ac:dyDescent="0.25">
      <c r="A1305">
        <v>731.10414000000003</v>
      </c>
      <c r="B1305" s="1">
        <f>DATE(2012,5,1) + TIME(2,29,57)</f>
        <v>41030.104131944441</v>
      </c>
      <c r="C1305">
        <v>80</v>
      </c>
      <c r="D1305">
        <v>68.252677917</v>
      </c>
      <c r="E1305">
        <v>50</v>
      </c>
      <c r="F1305">
        <v>49.957675934000001</v>
      </c>
      <c r="G1305">
        <v>1348.1328125</v>
      </c>
      <c r="H1305">
        <v>1342.8983154</v>
      </c>
      <c r="I1305">
        <v>1321.5549315999999</v>
      </c>
      <c r="J1305">
        <v>1317.3085937999999</v>
      </c>
      <c r="K1305">
        <v>2750</v>
      </c>
      <c r="L1305">
        <v>0</v>
      </c>
      <c r="M1305">
        <v>0</v>
      </c>
      <c r="N1305">
        <v>2750</v>
      </c>
    </row>
    <row r="1306" spans="1:14" x14ac:dyDescent="0.25">
      <c r="A1306">
        <v>731.12408200000004</v>
      </c>
      <c r="B1306" s="1">
        <f>DATE(2012,5,1) + TIME(2,58,40)</f>
        <v>41030.124074074076</v>
      </c>
      <c r="C1306">
        <v>80</v>
      </c>
      <c r="D1306">
        <v>68.740745544000006</v>
      </c>
      <c r="E1306">
        <v>50</v>
      </c>
      <c r="F1306">
        <v>49.955089569000002</v>
      </c>
      <c r="G1306">
        <v>1348.0869141000001</v>
      </c>
      <c r="H1306">
        <v>1342.8837891000001</v>
      </c>
      <c r="I1306">
        <v>1321.5552978999999</v>
      </c>
      <c r="J1306">
        <v>1317.3088379000001</v>
      </c>
      <c r="K1306">
        <v>2750</v>
      </c>
      <c r="L1306">
        <v>0</v>
      </c>
      <c r="M1306">
        <v>0</v>
      </c>
      <c r="N1306">
        <v>2750</v>
      </c>
    </row>
    <row r="1307" spans="1:14" x14ac:dyDescent="0.25">
      <c r="A1307">
        <v>731.14441899999997</v>
      </c>
      <c r="B1307" s="1">
        <f>DATE(2012,5,1) + TIME(3,27,57)</f>
        <v>41030.144409722219</v>
      </c>
      <c r="C1307">
        <v>80</v>
      </c>
      <c r="D1307">
        <v>69.217773437999995</v>
      </c>
      <c r="E1307">
        <v>50</v>
      </c>
      <c r="F1307">
        <v>49.952468871999997</v>
      </c>
      <c r="G1307">
        <v>1348.0440673999999</v>
      </c>
      <c r="H1307">
        <v>1342.8704834</v>
      </c>
      <c r="I1307">
        <v>1321.5555420000001</v>
      </c>
      <c r="J1307">
        <v>1317.3089600000001</v>
      </c>
      <c r="K1307">
        <v>2750</v>
      </c>
      <c r="L1307">
        <v>0</v>
      </c>
      <c r="M1307">
        <v>0</v>
      </c>
      <c r="N1307">
        <v>2750</v>
      </c>
    </row>
    <row r="1308" spans="1:14" x14ac:dyDescent="0.25">
      <c r="A1308">
        <v>731.16516899999999</v>
      </c>
      <c r="B1308" s="1">
        <f>DATE(2012,5,1) + TIME(3,57,50)</f>
        <v>41030.165162037039</v>
      </c>
      <c r="C1308">
        <v>80</v>
      </c>
      <c r="D1308">
        <v>69.683906554999993</v>
      </c>
      <c r="E1308">
        <v>50</v>
      </c>
      <c r="F1308">
        <v>49.949821471999996</v>
      </c>
      <c r="G1308">
        <v>1348.0041504000001</v>
      </c>
      <c r="H1308">
        <v>1342.8585204999999</v>
      </c>
      <c r="I1308">
        <v>1321.5556641000001</v>
      </c>
      <c r="J1308">
        <v>1317.309082</v>
      </c>
      <c r="K1308">
        <v>2750</v>
      </c>
      <c r="L1308">
        <v>0</v>
      </c>
      <c r="M1308">
        <v>0</v>
      </c>
      <c r="N1308">
        <v>2750</v>
      </c>
    </row>
    <row r="1309" spans="1:14" x14ac:dyDescent="0.25">
      <c r="A1309">
        <v>731.18635300000005</v>
      </c>
      <c r="B1309" s="1">
        <f>DATE(2012,5,1) + TIME(4,28,20)</f>
        <v>41030.186342592591</v>
      </c>
      <c r="C1309">
        <v>80</v>
      </c>
      <c r="D1309">
        <v>70.139167786000002</v>
      </c>
      <c r="E1309">
        <v>50</v>
      </c>
      <c r="F1309">
        <v>49.947135924999998</v>
      </c>
      <c r="G1309">
        <v>1347.9670410000001</v>
      </c>
      <c r="H1309">
        <v>1342.8479004000001</v>
      </c>
      <c r="I1309">
        <v>1321.5557861</v>
      </c>
      <c r="J1309">
        <v>1317.309082</v>
      </c>
      <c r="K1309">
        <v>2750</v>
      </c>
      <c r="L1309">
        <v>0</v>
      </c>
      <c r="M1309">
        <v>0</v>
      </c>
      <c r="N1309">
        <v>2750</v>
      </c>
    </row>
    <row r="1310" spans="1:14" x14ac:dyDescent="0.25">
      <c r="A1310">
        <v>731.20799299999999</v>
      </c>
      <c r="B1310" s="1">
        <f>DATE(2012,5,1) + TIME(4,59,30)</f>
        <v>41030.207986111112</v>
      </c>
      <c r="C1310">
        <v>80</v>
      </c>
      <c r="D1310">
        <v>70.583518982000001</v>
      </c>
      <c r="E1310">
        <v>50</v>
      </c>
      <c r="F1310">
        <v>49.944419861</v>
      </c>
      <c r="G1310">
        <v>1347.9328613</v>
      </c>
      <c r="H1310">
        <v>1342.8386230000001</v>
      </c>
      <c r="I1310">
        <v>1321.5557861</v>
      </c>
      <c r="J1310">
        <v>1317.309082</v>
      </c>
      <c r="K1310">
        <v>2750</v>
      </c>
      <c r="L1310">
        <v>0</v>
      </c>
      <c r="M1310">
        <v>0</v>
      </c>
      <c r="N1310">
        <v>2750</v>
      </c>
    </row>
    <row r="1311" spans="1:14" x14ac:dyDescent="0.25">
      <c r="A1311">
        <v>731.23011199999996</v>
      </c>
      <c r="B1311" s="1">
        <f>DATE(2012,5,1) + TIME(5,31,21)</f>
        <v>41030.230104166665</v>
      </c>
      <c r="C1311">
        <v>80</v>
      </c>
      <c r="D1311">
        <v>71.017288207999997</v>
      </c>
      <c r="E1311">
        <v>50</v>
      </c>
      <c r="F1311">
        <v>49.941661834999998</v>
      </c>
      <c r="G1311">
        <v>1347.9012451000001</v>
      </c>
      <c r="H1311">
        <v>1342.8305664</v>
      </c>
      <c r="I1311">
        <v>1321.5559082</v>
      </c>
      <c r="J1311">
        <v>1317.3089600000001</v>
      </c>
      <c r="K1311">
        <v>2750</v>
      </c>
      <c r="L1311">
        <v>0</v>
      </c>
      <c r="M1311">
        <v>0</v>
      </c>
      <c r="N1311">
        <v>2750</v>
      </c>
    </row>
    <row r="1312" spans="1:14" x14ac:dyDescent="0.25">
      <c r="A1312">
        <v>731.25273300000003</v>
      </c>
      <c r="B1312" s="1">
        <f>DATE(2012,5,1) + TIME(6,3,56)</f>
        <v>41030.25273148148</v>
      </c>
      <c r="C1312">
        <v>80</v>
      </c>
      <c r="D1312">
        <v>71.440505981000001</v>
      </c>
      <c r="E1312">
        <v>50</v>
      </c>
      <c r="F1312">
        <v>49.938869476000001</v>
      </c>
      <c r="G1312">
        <v>1347.8723144999999</v>
      </c>
      <c r="H1312">
        <v>1342.8236084</v>
      </c>
      <c r="I1312">
        <v>1321.5559082</v>
      </c>
      <c r="J1312">
        <v>1317.3089600000001</v>
      </c>
      <c r="K1312">
        <v>2750</v>
      </c>
      <c r="L1312">
        <v>0</v>
      </c>
      <c r="M1312">
        <v>0</v>
      </c>
      <c r="N1312">
        <v>2750</v>
      </c>
    </row>
    <row r="1313" spans="1:14" x14ac:dyDescent="0.25">
      <c r="A1313">
        <v>731.27588200000002</v>
      </c>
      <c r="B1313" s="1">
        <f>DATE(2012,5,1) + TIME(6,37,16)</f>
        <v>41030.275879629633</v>
      </c>
      <c r="C1313">
        <v>80</v>
      </c>
      <c r="D1313">
        <v>71.853233337000006</v>
      </c>
      <c r="E1313">
        <v>50</v>
      </c>
      <c r="F1313">
        <v>49.936031342</v>
      </c>
      <c r="G1313">
        <v>1347.8457031</v>
      </c>
      <c r="H1313">
        <v>1342.817749</v>
      </c>
      <c r="I1313">
        <v>1321.5559082</v>
      </c>
      <c r="J1313">
        <v>1317.3088379000001</v>
      </c>
      <c r="K1313">
        <v>2750</v>
      </c>
      <c r="L1313">
        <v>0</v>
      </c>
      <c r="M1313">
        <v>0</v>
      </c>
      <c r="N1313">
        <v>2750</v>
      </c>
    </row>
    <row r="1314" spans="1:14" x14ac:dyDescent="0.25">
      <c r="A1314">
        <v>731.29958099999999</v>
      </c>
      <c r="B1314" s="1">
        <f>DATE(2012,5,1) + TIME(7,11,23)</f>
        <v>41030.299571759257</v>
      </c>
      <c r="C1314">
        <v>80</v>
      </c>
      <c r="D1314">
        <v>72.255439757999994</v>
      </c>
      <c r="E1314">
        <v>50</v>
      </c>
      <c r="F1314">
        <v>49.933151244999998</v>
      </c>
      <c r="G1314">
        <v>1347.8215332</v>
      </c>
      <c r="H1314">
        <v>1342.8131103999999</v>
      </c>
      <c r="I1314">
        <v>1321.5559082</v>
      </c>
      <c r="J1314">
        <v>1317.3087158000001</v>
      </c>
      <c r="K1314">
        <v>2750</v>
      </c>
      <c r="L1314">
        <v>0</v>
      </c>
      <c r="M1314">
        <v>0</v>
      </c>
      <c r="N1314">
        <v>2750</v>
      </c>
    </row>
    <row r="1315" spans="1:14" x14ac:dyDescent="0.25">
      <c r="A1315">
        <v>731.32380699999999</v>
      </c>
      <c r="B1315" s="1">
        <f>DATE(2012,5,1) + TIME(7,46,16)</f>
        <v>41030.323796296296</v>
      </c>
      <c r="C1315">
        <v>80</v>
      </c>
      <c r="D1315">
        <v>72.646385193</v>
      </c>
      <c r="E1315">
        <v>50</v>
      </c>
      <c r="F1315">
        <v>49.930233002000001</v>
      </c>
      <c r="G1315">
        <v>1347.7996826000001</v>
      </c>
      <c r="H1315">
        <v>1342.8094481999999</v>
      </c>
      <c r="I1315">
        <v>1321.5559082</v>
      </c>
      <c r="J1315">
        <v>1317.3085937999999</v>
      </c>
      <c r="K1315">
        <v>2750</v>
      </c>
      <c r="L1315">
        <v>0</v>
      </c>
      <c r="M1315">
        <v>0</v>
      </c>
      <c r="N1315">
        <v>2750</v>
      </c>
    </row>
    <row r="1316" spans="1:14" x14ac:dyDescent="0.25">
      <c r="A1316">
        <v>731.34858799999995</v>
      </c>
      <c r="B1316" s="1">
        <f>DATE(2012,5,1) + TIME(8,21,58)</f>
        <v>41030.348587962966</v>
      </c>
      <c r="C1316">
        <v>80</v>
      </c>
      <c r="D1316">
        <v>73.026168823000006</v>
      </c>
      <c r="E1316">
        <v>50</v>
      </c>
      <c r="F1316">
        <v>49.927272797000001</v>
      </c>
      <c r="G1316">
        <v>1347.7800293</v>
      </c>
      <c r="H1316">
        <v>1342.8067627</v>
      </c>
      <c r="I1316">
        <v>1321.5559082</v>
      </c>
      <c r="J1316">
        <v>1317.3084716999999</v>
      </c>
      <c r="K1316">
        <v>2750</v>
      </c>
      <c r="L1316">
        <v>0</v>
      </c>
      <c r="M1316">
        <v>0</v>
      </c>
      <c r="N1316">
        <v>2750</v>
      </c>
    </row>
    <row r="1317" spans="1:14" x14ac:dyDescent="0.25">
      <c r="A1317">
        <v>731.37395400000003</v>
      </c>
      <c r="B1317" s="1">
        <f>DATE(2012,5,1) + TIME(8,58,29)</f>
        <v>41030.37394675926</v>
      </c>
      <c r="C1317">
        <v>80</v>
      </c>
      <c r="D1317">
        <v>73.394889832000004</v>
      </c>
      <c r="E1317">
        <v>50</v>
      </c>
      <c r="F1317">
        <v>49.924266815000003</v>
      </c>
      <c r="G1317">
        <v>1347.7623291</v>
      </c>
      <c r="H1317">
        <v>1342.8050536999999</v>
      </c>
      <c r="I1317">
        <v>1321.5559082</v>
      </c>
      <c r="J1317">
        <v>1317.3083495999999</v>
      </c>
      <c r="K1317">
        <v>2750</v>
      </c>
      <c r="L1317">
        <v>0</v>
      </c>
      <c r="M1317">
        <v>0</v>
      </c>
      <c r="N1317">
        <v>2750</v>
      </c>
    </row>
    <row r="1318" spans="1:14" x14ac:dyDescent="0.25">
      <c r="A1318">
        <v>731.39993200000004</v>
      </c>
      <c r="B1318" s="1">
        <f>DATE(2012,5,1) + TIME(9,35,54)</f>
        <v>41030.399930555555</v>
      </c>
      <c r="C1318">
        <v>80</v>
      </c>
      <c r="D1318">
        <v>73.752578735</v>
      </c>
      <c r="E1318">
        <v>50</v>
      </c>
      <c r="F1318">
        <v>49.921215056999998</v>
      </c>
      <c r="G1318">
        <v>1347.7467041</v>
      </c>
      <c r="H1318">
        <v>1342.8041992000001</v>
      </c>
      <c r="I1318">
        <v>1321.5557861</v>
      </c>
      <c r="J1318">
        <v>1317.3082274999999</v>
      </c>
      <c r="K1318">
        <v>2750</v>
      </c>
      <c r="L1318">
        <v>0</v>
      </c>
      <c r="M1318">
        <v>0</v>
      </c>
      <c r="N1318">
        <v>2750</v>
      </c>
    </row>
    <row r="1319" spans="1:14" x14ac:dyDescent="0.25">
      <c r="A1319">
        <v>731.42655500000001</v>
      </c>
      <c r="B1319" s="1">
        <f>DATE(2012,5,1) + TIME(10,14,14)</f>
        <v>41030.426550925928</v>
      </c>
      <c r="C1319">
        <v>80</v>
      </c>
      <c r="D1319">
        <v>74.099319457999997</v>
      </c>
      <c r="E1319">
        <v>50</v>
      </c>
      <c r="F1319">
        <v>49.918113708</v>
      </c>
      <c r="G1319">
        <v>1347.7327881000001</v>
      </c>
      <c r="H1319">
        <v>1342.8040771000001</v>
      </c>
      <c r="I1319">
        <v>1321.5557861</v>
      </c>
      <c r="J1319">
        <v>1317.3081055</v>
      </c>
      <c r="K1319">
        <v>2750</v>
      </c>
      <c r="L1319">
        <v>0</v>
      </c>
      <c r="M1319">
        <v>0</v>
      </c>
      <c r="N1319">
        <v>2750</v>
      </c>
    </row>
    <row r="1320" spans="1:14" x14ac:dyDescent="0.25">
      <c r="A1320">
        <v>731.45386099999996</v>
      </c>
      <c r="B1320" s="1">
        <f>DATE(2012,5,1) + TIME(10,53,33)</f>
        <v>41030.45385416667</v>
      </c>
      <c r="C1320">
        <v>80</v>
      </c>
      <c r="D1320">
        <v>74.435211182000003</v>
      </c>
      <c r="E1320">
        <v>50</v>
      </c>
      <c r="F1320">
        <v>49.914962768999999</v>
      </c>
      <c r="G1320">
        <v>1347.7207031</v>
      </c>
      <c r="H1320">
        <v>1342.8046875</v>
      </c>
      <c r="I1320">
        <v>1321.5556641000001</v>
      </c>
      <c r="J1320">
        <v>1317.3078613</v>
      </c>
      <c r="K1320">
        <v>2750</v>
      </c>
      <c r="L1320">
        <v>0</v>
      </c>
      <c r="M1320">
        <v>0</v>
      </c>
      <c r="N1320">
        <v>2750</v>
      </c>
    </row>
    <row r="1321" spans="1:14" x14ac:dyDescent="0.25">
      <c r="A1321">
        <v>731.48188900000002</v>
      </c>
      <c r="B1321" s="1">
        <f>DATE(2012,5,1) + TIME(11,33,55)</f>
        <v>41030.481886574074</v>
      </c>
      <c r="C1321">
        <v>80</v>
      </c>
      <c r="D1321">
        <v>74.760314941000004</v>
      </c>
      <c r="E1321">
        <v>50</v>
      </c>
      <c r="F1321">
        <v>49.911754608000003</v>
      </c>
      <c r="G1321">
        <v>1347.7102050999999</v>
      </c>
      <c r="H1321">
        <v>1342.8060303</v>
      </c>
      <c r="I1321">
        <v>1321.5555420000001</v>
      </c>
      <c r="J1321">
        <v>1317.3076172000001</v>
      </c>
      <c r="K1321">
        <v>2750</v>
      </c>
      <c r="L1321">
        <v>0</v>
      </c>
      <c r="M1321">
        <v>0</v>
      </c>
      <c r="N1321">
        <v>2750</v>
      </c>
    </row>
    <row r="1322" spans="1:14" x14ac:dyDescent="0.25">
      <c r="A1322">
        <v>731.51067999999998</v>
      </c>
      <c r="B1322" s="1">
        <f>DATE(2012,5,1) + TIME(12,15,22)</f>
        <v>41030.510671296295</v>
      </c>
      <c r="C1322">
        <v>80</v>
      </c>
      <c r="D1322">
        <v>75.074638367000006</v>
      </c>
      <c r="E1322">
        <v>50</v>
      </c>
      <c r="F1322">
        <v>49.908485413000001</v>
      </c>
      <c r="G1322">
        <v>1347.7011719</v>
      </c>
      <c r="H1322">
        <v>1342.8081055</v>
      </c>
      <c r="I1322">
        <v>1321.5554199000001</v>
      </c>
      <c r="J1322">
        <v>1317.3074951000001</v>
      </c>
      <c r="K1322">
        <v>2750</v>
      </c>
      <c r="L1322">
        <v>0</v>
      </c>
      <c r="M1322">
        <v>0</v>
      </c>
      <c r="N1322">
        <v>2750</v>
      </c>
    </row>
    <row r="1323" spans="1:14" x14ac:dyDescent="0.25">
      <c r="A1323">
        <v>731.54027699999995</v>
      </c>
      <c r="B1323" s="1">
        <f>DATE(2012,5,1) + TIME(12,57,59)</f>
        <v>41030.540266203701</v>
      </c>
      <c r="C1323">
        <v>80</v>
      </c>
      <c r="D1323">
        <v>75.378105164000004</v>
      </c>
      <c r="E1323">
        <v>50</v>
      </c>
      <c r="F1323">
        <v>49.905155182000001</v>
      </c>
      <c r="G1323">
        <v>1347.6936035000001</v>
      </c>
      <c r="H1323">
        <v>1342.8106689000001</v>
      </c>
      <c r="I1323">
        <v>1321.5552978999999</v>
      </c>
      <c r="J1323">
        <v>1317.307251</v>
      </c>
      <c r="K1323">
        <v>2750</v>
      </c>
      <c r="L1323">
        <v>0</v>
      </c>
      <c r="M1323">
        <v>0</v>
      </c>
      <c r="N1323">
        <v>2750</v>
      </c>
    </row>
    <row r="1324" spans="1:14" x14ac:dyDescent="0.25">
      <c r="A1324">
        <v>731.57073000000003</v>
      </c>
      <c r="B1324" s="1">
        <f>DATE(2012,5,1) + TIME(13,41,51)</f>
        <v>41030.570729166669</v>
      </c>
      <c r="C1324">
        <v>80</v>
      </c>
      <c r="D1324">
        <v>75.670936584000003</v>
      </c>
      <c r="E1324">
        <v>50</v>
      </c>
      <c r="F1324">
        <v>49.901760101000001</v>
      </c>
      <c r="G1324">
        <v>1347.6875</v>
      </c>
      <c r="H1324">
        <v>1342.8137207</v>
      </c>
      <c r="I1324">
        <v>1321.5551757999999</v>
      </c>
      <c r="J1324">
        <v>1317.3070068</v>
      </c>
      <c r="K1324">
        <v>2750</v>
      </c>
      <c r="L1324">
        <v>0</v>
      </c>
      <c r="M1324">
        <v>0</v>
      </c>
      <c r="N1324">
        <v>2750</v>
      </c>
    </row>
    <row r="1325" spans="1:14" x14ac:dyDescent="0.25">
      <c r="A1325">
        <v>731.60208899999998</v>
      </c>
      <c r="B1325" s="1">
        <f>DATE(2012,5,1) + TIME(14,27,0)</f>
        <v>41030.602083333331</v>
      </c>
      <c r="C1325">
        <v>80</v>
      </c>
      <c r="D1325">
        <v>75.953178406000006</v>
      </c>
      <c r="E1325">
        <v>50</v>
      </c>
      <c r="F1325">
        <v>49.898296356000003</v>
      </c>
      <c r="G1325">
        <v>1347.6824951000001</v>
      </c>
      <c r="H1325">
        <v>1342.8173827999999</v>
      </c>
      <c r="I1325">
        <v>1321.5550536999999</v>
      </c>
      <c r="J1325">
        <v>1317.3066406</v>
      </c>
      <c r="K1325">
        <v>2750</v>
      </c>
      <c r="L1325">
        <v>0</v>
      </c>
      <c r="M1325">
        <v>0</v>
      </c>
      <c r="N1325">
        <v>2750</v>
      </c>
    </row>
    <row r="1326" spans="1:14" x14ac:dyDescent="0.25">
      <c r="A1326">
        <v>731.634411</v>
      </c>
      <c r="B1326" s="1">
        <f>DATE(2012,5,1) + TIME(15,13,33)</f>
        <v>41030.634409722225</v>
      </c>
      <c r="C1326">
        <v>80</v>
      </c>
      <c r="D1326">
        <v>76.224884032999995</v>
      </c>
      <c r="E1326">
        <v>50</v>
      </c>
      <c r="F1326">
        <v>49.894752502000003</v>
      </c>
      <c r="G1326">
        <v>1347.6787108999999</v>
      </c>
      <c r="H1326">
        <v>1342.8214111</v>
      </c>
      <c r="I1326">
        <v>1321.5549315999999</v>
      </c>
      <c r="J1326">
        <v>1317.3063964999999</v>
      </c>
      <c r="K1326">
        <v>2750</v>
      </c>
      <c r="L1326">
        <v>0</v>
      </c>
      <c r="M1326">
        <v>0</v>
      </c>
      <c r="N1326">
        <v>2750</v>
      </c>
    </row>
    <row r="1327" spans="1:14" x14ac:dyDescent="0.25">
      <c r="A1327">
        <v>731.66775700000005</v>
      </c>
      <c r="B1327" s="1">
        <f>DATE(2012,5,1) + TIME(16,1,34)</f>
        <v>41030.667754629627</v>
      </c>
      <c r="C1327">
        <v>80</v>
      </c>
      <c r="D1327">
        <v>76.486083984000004</v>
      </c>
      <c r="E1327">
        <v>50</v>
      </c>
      <c r="F1327">
        <v>49.891132355000003</v>
      </c>
      <c r="G1327">
        <v>1347.6760254000001</v>
      </c>
      <c r="H1327">
        <v>1342.8258057</v>
      </c>
      <c r="I1327">
        <v>1321.5548096</v>
      </c>
      <c r="J1327">
        <v>1317.3061522999999</v>
      </c>
      <c r="K1327">
        <v>2750</v>
      </c>
      <c r="L1327">
        <v>0</v>
      </c>
      <c r="M1327">
        <v>0</v>
      </c>
      <c r="N1327">
        <v>2750</v>
      </c>
    </row>
    <row r="1328" spans="1:14" x14ac:dyDescent="0.25">
      <c r="A1328">
        <v>731.702181</v>
      </c>
      <c r="B1328" s="1">
        <f>DATE(2012,5,1) + TIME(16,51,8)</f>
        <v>41030.702175925922</v>
      </c>
      <c r="C1328">
        <v>80</v>
      </c>
      <c r="D1328">
        <v>76.736755371000001</v>
      </c>
      <c r="E1328">
        <v>50</v>
      </c>
      <c r="F1328">
        <v>49.887428284000002</v>
      </c>
      <c r="G1328">
        <v>1347.6743164</v>
      </c>
      <c r="H1328">
        <v>1342.8305664</v>
      </c>
      <c r="I1328">
        <v>1321.5545654</v>
      </c>
      <c r="J1328">
        <v>1317.3057861</v>
      </c>
      <c r="K1328">
        <v>2750</v>
      </c>
      <c r="L1328">
        <v>0</v>
      </c>
      <c r="M1328">
        <v>0</v>
      </c>
      <c r="N1328">
        <v>2750</v>
      </c>
    </row>
    <row r="1329" spans="1:14" x14ac:dyDescent="0.25">
      <c r="A1329">
        <v>731.737708</v>
      </c>
      <c r="B1329" s="1">
        <f>DATE(2012,5,1) + TIME(17,42,18)</f>
        <v>41030.737708333334</v>
      </c>
      <c r="C1329">
        <v>80</v>
      </c>
      <c r="D1329">
        <v>76.976654053000004</v>
      </c>
      <c r="E1329">
        <v>50</v>
      </c>
      <c r="F1329">
        <v>49.883640288999999</v>
      </c>
      <c r="G1329">
        <v>1347.6737060999999</v>
      </c>
      <c r="H1329">
        <v>1342.8356934000001</v>
      </c>
      <c r="I1329">
        <v>1321.5544434000001</v>
      </c>
      <c r="J1329">
        <v>1317.3055420000001</v>
      </c>
      <c r="K1329">
        <v>2750</v>
      </c>
      <c r="L1329">
        <v>0</v>
      </c>
      <c r="M1329">
        <v>0</v>
      </c>
      <c r="N1329">
        <v>2750</v>
      </c>
    </row>
    <row r="1330" spans="1:14" x14ac:dyDescent="0.25">
      <c r="A1330">
        <v>731.77440899999999</v>
      </c>
      <c r="B1330" s="1">
        <f>DATE(2012,5,1) + TIME(18,35,8)</f>
        <v>41030.774398148147</v>
      </c>
      <c r="C1330">
        <v>80</v>
      </c>
      <c r="D1330">
        <v>77.205871582</v>
      </c>
      <c r="E1330">
        <v>50</v>
      </c>
      <c r="F1330">
        <v>49.879760742000002</v>
      </c>
      <c r="G1330">
        <v>1347.6738281</v>
      </c>
      <c r="H1330">
        <v>1342.8410644999999</v>
      </c>
      <c r="I1330">
        <v>1321.5541992000001</v>
      </c>
      <c r="J1330">
        <v>1317.3051757999999</v>
      </c>
      <c r="K1330">
        <v>2750</v>
      </c>
      <c r="L1330">
        <v>0</v>
      </c>
      <c r="M1330">
        <v>0</v>
      </c>
      <c r="N1330">
        <v>2750</v>
      </c>
    </row>
    <row r="1331" spans="1:14" x14ac:dyDescent="0.25">
      <c r="A1331">
        <v>731.81235900000001</v>
      </c>
      <c r="B1331" s="1">
        <f>DATE(2012,5,1) + TIME(19,29,47)</f>
        <v>41030.812349537038</v>
      </c>
      <c r="C1331">
        <v>80</v>
      </c>
      <c r="D1331">
        <v>77.424484253000003</v>
      </c>
      <c r="E1331">
        <v>50</v>
      </c>
      <c r="F1331">
        <v>49.875785827999998</v>
      </c>
      <c r="G1331">
        <v>1347.6746826000001</v>
      </c>
      <c r="H1331">
        <v>1342.8466797000001</v>
      </c>
      <c r="I1331">
        <v>1321.5539550999999</v>
      </c>
      <c r="J1331">
        <v>1317.3048096</v>
      </c>
      <c r="K1331">
        <v>2750</v>
      </c>
      <c r="L1331">
        <v>0</v>
      </c>
      <c r="M1331">
        <v>0</v>
      </c>
      <c r="N1331">
        <v>2750</v>
      </c>
    </row>
    <row r="1332" spans="1:14" x14ac:dyDescent="0.25">
      <c r="A1332">
        <v>731.85163999999997</v>
      </c>
      <c r="B1332" s="1">
        <f>DATE(2012,5,1) + TIME(20,26,21)</f>
        <v>41030.851631944446</v>
      </c>
      <c r="C1332">
        <v>80</v>
      </c>
      <c r="D1332">
        <v>77.632575989000003</v>
      </c>
      <c r="E1332">
        <v>50</v>
      </c>
      <c r="F1332">
        <v>49.871711730999998</v>
      </c>
      <c r="G1332">
        <v>1347.6762695</v>
      </c>
      <c r="H1332">
        <v>1342.8522949000001</v>
      </c>
      <c r="I1332">
        <v>1321.5538329999999</v>
      </c>
      <c r="J1332">
        <v>1317.3044434000001</v>
      </c>
      <c r="K1332">
        <v>2750</v>
      </c>
      <c r="L1332">
        <v>0</v>
      </c>
      <c r="M1332">
        <v>0</v>
      </c>
      <c r="N1332">
        <v>2750</v>
      </c>
    </row>
    <row r="1333" spans="1:14" x14ac:dyDescent="0.25">
      <c r="A1333">
        <v>731.89235900000006</v>
      </c>
      <c r="B1333" s="1">
        <f>DATE(2012,5,1) + TIME(21,24,59)</f>
        <v>41030.89234953704</v>
      </c>
      <c r="C1333">
        <v>80</v>
      </c>
      <c r="D1333">
        <v>77.830314635999997</v>
      </c>
      <c r="E1333">
        <v>50</v>
      </c>
      <c r="F1333">
        <v>49.867523192999997</v>
      </c>
      <c r="G1333">
        <v>1347.6783447</v>
      </c>
      <c r="H1333">
        <v>1342.8581543</v>
      </c>
      <c r="I1333">
        <v>1321.5535889</v>
      </c>
      <c r="J1333">
        <v>1317.3040771000001</v>
      </c>
      <c r="K1333">
        <v>2750</v>
      </c>
      <c r="L1333">
        <v>0</v>
      </c>
      <c r="M1333">
        <v>0</v>
      </c>
      <c r="N1333">
        <v>2750</v>
      </c>
    </row>
    <row r="1334" spans="1:14" x14ac:dyDescent="0.25">
      <c r="A1334">
        <v>731.93460700000003</v>
      </c>
      <c r="B1334" s="1">
        <f>DATE(2012,5,1) + TIME(22,25,50)</f>
        <v>41030.934606481482</v>
      </c>
      <c r="C1334">
        <v>80</v>
      </c>
      <c r="D1334">
        <v>78.017768860000004</v>
      </c>
      <c r="E1334">
        <v>50</v>
      </c>
      <c r="F1334">
        <v>49.863220214999998</v>
      </c>
      <c r="G1334">
        <v>1347.6809082</v>
      </c>
      <c r="H1334">
        <v>1342.8640137</v>
      </c>
      <c r="I1334">
        <v>1321.5533447</v>
      </c>
      <c r="J1334">
        <v>1317.3037108999999</v>
      </c>
      <c r="K1334">
        <v>2750</v>
      </c>
      <c r="L1334">
        <v>0</v>
      </c>
      <c r="M1334">
        <v>0</v>
      </c>
      <c r="N1334">
        <v>2750</v>
      </c>
    </row>
    <row r="1335" spans="1:14" x14ac:dyDescent="0.25">
      <c r="A1335">
        <v>731.97848799999997</v>
      </c>
      <c r="B1335" s="1">
        <f>DATE(2012,5,1) + TIME(23,29,1)</f>
        <v>41030.978483796294</v>
      </c>
      <c r="C1335">
        <v>80</v>
      </c>
      <c r="D1335">
        <v>78.195014954000001</v>
      </c>
      <c r="E1335">
        <v>50</v>
      </c>
      <c r="F1335">
        <v>49.858791351000001</v>
      </c>
      <c r="G1335">
        <v>1347.6839600000001</v>
      </c>
      <c r="H1335">
        <v>1342.8698730000001</v>
      </c>
      <c r="I1335">
        <v>1321.5531006000001</v>
      </c>
      <c r="J1335">
        <v>1317.3033447</v>
      </c>
      <c r="K1335">
        <v>2750</v>
      </c>
      <c r="L1335">
        <v>0</v>
      </c>
      <c r="M1335">
        <v>0</v>
      </c>
      <c r="N1335">
        <v>2750</v>
      </c>
    </row>
    <row r="1336" spans="1:14" x14ac:dyDescent="0.25">
      <c r="A1336">
        <v>732.02412500000003</v>
      </c>
      <c r="B1336" s="1">
        <f>DATE(2012,5,2) + TIME(0,34,44)</f>
        <v>41031.02412037037</v>
      </c>
      <c r="C1336">
        <v>80</v>
      </c>
      <c r="D1336">
        <v>78.362182617000002</v>
      </c>
      <c r="E1336">
        <v>50</v>
      </c>
      <c r="F1336">
        <v>49.854225159000002</v>
      </c>
      <c r="G1336">
        <v>1347.6873779</v>
      </c>
      <c r="H1336">
        <v>1342.8757324000001</v>
      </c>
      <c r="I1336">
        <v>1321.5527344</v>
      </c>
      <c r="J1336">
        <v>1317.3028564000001</v>
      </c>
      <c r="K1336">
        <v>2750</v>
      </c>
      <c r="L1336">
        <v>0</v>
      </c>
      <c r="M1336">
        <v>0</v>
      </c>
      <c r="N1336">
        <v>2750</v>
      </c>
    </row>
    <row r="1337" spans="1:14" x14ac:dyDescent="0.25">
      <c r="A1337">
        <v>732.07164899999998</v>
      </c>
      <c r="B1337" s="1">
        <f>DATE(2012,5,2) + TIME(1,43,10)</f>
        <v>41031.071643518517</v>
      </c>
      <c r="C1337">
        <v>80</v>
      </c>
      <c r="D1337">
        <v>78.519409179999997</v>
      </c>
      <c r="E1337">
        <v>50</v>
      </c>
      <c r="F1337">
        <v>49.849517822000003</v>
      </c>
      <c r="G1337">
        <v>1347.6910399999999</v>
      </c>
      <c r="H1337">
        <v>1342.8814697</v>
      </c>
      <c r="I1337">
        <v>1321.5524902</v>
      </c>
      <c r="J1337">
        <v>1317.3024902</v>
      </c>
      <c r="K1337">
        <v>2750</v>
      </c>
      <c r="L1337">
        <v>0</v>
      </c>
      <c r="M1337">
        <v>0</v>
      </c>
      <c r="N1337">
        <v>2750</v>
      </c>
    </row>
    <row r="1338" spans="1:14" x14ac:dyDescent="0.25">
      <c r="A1338">
        <v>732.12121100000002</v>
      </c>
      <c r="B1338" s="1">
        <f>DATE(2012,5,2) + TIME(2,54,32)</f>
        <v>41031.121203703704</v>
      </c>
      <c r="C1338">
        <v>80</v>
      </c>
      <c r="D1338">
        <v>78.666854857999994</v>
      </c>
      <c r="E1338">
        <v>50</v>
      </c>
      <c r="F1338">
        <v>49.844657898000001</v>
      </c>
      <c r="G1338">
        <v>1347.6948242000001</v>
      </c>
      <c r="H1338">
        <v>1342.8870850000001</v>
      </c>
      <c r="I1338">
        <v>1321.5522461</v>
      </c>
      <c r="J1338">
        <v>1317.3020019999999</v>
      </c>
      <c r="K1338">
        <v>2750</v>
      </c>
      <c r="L1338">
        <v>0</v>
      </c>
      <c r="M1338">
        <v>0</v>
      </c>
      <c r="N1338">
        <v>2750</v>
      </c>
    </row>
    <row r="1339" spans="1:14" x14ac:dyDescent="0.25">
      <c r="A1339">
        <v>732.17297399999995</v>
      </c>
      <c r="B1339" s="1">
        <f>DATE(2012,5,2) + TIME(4,9,4)</f>
        <v>41031.172962962963</v>
      </c>
      <c r="C1339">
        <v>80</v>
      </c>
      <c r="D1339">
        <v>78.8046875</v>
      </c>
      <c r="E1339">
        <v>50</v>
      </c>
      <c r="F1339">
        <v>49.839626312</v>
      </c>
      <c r="G1339">
        <v>1347.6986084</v>
      </c>
      <c r="H1339">
        <v>1342.8924560999999</v>
      </c>
      <c r="I1339">
        <v>1321.5518798999999</v>
      </c>
      <c r="J1339">
        <v>1317.3015137</v>
      </c>
      <c r="K1339">
        <v>2750</v>
      </c>
      <c r="L1339">
        <v>0</v>
      </c>
      <c r="M1339">
        <v>0</v>
      </c>
      <c r="N1339">
        <v>2750</v>
      </c>
    </row>
    <row r="1340" spans="1:14" x14ac:dyDescent="0.25">
      <c r="A1340">
        <v>732.227125</v>
      </c>
      <c r="B1340" s="1">
        <f>DATE(2012,5,2) + TIME(5,27,3)</f>
        <v>41031.227118055554</v>
      </c>
      <c r="C1340">
        <v>80</v>
      </c>
      <c r="D1340">
        <v>78.933074950999995</v>
      </c>
      <c r="E1340">
        <v>50</v>
      </c>
      <c r="F1340">
        <v>49.834415436</v>
      </c>
      <c r="G1340">
        <v>1347.7025146000001</v>
      </c>
      <c r="H1340">
        <v>1342.8977050999999</v>
      </c>
      <c r="I1340">
        <v>1321.5515137</v>
      </c>
      <c r="J1340">
        <v>1317.3010254000001</v>
      </c>
      <c r="K1340">
        <v>2750</v>
      </c>
      <c r="L1340">
        <v>0</v>
      </c>
      <c r="M1340">
        <v>0</v>
      </c>
      <c r="N1340">
        <v>2750</v>
      </c>
    </row>
    <row r="1341" spans="1:14" x14ac:dyDescent="0.25">
      <c r="A1341">
        <v>732.28387199999997</v>
      </c>
      <c r="B1341" s="1">
        <f>DATE(2012,5,2) + TIME(6,48,46)</f>
        <v>41031.283865740741</v>
      </c>
      <c r="C1341">
        <v>80</v>
      </c>
      <c r="D1341">
        <v>79.052223205999994</v>
      </c>
      <c r="E1341">
        <v>50</v>
      </c>
      <c r="F1341">
        <v>49.829010009999998</v>
      </c>
      <c r="G1341">
        <v>1347.7062988</v>
      </c>
      <c r="H1341">
        <v>1342.9025879000001</v>
      </c>
      <c r="I1341">
        <v>1321.5512695</v>
      </c>
      <c r="J1341">
        <v>1317.3005370999999</v>
      </c>
      <c r="K1341">
        <v>2750</v>
      </c>
      <c r="L1341">
        <v>0</v>
      </c>
      <c r="M1341">
        <v>0</v>
      </c>
      <c r="N1341">
        <v>2750</v>
      </c>
    </row>
    <row r="1342" spans="1:14" x14ac:dyDescent="0.25">
      <c r="A1342">
        <v>732.34345099999996</v>
      </c>
      <c r="B1342" s="1">
        <f>DATE(2012,5,2) + TIME(8,14,34)</f>
        <v>41031.343449074076</v>
      </c>
      <c r="C1342">
        <v>80</v>
      </c>
      <c r="D1342">
        <v>79.162345885999997</v>
      </c>
      <c r="E1342">
        <v>50</v>
      </c>
      <c r="F1342">
        <v>49.823387146000002</v>
      </c>
      <c r="G1342">
        <v>1347.7099608999999</v>
      </c>
      <c r="H1342">
        <v>1342.9071045000001</v>
      </c>
      <c r="I1342">
        <v>1321.5509033000001</v>
      </c>
      <c r="J1342">
        <v>1317.3000488</v>
      </c>
      <c r="K1342">
        <v>2750</v>
      </c>
      <c r="L1342">
        <v>0</v>
      </c>
      <c r="M1342">
        <v>0</v>
      </c>
      <c r="N1342">
        <v>2750</v>
      </c>
    </row>
    <row r="1343" spans="1:14" x14ac:dyDescent="0.25">
      <c r="A1343">
        <v>732.40614200000005</v>
      </c>
      <c r="B1343" s="1">
        <f>DATE(2012,5,2) + TIME(9,44,50)</f>
        <v>41031.406134259261</v>
      </c>
      <c r="C1343">
        <v>80</v>
      </c>
      <c r="D1343">
        <v>79.263710021999998</v>
      </c>
      <c r="E1343">
        <v>50</v>
      </c>
      <c r="F1343">
        <v>49.817531586000001</v>
      </c>
      <c r="G1343">
        <v>1347.7132568</v>
      </c>
      <c r="H1343">
        <v>1342.9113769999999</v>
      </c>
      <c r="I1343">
        <v>1321.5505370999999</v>
      </c>
      <c r="J1343">
        <v>1317.2994385</v>
      </c>
      <c r="K1343">
        <v>2750</v>
      </c>
      <c r="L1343">
        <v>0</v>
      </c>
      <c r="M1343">
        <v>0</v>
      </c>
      <c r="N1343">
        <v>2750</v>
      </c>
    </row>
    <row r="1344" spans="1:14" x14ac:dyDescent="0.25">
      <c r="A1344">
        <v>732.47227599999997</v>
      </c>
      <c r="B1344" s="1">
        <f>DATE(2012,5,2) + TIME(11,20,4)</f>
        <v>41031.472268518519</v>
      </c>
      <c r="C1344">
        <v>80</v>
      </c>
      <c r="D1344">
        <v>79.356575011999993</v>
      </c>
      <c r="E1344">
        <v>50</v>
      </c>
      <c r="F1344">
        <v>49.811416626000003</v>
      </c>
      <c r="G1344">
        <v>1347.7161865</v>
      </c>
      <c r="H1344">
        <v>1342.9150391000001</v>
      </c>
      <c r="I1344">
        <v>1321.5500488</v>
      </c>
      <c r="J1344">
        <v>1317.2988281</v>
      </c>
      <c r="K1344">
        <v>2750</v>
      </c>
      <c r="L1344">
        <v>0</v>
      </c>
      <c r="M1344">
        <v>0</v>
      </c>
      <c r="N1344">
        <v>2750</v>
      </c>
    </row>
    <row r="1345" spans="1:14" x14ac:dyDescent="0.25">
      <c r="A1345">
        <v>732.54217700000004</v>
      </c>
      <c r="B1345" s="1">
        <f>DATE(2012,5,2) + TIME(13,0,44)</f>
        <v>41031.542175925926</v>
      </c>
      <c r="C1345">
        <v>80</v>
      </c>
      <c r="D1345">
        <v>79.441169739000003</v>
      </c>
      <c r="E1345">
        <v>50</v>
      </c>
      <c r="F1345">
        <v>49.805019379000001</v>
      </c>
      <c r="G1345">
        <v>1347.71875</v>
      </c>
      <c r="H1345">
        <v>1342.9183350000001</v>
      </c>
      <c r="I1345">
        <v>1321.5496826000001</v>
      </c>
      <c r="J1345">
        <v>1317.2982178</v>
      </c>
      <c r="K1345">
        <v>2750</v>
      </c>
      <c r="L1345">
        <v>0</v>
      </c>
      <c r="M1345">
        <v>0</v>
      </c>
      <c r="N1345">
        <v>2750</v>
      </c>
    </row>
    <row r="1346" spans="1:14" x14ac:dyDescent="0.25">
      <c r="A1346">
        <v>732.61625500000002</v>
      </c>
      <c r="B1346" s="1">
        <f>DATE(2012,5,2) + TIME(14,47,24)</f>
        <v>41031.616249999999</v>
      </c>
      <c r="C1346">
        <v>80</v>
      </c>
      <c r="D1346">
        <v>79.517799377000003</v>
      </c>
      <c r="E1346">
        <v>50</v>
      </c>
      <c r="F1346">
        <v>49.798313141000001</v>
      </c>
      <c r="G1346">
        <v>1347.7207031</v>
      </c>
      <c r="H1346">
        <v>1342.9211425999999</v>
      </c>
      <c r="I1346">
        <v>1321.5491943</v>
      </c>
      <c r="J1346">
        <v>1317.2976074000001</v>
      </c>
      <c r="K1346">
        <v>2750</v>
      </c>
      <c r="L1346">
        <v>0</v>
      </c>
      <c r="M1346">
        <v>0</v>
      </c>
      <c r="N1346">
        <v>2750</v>
      </c>
    </row>
    <row r="1347" spans="1:14" x14ac:dyDescent="0.25">
      <c r="A1347">
        <v>732.69491600000003</v>
      </c>
      <c r="B1347" s="1">
        <f>DATE(2012,5,2) + TIME(16,40,40)</f>
        <v>41031.694907407407</v>
      </c>
      <c r="C1347">
        <v>80</v>
      </c>
      <c r="D1347">
        <v>79.586708068999997</v>
      </c>
      <c r="E1347">
        <v>50</v>
      </c>
      <c r="F1347">
        <v>49.791263579999999</v>
      </c>
      <c r="G1347">
        <v>1347.7220459</v>
      </c>
      <c r="H1347">
        <v>1342.9232178</v>
      </c>
      <c r="I1347">
        <v>1321.5487060999999</v>
      </c>
      <c r="J1347">
        <v>1317.296875</v>
      </c>
      <c r="K1347">
        <v>2750</v>
      </c>
      <c r="L1347">
        <v>0</v>
      </c>
      <c r="M1347">
        <v>0</v>
      </c>
      <c r="N1347">
        <v>2750</v>
      </c>
    </row>
    <row r="1348" spans="1:14" x14ac:dyDescent="0.25">
      <c r="A1348">
        <v>732.77389800000003</v>
      </c>
      <c r="B1348" s="1">
        <f>DATE(2012,5,2) + TIME(18,34,24)</f>
        <v>41031.773888888885</v>
      </c>
      <c r="C1348">
        <v>80</v>
      </c>
      <c r="D1348">
        <v>79.645271300999994</v>
      </c>
      <c r="E1348">
        <v>50</v>
      </c>
      <c r="F1348">
        <v>49.784225464000002</v>
      </c>
      <c r="G1348">
        <v>1347.7238769999999</v>
      </c>
      <c r="H1348">
        <v>1342.9254149999999</v>
      </c>
      <c r="I1348">
        <v>1321.5482178</v>
      </c>
      <c r="J1348">
        <v>1317.2962646000001</v>
      </c>
      <c r="K1348">
        <v>2750</v>
      </c>
      <c r="L1348">
        <v>0</v>
      </c>
      <c r="M1348">
        <v>0</v>
      </c>
      <c r="N1348">
        <v>2750</v>
      </c>
    </row>
    <row r="1349" spans="1:14" x14ac:dyDescent="0.25">
      <c r="A1349">
        <v>732.85351900000001</v>
      </c>
      <c r="B1349" s="1">
        <f>DATE(2012,5,2) + TIME(20,29,4)</f>
        <v>41031.853518518517</v>
      </c>
      <c r="C1349">
        <v>80</v>
      </c>
      <c r="D1349">
        <v>79.695175171000002</v>
      </c>
      <c r="E1349">
        <v>50</v>
      </c>
      <c r="F1349">
        <v>49.777168273999997</v>
      </c>
      <c r="G1349">
        <v>1347.7246094</v>
      </c>
      <c r="H1349">
        <v>1342.9266356999999</v>
      </c>
      <c r="I1349">
        <v>1321.5477295000001</v>
      </c>
      <c r="J1349">
        <v>1317.2955322</v>
      </c>
      <c r="K1349">
        <v>2750</v>
      </c>
      <c r="L1349">
        <v>0</v>
      </c>
      <c r="M1349">
        <v>0</v>
      </c>
      <c r="N1349">
        <v>2750</v>
      </c>
    </row>
    <row r="1350" spans="1:14" x14ac:dyDescent="0.25">
      <c r="A1350">
        <v>732.93393500000002</v>
      </c>
      <c r="B1350" s="1">
        <f>DATE(2012,5,2) + TIME(22,24,52)</f>
        <v>41031.933935185189</v>
      </c>
      <c r="C1350">
        <v>80</v>
      </c>
      <c r="D1350">
        <v>79.737709045000003</v>
      </c>
      <c r="E1350">
        <v>50</v>
      </c>
      <c r="F1350">
        <v>49.770076752000001</v>
      </c>
      <c r="G1350">
        <v>1347.7243652</v>
      </c>
      <c r="H1350">
        <v>1342.9272461</v>
      </c>
      <c r="I1350">
        <v>1321.5472411999999</v>
      </c>
      <c r="J1350">
        <v>1317.2947998</v>
      </c>
      <c r="K1350">
        <v>2750</v>
      </c>
      <c r="L1350">
        <v>0</v>
      </c>
      <c r="M1350">
        <v>0</v>
      </c>
      <c r="N1350">
        <v>2750</v>
      </c>
    </row>
    <row r="1351" spans="1:14" x14ac:dyDescent="0.25">
      <c r="A1351">
        <v>733.015309</v>
      </c>
      <c r="B1351" s="1">
        <f>DATE(2012,5,3) + TIME(0,22,2)</f>
        <v>41032.015300925923</v>
      </c>
      <c r="C1351">
        <v>80</v>
      </c>
      <c r="D1351">
        <v>79.773963928000001</v>
      </c>
      <c r="E1351">
        <v>50</v>
      </c>
      <c r="F1351">
        <v>49.762943268000001</v>
      </c>
      <c r="G1351">
        <v>1347.7232666</v>
      </c>
      <c r="H1351">
        <v>1342.927124</v>
      </c>
      <c r="I1351">
        <v>1321.5466309000001</v>
      </c>
      <c r="J1351">
        <v>1317.2940673999999</v>
      </c>
      <c r="K1351">
        <v>2750</v>
      </c>
      <c r="L1351">
        <v>0</v>
      </c>
      <c r="M1351">
        <v>0</v>
      </c>
      <c r="N1351">
        <v>2750</v>
      </c>
    </row>
    <row r="1352" spans="1:14" x14ac:dyDescent="0.25">
      <c r="A1352">
        <v>733.097801</v>
      </c>
      <c r="B1352" s="1">
        <f>DATE(2012,5,3) + TIME(2,20,50)</f>
        <v>41032.097800925927</v>
      </c>
      <c r="C1352">
        <v>80</v>
      </c>
      <c r="D1352">
        <v>79.804855347</v>
      </c>
      <c r="E1352">
        <v>50</v>
      </c>
      <c r="F1352">
        <v>49.755748748999999</v>
      </c>
      <c r="G1352">
        <v>1347.7213135</v>
      </c>
      <c r="H1352">
        <v>1342.9263916</v>
      </c>
      <c r="I1352">
        <v>1321.5461425999999</v>
      </c>
      <c r="J1352">
        <v>1317.2933350000001</v>
      </c>
      <c r="K1352">
        <v>2750</v>
      </c>
      <c r="L1352">
        <v>0</v>
      </c>
      <c r="M1352">
        <v>0</v>
      </c>
      <c r="N1352">
        <v>2750</v>
      </c>
    </row>
    <row r="1353" spans="1:14" x14ac:dyDescent="0.25">
      <c r="A1353">
        <v>733.18158100000005</v>
      </c>
      <c r="B1353" s="1">
        <f>DATE(2012,5,3) + TIME(4,21,28)</f>
        <v>41032.181574074071</v>
      </c>
      <c r="C1353">
        <v>80</v>
      </c>
      <c r="D1353">
        <v>79.831161499000004</v>
      </c>
      <c r="E1353">
        <v>50</v>
      </c>
      <c r="F1353">
        <v>49.748485565000003</v>
      </c>
      <c r="G1353">
        <v>1347.7186279</v>
      </c>
      <c r="H1353">
        <v>1342.9249268000001</v>
      </c>
      <c r="I1353">
        <v>1321.5456543</v>
      </c>
      <c r="J1353">
        <v>1317.2926024999999</v>
      </c>
      <c r="K1353">
        <v>2750</v>
      </c>
      <c r="L1353">
        <v>0</v>
      </c>
      <c r="M1353">
        <v>0</v>
      </c>
      <c r="N1353">
        <v>2750</v>
      </c>
    </row>
    <row r="1354" spans="1:14" x14ac:dyDescent="0.25">
      <c r="A1354">
        <v>733.26686900000004</v>
      </c>
      <c r="B1354" s="1">
        <f>DATE(2012,5,3) + TIME(6,24,17)</f>
        <v>41032.266863425924</v>
      </c>
      <c r="C1354">
        <v>80</v>
      </c>
      <c r="D1354">
        <v>79.853561400999993</v>
      </c>
      <c r="E1354">
        <v>50</v>
      </c>
      <c r="F1354">
        <v>49.741130828999999</v>
      </c>
      <c r="G1354">
        <v>1347.7150879000001</v>
      </c>
      <c r="H1354">
        <v>1342.9229736</v>
      </c>
      <c r="I1354">
        <v>1321.5450439000001</v>
      </c>
      <c r="J1354">
        <v>1317.2918701000001</v>
      </c>
      <c r="K1354">
        <v>2750</v>
      </c>
      <c r="L1354">
        <v>0</v>
      </c>
      <c r="M1354">
        <v>0</v>
      </c>
      <c r="N1354">
        <v>2750</v>
      </c>
    </row>
    <row r="1355" spans="1:14" x14ac:dyDescent="0.25">
      <c r="A1355">
        <v>733.35384399999998</v>
      </c>
      <c r="B1355" s="1">
        <f>DATE(2012,5,3) + TIME(8,29,32)</f>
        <v>41032.353842592594</v>
      </c>
      <c r="C1355">
        <v>80</v>
      </c>
      <c r="D1355">
        <v>79.872596740999995</v>
      </c>
      <c r="E1355">
        <v>50</v>
      </c>
      <c r="F1355">
        <v>49.733673095999997</v>
      </c>
      <c r="G1355">
        <v>1347.7108154</v>
      </c>
      <c r="H1355">
        <v>1342.9205322</v>
      </c>
      <c r="I1355">
        <v>1321.5444336</v>
      </c>
      <c r="J1355">
        <v>1317.2911377</v>
      </c>
      <c r="K1355">
        <v>2750</v>
      </c>
      <c r="L1355">
        <v>0</v>
      </c>
      <c r="M1355">
        <v>0</v>
      </c>
      <c r="N1355">
        <v>2750</v>
      </c>
    </row>
    <row r="1356" spans="1:14" x14ac:dyDescent="0.25">
      <c r="A1356">
        <v>733.44268699999998</v>
      </c>
      <c r="B1356" s="1">
        <f>DATE(2012,5,3) + TIME(10,37,28)</f>
        <v>41032.442685185182</v>
      </c>
      <c r="C1356">
        <v>80</v>
      </c>
      <c r="D1356">
        <v>79.888763428000004</v>
      </c>
      <c r="E1356">
        <v>50</v>
      </c>
      <c r="F1356">
        <v>49.726097107000001</v>
      </c>
      <c r="G1356">
        <v>1347.7058105000001</v>
      </c>
      <c r="H1356">
        <v>1342.9176024999999</v>
      </c>
      <c r="I1356">
        <v>1321.5439452999999</v>
      </c>
      <c r="J1356">
        <v>1317.2904053</v>
      </c>
      <c r="K1356">
        <v>2750</v>
      </c>
      <c r="L1356">
        <v>0</v>
      </c>
      <c r="M1356">
        <v>0</v>
      </c>
      <c r="N1356">
        <v>2750</v>
      </c>
    </row>
    <row r="1357" spans="1:14" x14ac:dyDescent="0.25">
      <c r="A1357">
        <v>733.53360899999996</v>
      </c>
      <c r="B1357" s="1">
        <f>DATE(2012,5,3) + TIME(12,48,23)</f>
        <v>41032.533599537041</v>
      </c>
      <c r="C1357">
        <v>80</v>
      </c>
      <c r="D1357">
        <v>79.902450561999999</v>
      </c>
      <c r="E1357">
        <v>50</v>
      </c>
      <c r="F1357">
        <v>49.718391418000003</v>
      </c>
      <c r="G1357">
        <v>1347.7001952999999</v>
      </c>
      <c r="H1357">
        <v>1342.9140625</v>
      </c>
      <c r="I1357">
        <v>1321.5433350000001</v>
      </c>
      <c r="J1357">
        <v>1317.2895507999999</v>
      </c>
      <c r="K1357">
        <v>2750</v>
      </c>
      <c r="L1357">
        <v>0</v>
      </c>
      <c r="M1357">
        <v>0</v>
      </c>
      <c r="N1357">
        <v>2750</v>
      </c>
    </row>
    <row r="1358" spans="1:14" x14ac:dyDescent="0.25">
      <c r="A1358">
        <v>733.62683400000003</v>
      </c>
      <c r="B1358" s="1">
        <f>DATE(2012,5,3) + TIME(15,2,38)</f>
        <v>41032.626828703702</v>
      </c>
      <c r="C1358">
        <v>80</v>
      </c>
      <c r="D1358">
        <v>79.914031981999997</v>
      </c>
      <c r="E1358">
        <v>50</v>
      </c>
      <c r="F1358">
        <v>49.710536957000002</v>
      </c>
      <c r="G1358">
        <v>1347.6938477000001</v>
      </c>
      <c r="H1358">
        <v>1342.9101562000001</v>
      </c>
      <c r="I1358">
        <v>1321.5427245999999</v>
      </c>
      <c r="J1358">
        <v>1317.2888184000001</v>
      </c>
      <c r="K1358">
        <v>2750</v>
      </c>
      <c r="L1358">
        <v>0</v>
      </c>
      <c r="M1358">
        <v>0</v>
      </c>
      <c r="N1358">
        <v>2750</v>
      </c>
    </row>
    <row r="1359" spans="1:14" x14ac:dyDescent="0.25">
      <c r="A1359">
        <v>733.72194200000001</v>
      </c>
      <c r="B1359" s="1">
        <f>DATE(2012,5,3) + TIME(17,19,35)</f>
        <v>41032.721932870372</v>
      </c>
      <c r="C1359">
        <v>80</v>
      </c>
      <c r="D1359">
        <v>79.923744201999995</v>
      </c>
      <c r="E1359">
        <v>50</v>
      </c>
      <c r="F1359">
        <v>49.702564240000001</v>
      </c>
      <c r="G1359">
        <v>1347.6868896000001</v>
      </c>
      <c r="H1359">
        <v>1342.9058838000001</v>
      </c>
      <c r="I1359">
        <v>1321.5421143000001</v>
      </c>
      <c r="J1359">
        <v>1317.2879639</v>
      </c>
      <c r="K1359">
        <v>2750</v>
      </c>
      <c r="L1359">
        <v>0</v>
      </c>
      <c r="M1359">
        <v>0</v>
      </c>
      <c r="N1359">
        <v>2750</v>
      </c>
    </row>
    <row r="1360" spans="1:14" x14ac:dyDescent="0.25">
      <c r="A1360">
        <v>733.81873099999996</v>
      </c>
      <c r="B1360" s="1">
        <f>DATE(2012,5,3) + TIME(19,38,58)</f>
        <v>41032.818726851852</v>
      </c>
      <c r="C1360">
        <v>80</v>
      </c>
      <c r="D1360">
        <v>79.931846618999998</v>
      </c>
      <c r="E1360">
        <v>50</v>
      </c>
      <c r="F1360">
        <v>49.694492339999996</v>
      </c>
      <c r="G1360">
        <v>1347.6794434000001</v>
      </c>
      <c r="H1360">
        <v>1342.9012451000001</v>
      </c>
      <c r="I1360">
        <v>1321.5415039</v>
      </c>
      <c r="J1360">
        <v>1317.2871094</v>
      </c>
      <c r="K1360">
        <v>2750</v>
      </c>
      <c r="L1360">
        <v>0</v>
      </c>
      <c r="M1360">
        <v>0</v>
      </c>
      <c r="N1360">
        <v>2750</v>
      </c>
    </row>
    <row r="1361" spans="1:14" x14ac:dyDescent="0.25">
      <c r="A1361">
        <v>733.91738099999998</v>
      </c>
      <c r="B1361" s="1">
        <f>DATE(2012,5,3) + TIME(22,1,1)</f>
        <v>41032.917372685188</v>
      </c>
      <c r="C1361">
        <v>80</v>
      </c>
      <c r="D1361">
        <v>79.938598632999998</v>
      </c>
      <c r="E1361">
        <v>50</v>
      </c>
      <c r="F1361">
        <v>49.686302185000002</v>
      </c>
      <c r="G1361">
        <v>1347.6713867000001</v>
      </c>
      <c r="H1361">
        <v>1342.8961182</v>
      </c>
      <c r="I1361">
        <v>1321.5407714999999</v>
      </c>
      <c r="J1361">
        <v>1317.2862548999999</v>
      </c>
      <c r="K1361">
        <v>2750</v>
      </c>
      <c r="L1361">
        <v>0</v>
      </c>
      <c r="M1361">
        <v>0</v>
      </c>
      <c r="N1361">
        <v>2750</v>
      </c>
    </row>
    <row r="1362" spans="1:14" x14ac:dyDescent="0.25">
      <c r="A1362">
        <v>734.01808100000005</v>
      </c>
      <c r="B1362" s="1">
        <f>DATE(2012,5,4) + TIME(0,26,2)</f>
        <v>41033.018078703702</v>
      </c>
      <c r="C1362">
        <v>80</v>
      </c>
      <c r="D1362">
        <v>79.944213867000002</v>
      </c>
      <c r="E1362">
        <v>50</v>
      </c>
      <c r="F1362">
        <v>49.677986144999998</v>
      </c>
      <c r="G1362">
        <v>1347.6628418</v>
      </c>
      <c r="H1362">
        <v>1342.8907471</v>
      </c>
      <c r="I1362">
        <v>1321.5401611</v>
      </c>
      <c r="J1362">
        <v>1317.2854004000001</v>
      </c>
      <c r="K1362">
        <v>2750</v>
      </c>
      <c r="L1362">
        <v>0</v>
      </c>
      <c r="M1362">
        <v>0</v>
      </c>
      <c r="N1362">
        <v>2750</v>
      </c>
    </row>
    <row r="1363" spans="1:14" x14ac:dyDescent="0.25">
      <c r="A1363">
        <v>734.12104399999998</v>
      </c>
      <c r="B1363" s="1">
        <f>DATE(2012,5,4) + TIME(2,54,18)</f>
        <v>41033.121041666665</v>
      </c>
      <c r="C1363">
        <v>80</v>
      </c>
      <c r="D1363">
        <v>79.948883057000003</v>
      </c>
      <c r="E1363">
        <v>50</v>
      </c>
      <c r="F1363">
        <v>49.669525145999998</v>
      </c>
      <c r="G1363">
        <v>1347.6538086</v>
      </c>
      <c r="H1363">
        <v>1342.8851318</v>
      </c>
      <c r="I1363">
        <v>1321.5394286999999</v>
      </c>
      <c r="J1363">
        <v>1317.2845459</v>
      </c>
      <c r="K1363">
        <v>2750</v>
      </c>
      <c r="L1363">
        <v>0</v>
      </c>
      <c r="M1363">
        <v>0</v>
      </c>
      <c r="N1363">
        <v>2750</v>
      </c>
    </row>
    <row r="1364" spans="1:14" x14ac:dyDescent="0.25">
      <c r="A1364">
        <v>734.22644300000002</v>
      </c>
      <c r="B1364" s="1">
        <f>DATE(2012,5,4) + TIME(5,26,4)</f>
        <v>41033.226435185185</v>
      </c>
      <c r="C1364">
        <v>80</v>
      </c>
      <c r="D1364">
        <v>79.952751160000005</v>
      </c>
      <c r="E1364">
        <v>50</v>
      </c>
      <c r="F1364">
        <v>49.660907745000003</v>
      </c>
      <c r="G1364">
        <v>1347.6442870999999</v>
      </c>
      <c r="H1364">
        <v>1342.8791504000001</v>
      </c>
      <c r="I1364">
        <v>1321.5388184000001</v>
      </c>
      <c r="J1364">
        <v>1317.2836914</v>
      </c>
      <c r="K1364">
        <v>2750</v>
      </c>
      <c r="L1364">
        <v>0</v>
      </c>
      <c r="M1364">
        <v>0</v>
      </c>
      <c r="N1364">
        <v>2750</v>
      </c>
    </row>
    <row r="1365" spans="1:14" x14ac:dyDescent="0.25">
      <c r="A1365">
        <v>734.33450300000004</v>
      </c>
      <c r="B1365" s="1">
        <f>DATE(2012,5,4) + TIME(8,1,41)</f>
        <v>41033.334502314814</v>
      </c>
      <c r="C1365">
        <v>80</v>
      </c>
      <c r="D1365">
        <v>79.955955505000006</v>
      </c>
      <c r="E1365">
        <v>50</v>
      </c>
      <c r="F1365">
        <v>49.652118682999998</v>
      </c>
      <c r="G1365">
        <v>1347.6342772999999</v>
      </c>
      <c r="H1365">
        <v>1342.8728027</v>
      </c>
      <c r="I1365">
        <v>1321.5380858999999</v>
      </c>
      <c r="J1365">
        <v>1317.2827147999999</v>
      </c>
      <c r="K1365">
        <v>2750</v>
      </c>
      <c r="L1365">
        <v>0</v>
      </c>
      <c r="M1365">
        <v>0</v>
      </c>
      <c r="N1365">
        <v>2750</v>
      </c>
    </row>
    <row r="1366" spans="1:14" x14ac:dyDescent="0.25">
      <c r="A1366">
        <v>734.44551000000001</v>
      </c>
      <c r="B1366" s="1">
        <f>DATE(2012,5,4) + TIME(10,41,32)</f>
        <v>41033.445509259262</v>
      </c>
      <c r="C1366">
        <v>80</v>
      </c>
      <c r="D1366">
        <v>79.958595275999997</v>
      </c>
      <c r="E1366">
        <v>50</v>
      </c>
      <c r="F1366">
        <v>49.643142699999999</v>
      </c>
      <c r="G1366">
        <v>1347.6237793</v>
      </c>
      <c r="H1366">
        <v>1342.8663329999999</v>
      </c>
      <c r="I1366">
        <v>1321.5373535000001</v>
      </c>
      <c r="J1366">
        <v>1317.2818603999999</v>
      </c>
      <c r="K1366">
        <v>2750</v>
      </c>
      <c r="L1366">
        <v>0</v>
      </c>
      <c r="M1366">
        <v>0</v>
      </c>
      <c r="N1366">
        <v>2750</v>
      </c>
    </row>
    <row r="1367" spans="1:14" x14ac:dyDescent="0.25">
      <c r="A1367">
        <v>734.55976499999997</v>
      </c>
      <c r="B1367" s="1">
        <f>DATE(2012,5,4) + TIME(13,26,3)</f>
        <v>41033.559756944444</v>
      </c>
      <c r="C1367">
        <v>80</v>
      </c>
      <c r="D1367">
        <v>79.960769653</v>
      </c>
      <c r="E1367">
        <v>50</v>
      </c>
      <c r="F1367">
        <v>49.633953093999999</v>
      </c>
      <c r="G1367">
        <v>1347.6129149999999</v>
      </c>
      <c r="H1367">
        <v>1342.8594971</v>
      </c>
      <c r="I1367">
        <v>1321.5366211</v>
      </c>
      <c r="J1367">
        <v>1317.2808838000001</v>
      </c>
      <c r="K1367">
        <v>2750</v>
      </c>
      <c r="L1367">
        <v>0</v>
      </c>
      <c r="M1367">
        <v>0</v>
      </c>
      <c r="N1367">
        <v>2750</v>
      </c>
    </row>
    <row r="1368" spans="1:14" x14ac:dyDescent="0.25">
      <c r="A1368">
        <v>734.67757800000004</v>
      </c>
      <c r="B1368" s="1">
        <f>DATE(2012,5,4) + TIME(16,15,42)</f>
        <v>41033.677569444444</v>
      </c>
      <c r="C1368">
        <v>80</v>
      </c>
      <c r="D1368">
        <v>79.962554932000003</v>
      </c>
      <c r="E1368">
        <v>50</v>
      </c>
      <c r="F1368">
        <v>49.624530792000002</v>
      </c>
      <c r="G1368">
        <v>1347.6015625</v>
      </c>
      <c r="H1368">
        <v>1342.8524170000001</v>
      </c>
      <c r="I1368">
        <v>1321.5357666</v>
      </c>
      <c r="J1368">
        <v>1317.2797852000001</v>
      </c>
      <c r="K1368">
        <v>2750</v>
      </c>
      <c r="L1368">
        <v>0</v>
      </c>
      <c r="M1368">
        <v>0</v>
      </c>
      <c r="N1368">
        <v>2750</v>
      </c>
    </row>
    <row r="1369" spans="1:14" x14ac:dyDescent="0.25">
      <c r="A1369">
        <v>734.79929200000004</v>
      </c>
      <c r="B1369" s="1">
        <f>DATE(2012,5,4) + TIME(19,10,58)</f>
        <v>41033.79928240741</v>
      </c>
      <c r="C1369">
        <v>80</v>
      </c>
      <c r="D1369">
        <v>79.964012146000002</v>
      </c>
      <c r="E1369">
        <v>50</v>
      </c>
      <c r="F1369">
        <v>49.614856719999999</v>
      </c>
      <c r="G1369">
        <v>1347.5897216999999</v>
      </c>
      <c r="H1369">
        <v>1342.8449707</v>
      </c>
      <c r="I1369">
        <v>1321.5350341999999</v>
      </c>
      <c r="J1369">
        <v>1317.2788086</v>
      </c>
      <c r="K1369">
        <v>2750</v>
      </c>
      <c r="L1369">
        <v>0</v>
      </c>
      <c r="M1369">
        <v>0</v>
      </c>
      <c r="N1369">
        <v>2750</v>
      </c>
    </row>
    <row r="1370" spans="1:14" x14ac:dyDescent="0.25">
      <c r="A1370">
        <v>734.92529400000001</v>
      </c>
      <c r="B1370" s="1">
        <f>DATE(2012,5,4) + TIME(22,12,25)</f>
        <v>41033.92528935185</v>
      </c>
      <c r="C1370">
        <v>80</v>
      </c>
      <c r="D1370">
        <v>79.965209960999999</v>
      </c>
      <c r="E1370">
        <v>50</v>
      </c>
      <c r="F1370">
        <v>49.604896545000003</v>
      </c>
      <c r="G1370">
        <v>1347.5775146000001</v>
      </c>
      <c r="H1370">
        <v>1342.8374022999999</v>
      </c>
      <c r="I1370">
        <v>1321.5341797000001</v>
      </c>
      <c r="J1370">
        <v>1317.2777100000001</v>
      </c>
      <c r="K1370">
        <v>2750</v>
      </c>
      <c r="L1370">
        <v>0</v>
      </c>
      <c r="M1370">
        <v>0</v>
      </c>
      <c r="N1370">
        <v>2750</v>
      </c>
    </row>
    <row r="1371" spans="1:14" x14ac:dyDescent="0.25">
      <c r="A1371">
        <v>735.05520100000001</v>
      </c>
      <c r="B1371" s="1">
        <f>DATE(2012,5,5) + TIME(1,19,29)</f>
        <v>41034.055196759262</v>
      </c>
      <c r="C1371">
        <v>80</v>
      </c>
      <c r="D1371">
        <v>79.966171265</v>
      </c>
      <c r="E1371">
        <v>50</v>
      </c>
      <c r="F1371">
        <v>49.594688415999997</v>
      </c>
      <c r="G1371">
        <v>1347.5648193</v>
      </c>
      <c r="H1371">
        <v>1342.8294678</v>
      </c>
      <c r="I1371">
        <v>1321.5333252</v>
      </c>
      <c r="J1371">
        <v>1317.2766113</v>
      </c>
      <c r="K1371">
        <v>2750</v>
      </c>
      <c r="L1371">
        <v>0</v>
      </c>
      <c r="M1371">
        <v>0</v>
      </c>
      <c r="N1371">
        <v>2750</v>
      </c>
    </row>
    <row r="1372" spans="1:14" x14ac:dyDescent="0.25">
      <c r="A1372">
        <v>735.18847700000003</v>
      </c>
      <c r="B1372" s="1">
        <f>DATE(2012,5,5) + TIME(4,31,24)</f>
        <v>41034.188472222224</v>
      </c>
      <c r="C1372">
        <v>80</v>
      </c>
      <c r="D1372">
        <v>79.966949463000006</v>
      </c>
      <c r="E1372">
        <v>50</v>
      </c>
      <c r="F1372">
        <v>49.584259033000002</v>
      </c>
      <c r="G1372">
        <v>1347.5516356999999</v>
      </c>
      <c r="H1372">
        <v>1342.8214111</v>
      </c>
      <c r="I1372">
        <v>1321.5323486</v>
      </c>
      <c r="J1372">
        <v>1317.2755127</v>
      </c>
      <c r="K1372">
        <v>2750</v>
      </c>
      <c r="L1372">
        <v>0</v>
      </c>
      <c r="M1372">
        <v>0</v>
      </c>
      <c r="N1372">
        <v>2750</v>
      </c>
    </row>
    <row r="1373" spans="1:14" x14ac:dyDescent="0.25">
      <c r="A1373">
        <v>735.32543099999998</v>
      </c>
      <c r="B1373" s="1">
        <f>DATE(2012,5,5) + TIME(7,48,37)</f>
        <v>41034.325428240743</v>
      </c>
      <c r="C1373">
        <v>80</v>
      </c>
      <c r="D1373">
        <v>79.967567443999997</v>
      </c>
      <c r="E1373">
        <v>50</v>
      </c>
      <c r="F1373">
        <v>49.57359314</v>
      </c>
      <c r="G1373">
        <v>1347.5383300999999</v>
      </c>
      <c r="H1373">
        <v>1342.8131103999999</v>
      </c>
      <c r="I1373">
        <v>1321.5314940999999</v>
      </c>
      <c r="J1373">
        <v>1317.2742920000001</v>
      </c>
      <c r="K1373">
        <v>2750</v>
      </c>
      <c r="L1373">
        <v>0</v>
      </c>
      <c r="M1373">
        <v>0</v>
      </c>
      <c r="N1373">
        <v>2750</v>
      </c>
    </row>
    <row r="1374" spans="1:14" x14ac:dyDescent="0.25">
      <c r="A1374">
        <v>735.46636799999999</v>
      </c>
      <c r="B1374" s="1">
        <f>DATE(2012,5,5) + TIME(11,11,34)</f>
        <v>41034.466365740744</v>
      </c>
      <c r="C1374">
        <v>80</v>
      </c>
      <c r="D1374">
        <v>79.968063353999995</v>
      </c>
      <c r="E1374">
        <v>50</v>
      </c>
      <c r="F1374">
        <v>49.562671661000003</v>
      </c>
      <c r="G1374">
        <v>1347.5245361</v>
      </c>
      <c r="H1374">
        <v>1342.8046875</v>
      </c>
      <c r="I1374">
        <v>1321.5305175999999</v>
      </c>
      <c r="J1374">
        <v>1317.2730713000001</v>
      </c>
      <c r="K1374">
        <v>2750</v>
      </c>
      <c r="L1374">
        <v>0</v>
      </c>
      <c r="M1374">
        <v>0</v>
      </c>
      <c r="N1374">
        <v>2750</v>
      </c>
    </row>
    <row r="1375" spans="1:14" x14ac:dyDescent="0.25">
      <c r="A1375">
        <v>735.61165300000005</v>
      </c>
      <c r="B1375" s="1">
        <f>DATE(2012,5,5) + TIME(14,40,46)</f>
        <v>41034.611643518518</v>
      </c>
      <c r="C1375">
        <v>80</v>
      </c>
      <c r="D1375">
        <v>79.968460082999997</v>
      </c>
      <c r="E1375">
        <v>50</v>
      </c>
      <c r="F1375">
        <v>49.551471710000001</v>
      </c>
      <c r="G1375">
        <v>1347.5104980000001</v>
      </c>
      <c r="H1375">
        <v>1342.7960204999999</v>
      </c>
      <c r="I1375">
        <v>1321.5295410000001</v>
      </c>
      <c r="J1375">
        <v>1317.2718506000001</v>
      </c>
      <c r="K1375">
        <v>2750</v>
      </c>
      <c r="L1375">
        <v>0</v>
      </c>
      <c r="M1375">
        <v>0</v>
      </c>
      <c r="N1375">
        <v>2750</v>
      </c>
    </row>
    <row r="1376" spans="1:14" x14ac:dyDescent="0.25">
      <c r="A1376">
        <v>735.76177900000005</v>
      </c>
      <c r="B1376" s="1">
        <f>DATE(2012,5,5) + TIME(18,16,57)</f>
        <v>41034.761770833335</v>
      </c>
      <c r="C1376">
        <v>80</v>
      </c>
      <c r="D1376">
        <v>79.968772888000004</v>
      </c>
      <c r="E1376">
        <v>50</v>
      </c>
      <c r="F1376">
        <v>49.539962768999999</v>
      </c>
      <c r="G1376">
        <v>1347.4960937999999</v>
      </c>
      <c r="H1376">
        <v>1342.7872314000001</v>
      </c>
      <c r="I1376">
        <v>1321.5284423999999</v>
      </c>
      <c r="J1376">
        <v>1317.2706298999999</v>
      </c>
      <c r="K1376">
        <v>2750</v>
      </c>
      <c r="L1376">
        <v>0</v>
      </c>
      <c r="M1376">
        <v>0</v>
      </c>
      <c r="N1376">
        <v>2750</v>
      </c>
    </row>
    <row r="1377" spans="1:14" x14ac:dyDescent="0.25">
      <c r="A1377">
        <v>735.91719499999999</v>
      </c>
      <c r="B1377" s="1">
        <f>DATE(2012,5,5) + TIME(22,0,45)</f>
        <v>41034.917187500003</v>
      </c>
      <c r="C1377">
        <v>80</v>
      </c>
      <c r="D1377">
        <v>79.969024657999995</v>
      </c>
      <c r="E1377">
        <v>50</v>
      </c>
      <c r="F1377">
        <v>49.528118134000003</v>
      </c>
      <c r="G1377">
        <v>1347.4814452999999</v>
      </c>
      <c r="H1377">
        <v>1342.7783202999999</v>
      </c>
      <c r="I1377">
        <v>1321.5274658000001</v>
      </c>
      <c r="J1377">
        <v>1317.2692870999999</v>
      </c>
      <c r="K1377">
        <v>2750</v>
      </c>
      <c r="L1377">
        <v>0</v>
      </c>
      <c r="M1377">
        <v>0</v>
      </c>
      <c r="N1377">
        <v>2750</v>
      </c>
    </row>
    <row r="1378" spans="1:14" x14ac:dyDescent="0.25">
      <c r="A1378">
        <v>736.07841099999996</v>
      </c>
      <c r="B1378" s="1">
        <f>DATE(2012,5,6) + TIME(1,52,54)</f>
        <v>41035.078402777777</v>
      </c>
      <c r="C1378">
        <v>80</v>
      </c>
      <c r="D1378">
        <v>79.969223021999994</v>
      </c>
      <c r="E1378">
        <v>50</v>
      </c>
      <c r="F1378">
        <v>49.515907288000001</v>
      </c>
      <c r="G1378">
        <v>1347.4663086</v>
      </c>
      <c r="H1378">
        <v>1342.7691649999999</v>
      </c>
      <c r="I1378">
        <v>1321.5263672000001</v>
      </c>
      <c r="J1378">
        <v>1317.2679443</v>
      </c>
      <c r="K1378">
        <v>2750</v>
      </c>
      <c r="L1378">
        <v>0</v>
      </c>
      <c r="M1378">
        <v>0</v>
      </c>
      <c r="N1378">
        <v>2750</v>
      </c>
    </row>
    <row r="1379" spans="1:14" x14ac:dyDescent="0.25">
      <c r="A1379">
        <v>736.24182800000005</v>
      </c>
      <c r="B1379" s="1">
        <f>DATE(2012,5,6) + TIME(5,48,13)</f>
        <v>41035.24181712963</v>
      </c>
      <c r="C1379">
        <v>80</v>
      </c>
      <c r="D1379">
        <v>79.96937561</v>
      </c>
      <c r="E1379">
        <v>50</v>
      </c>
      <c r="F1379">
        <v>49.503547668000003</v>
      </c>
      <c r="G1379">
        <v>1347.4509277</v>
      </c>
      <c r="H1379">
        <v>1342.7597656</v>
      </c>
      <c r="I1379">
        <v>1321.5252685999999</v>
      </c>
      <c r="J1379">
        <v>1317.2664795000001</v>
      </c>
      <c r="K1379">
        <v>2750</v>
      </c>
      <c r="L1379">
        <v>0</v>
      </c>
      <c r="M1379">
        <v>0</v>
      </c>
      <c r="N1379">
        <v>2750</v>
      </c>
    </row>
    <row r="1380" spans="1:14" x14ac:dyDescent="0.25">
      <c r="A1380">
        <v>736.40756099999999</v>
      </c>
      <c r="B1380" s="1">
        <f>DATE(2012,5,6) + TIME(9,46,53)</f>
        <v>41035.407557870371</v>
      </c>
      <c r="C1380">
        <v>80</v>
      </c>
      <c r="D1380">
        <v>79.969490050999994</v>
      </c>
      <c r="E1380">
        <v>50</v>
      </c>
      <c r="F1380">
        <v>49.491046906000001</v>
      </c>
      <c r="G1380">
        <v>1347.4354248</v>
      </c>
      <c r="H1380">
        <v>1342.7504882999999</v>
      </c>
      <c r="I1380">
        <v>1321.5240478999999</v>
      </c>
      <c r="J1380">
        <v>1317.2650146000001</v>
      </c>
      <c r="K1380">
        <v>2750</v>
      </c>
      <c r="L1380">
        <v>0</v>
      </c>
      <c r="M1380">
        <v>0</v>
      </c>
      <c r="N1380">
        <v>2750</v>
      </c>
    </row>
    <row r="1381" spans="1:14" x14ac:dyDescent="0.25">
      <c r="A1381">
        <v>736.57601899999997</v>
      </c>
      <c r="B1381" s="1">
        <f>DATE(2012,5,6) + TIME(13,49,28)</f>
        <v>41035.576018518521</v>
      </c>
      <c r="C1381">
        <v>80</v>
      </c>
      <c r="D1381">
        <v>79.969573975000003</v>
      </c>
      <c r="E1381">
        <v>50</v>
      </c>
      <c r="F1381">
        <v>49.478378296000002</v>
      </c>
      <c r="G1381">
        <v>1347.4200439000001</v>
      </c>
      <c r="H1381">
        <v>1342.7412108999999</v>
      </c>
      <c r="I1381">
        <v>1321.5228271000001</v>
      </c>
      <c r="J1381">
        <v>1317.2635498</v>
      </c>
      <c r="K1381">
        <v>2750</v>
      </c>
      <c r="L1381">
        <v>0</v>
      </c>
      <c r="M1381">
        <v>0</v>
      </c>
      <c r="N1381">
        <v>2750</v>
      </c>
    </row>
    <row r="1382" spans="1:14" x14ac:dyDescent="0.25">
      <c r="A1382">
        <v>736.74763299999995</v>
      </c>
      <c r="B1382" s="1">
        <f>DATE(2012,5,6) + TIME(17,56,35)</f>
        <v>41035.747627314813</v>
      </c>
      <c r="C1382">
        <v>80</v>
      </c>
      <c r="D1382">
        <v>79.969635010000005</v>
      </c>
      <c r="E1382">
        <v>50</v>
      </c>
      <c r="F1382">
        <v>49.465522765999999</v>
      </c>
      <c r="G1382">
        <v>1347.4045410000001</v>
      </c>
      <c r="H1382">
        <v>1342.7319336</v>
      </c>
      <c r="I1382">
        <v>1321.5217285000001</v>
      </c>
      <c r="J1382">
        <v>1317.2620850000001</v>
      </c>
      <c r="K1382">
        <v>2750</v>
      </c>
      <c r="L1382">
        <v>0</v>
      </c>
      <c r="M1382">
        <v>0</v>
      </c>
      <c r="N1382">
        <v>2750</v>
      </c>
    </row>
    <row r="1383" spans="1:14" x14ac:dyDescent="0.25">
      <c r="A1383">
        <v>736.92285800000002</v>
      </c>
      <c r="B1383" s="1">
        <f>DATE(2012,5,6) + TIME(22,8,54)</f>
        <v>41035.922847222224</v>
      </c>
      <c r="C1383">
        <v>80</v>
      </c>
      <c r="D1383">
        <v>79.969680785999998</v>
      </c>
      <c r="E1383">
        <v>50</v>
      </c>
      <c r="F1383">
        <v>49.452453613000003</v>
      </c>
      <c r="G1383">
        <v>1347.3890381000001</v>
      </c>
      <c r="H1383">
        <v>1342.7226562000001</v>
      </c>
      <c r="I1383">
        <v>1321.5205077999999</v>
      </c>
      <c r="J1383">
        <v>1317.2604980000001</v>
      </c>
      <c r="K1383">
        <v>2750</v>
      </c>
      <c r="L1383">
        <v>0</v>
      </c>
      <c r="M1383">
        <v>0</v>
      </c>
      <c r="N1383">
        <v>2750</v>
      </c>
    </row>
    <row r="1384" spans="1:14" x14ac:dyDescent="0.25">
      <c r="A1384">
        <v>737.10052199999996</v>
      </c>
      <c r="B1384" s="1">
        <f>DATE(2012,5,7) + TIME(2,24,45)</f>
        <v>41036.10052083333</v>
      </c>
      <c r="C1384">
        <v>80</v>
      </c>
      <c r="D1384">
        <v>79.969718932999996</v>
      </c>
      <c r="E1384">
        <v>50</v>
      </c>
      <c r="F1384">
        <v>49.439247131000002</v>
      </c>
      <c r="G1384">
        <v>1347.3735352000001</v>
      </c>
      <c r="H1384">
        <v>1342.7133789</v>
      </c>
      <c r="I1384">
        <v>1321.5191649999999</v>
      </c>
      <c r="J1384">
        <v>1317.2590332</v>
      </c>
      <c r="K1384">
        <v>2750</v>
      </c>
      <c r="L1384">
        <v>0</v>
      </c>
      <c r="M1384">
        <v>0</v>
      </c>
      <c r="N1384">
        <v>2750</v>
      </c>
    </row>
    <row r="1385" spans="1:14" x14ac:dyDescent="0.25">
      <c r="A1385">
        <v>737.27966700000002</v>
      </c>
      <c r="B1385" s="1">
        <f>DATE(2012,5,7) + TIME(6,42,43)</f>
        <v>41036.279664351852</v>
      </c>
      <c r="C1385">
        <v>80</v>
      </c>
      <c r="D1385">
        <v>79.969734192000004</v>
      </c>
      <c r="E1385">
        <v>50</v>
      </c>
      <c r="F1385">
        <v>49.425960541000002</v>
      </c>
      <c r="G1385">
        <v>1347.3580322</v>
      </c>
      <c r="H1385">
        <v>1342.7041016000001</v>
      </c>
      <c r="I1385">
        <v>1321.5179443</v>
      </c>
      <c r="J1385">
        <v>1317.2574463000001</v>
      </c>
      <c r="K1385">
        <v>2750</v>
      </c>
      <c r="L1385">
        <v>0</v>
      </c>
      <c r="M1385">
        <v>0</v>
      </c>
      <c r="N1385">
        <v>2750</v>
      </c>
    </row>
    <row r="1386" spans="1:14" x14ac:dyDescent="0.25">
      <c r="A1386">
        <v>737.46063100000003</v>
      </c>
      <c r="B1386" s="1">
        <f>DATE(2012,5,7) + TIME(11,3,18)</f>
        <v>41036.460625</v>
      </c>
      <c r="C1386">
        <v>80</v>
      </c>
      <c r="D1386">
        <v>79.969749450999998</v>
      </c>
      <c r="E1386">
        <v>50</v>
      </c>
      <c r="F1386">
        <v>49.412578582999998</v>
      </c>
      <c r="G1386">
        <v>1347.3426514</v>
      </c>
      <c r="H1386">
        <v>1342.6950684000001</v>
      </c>
      <c r="I1386">
        <v>1321.5166016000001</v>
      </c>
      <c r="J1386">
        <v>1317.2557373</v>
      </c>
      <c r="K1386">
        <v>2750</v>
      </c>
      <c r="L1386">
        <v>0</v>
      </c>
      <c r="M1386">
        <v>0</v>
      </c>
      <c r="N1386">
        <v>2750</v>
      </c>
    </row>
    <row r="1387" spans="1:14" x14ac:dyDescent="0.25">
      <c r="A1387">
        <v>737.64374899999996</v>
      </c>
      <c r="B1387" s="1">
        <f>DATE(2012,5,7) + TIME(15,26,59)</f>
        <v>41036.643738425926</v>
      </c>
      <c r="C1387">
        <v>80</v>
      </c>
      <c r="D1387">
        <v>79.969749450999998</v>
      </c>
      <c r="E1387">
        <v>50</v>
      </c>
      <c r="F1387">
        <v>49.399089813000003</v>
      </c>
      <c r="G1387">
        <v>1347.3273925999999</v>
      </c>
      <c r="H1387">
        <v>1342.6860352000001</v>
      </c>
      <c r="I1387">
        <v>1321.5153809000001</v>
      </c>
      <c r="J1387">
        <v>1317.2541504000001</v>
      </c>
      <c r="K1387">
        <v>2750</v>
      </c>
      <c r="L1387">
        <v>0</v>
      </c>
      <c r="M1387">
        <v>0</v>
      </c>
      <c r="N1387">
        <v>2750</v>
      </c>
    </row>
    <row r="1388" spans="1:14" x14ac:dyDescent="0.25">
      <c r="A1388">
        <v>737.82939499999998</v>
      </c>
      <c r="B1388" s="1">
        <f>DATE(2012,5,7) + TIME(19,54,19)</f>
        <v>41036.829386574071</v>
      </c>
      <c r="C1388">
        <v>80</v>
      </c>
      <c r="D1388">
        <v>79.969749450999998</v>
      </c>
      <c r="E1388">
        <v>50</v>
      </c>
      <c r="F1388">
        <v>49.385471344000003</v>
      </c>
      <c r="G1388">
        <v>1347.3122559000001</v>
      </c>
      <c r="H1388">
        <v>1342.677124</v>
      </c>
      <c r="I1388">
        <v>1321.5140381000001</v>
      </c>
      <c r="J1388">
        <v>1317.2525635</v>
      </c>
      <c r="K1388">
        <v>2750</v>
      </c>
      <c r="L1388">
        <v>0</v>
      </c>
      <c r="M1388">
        <v>0</v>
      </c>
      <c r="N1388">
        <v>2750</v>
      </c>
    </row>
    <row r="1389" spans="1:14" x14ac:dyDescent="0.25">
      <c r="A1389">
        <v>738.01794299999995</v>
      </c>
      <c r="B1389" s="1">
        <f>DATE(2012,5,8) + TIME(0,25,50)</f>
        <v>41037.017939814818</v>
      </c>
      <c r="C1389">
        <v>80</v>
      </c>
      <c r="D1389">
        <v>79.969741821</v>
      </c>
      <c r="E1389">
        <v>50</v>
      </c>
      <c r="F1389">
        <v>49.371704102000002</v>
      </c>
      <c r="G1389">
        <v>1347.2971190999999</v>
      </c>
      <c r="H1389">
        <v>1342.6682129000001</v>
      </c>
      <c r="I1389">
        <v>1321.5126952999999</v>
      </c>
      <c r="J1389">
        <v>1317.2508545000001</v>
      </c>
      <c r="K1389">
        <v>2750</v>
      </c>
      <c r="L1389">
        <v>0</v>
      </c>
      <c r="M1389">
        <v>0</v>
      </c>
      <c r="N1389">
        <v>2750</v>
      </c>
    </row>
    <row r="1390" spans="1:14" x14ac:dyDescent="0.25">
      <c r="A1390">
        <v>738.20980099999997</v>
      </c>
      <c r="B1390" s="1">
        <f>DATE(2012,5,8) + TIME(5,2,6)</f>
        <v>41037.209791666668</v>
      </c>
      <c r="C1390">
        <v>80</v>
      </c>
      <c r="D1390">
        <v>79.969726562000005</v>
      </c>
      <c r="E1390">
        <v>50</v>
      </c>
      <c r="F1390">
        <v>49.357769011999999</v>
      </c>
      <c r="G1390">
        <v>1347.2819824000001</v>
      </c>
      <c r="H1390">
        <v>1342.6594238</v>
      </c>
      <c r="I1390">
        <v>1321.5113524999999</v>
      </c>
      <c r="J1390">
        <v>1317.2491454999999</v>
      </c>
      <c r="K1390">
        <v>2750</v>
      </c>
      <c r="L1390">
        <v>0</v>
      </c>
      <c r="M1390">
        <v>0</v>
      </c>
      <c r="N1390">
        <v>2750</v>
      </c>
    </row>
    <row r="1391" spans="1:14" x14ac:dyDescent="0.25">
      <c r="A1391">
        <v>738.40556600000002</v>
      </c>
      <c r="B1391" s="1">
        <f>DATE(2012,5,8) + TIME(9,44,0)</f>
        <v>41037.405555555553</v>
      </c>
      <c r="C1391">
        <v>80</v>
      </c>
      <c r="D1391">
        <v>79.969711304</v>
      </c>
      <c r="E1391">
        <v>50</v>
      </c>
      <c r="F1391">
        <v>49.343624114999997</v>
      </c>
      <c r="G1391">
        <v>1347.2669678</v>
      </c>
      <c r="H1391">
        <v>1342.6506348</v>
      </c>
      <c r="I1391">
        <v>1321.5098877</v>
      </c>
      <c r="J1391">
        <v>1317.2474365</v>
      </c>
      <c r="K1391">
        <v>2750</v>
      </c>
      <c r="L1391">
        <v>0</v>
      </c>
      <c r="M1391">
        <v>0</v>
      </c>
      <c r="N1391">
        <v>2750</v>
      </c>
    </row>
    <row r="1392" spans="1:14" x14ac:dyDescent="0.25">
      <c r="A1392">
        <v>738.60569799999996</v>
      </c>
      <c r="B1392" s="1">
        <f>DATE(2012,5,8) + TIME(14,32,12)</f>
        <v>41037.605694444443</v>
      </c>
      <c r="C1392">
        <v>80</v>
      </c>
      <c r="D1392">
        <v>79.969688415999997</v>
      </c>
      <c r="E1392">
        <v>50</v>
      </c>
      <c r="F1392">
        <v>49.329250336000001</v>
      </c>
      <c r="G1392">
        <v>1347.2518310999999</v>
      </c>
      <c r="H1392">
        <v>1342.6418457</v>
      </c>
      <c r="I1392">
        <v>1321.5084228999999</v>
      </c>
      <c r="J1392">
        <v>1317.2456055</v>
      </c>
      <c r="K1392">
        <v>2750</v>
      </c>
      <c r="L1392">
        <v>0</v>
      </c>
      <c r="M1392">
        <v>0</v>
      </c>
      <c r="N1392">
        <v>2750</v>
      </c>
    </row>
    <row r="1393" spans="1:14" x14ac:dyDescent="0.25">
      <c r="A1393">
        <v>738.810699</v>
      </c>
      <c r="B1393" s="1">
        <f>DATE(2012,5,8) + TIME(19,27,24)</f>
        <v>41037.810694444444</v>
      </c>
      <c r="C1393">
        <v>80</v>
      </c>
      <c r="D1393">
        <v>79.969665527000004</v>
      </c>
      <c r="E1393">
        <v>50</v>
      </c>
      <c r="F1393">
        <v>49.314613342000001</v>
      </c>
      <c r="G1393">
        <v>1347.2366943</v>
      </c>
      <c r="H1393">
        <v>1342.6330565999999</v>
      </c>
      <c r="I1393">
        <v>1321.5070800999999</v>
      </c>
      <c r="J1393">
        <v>1317.2437743999999</v>
      </c>
      <c r="K1393">
        <v>2750</v>
      </c>
      <c r="L1393">
        <v>0</v>
      </c>
      <c r="M1393">
        <v>0</v>
      </c>
      <c r="N1393">
        <v>2750</v>
      </c>
    </row>
    <row r="1394" spans="1:14" x14ac:dyDescent="0.25">
      <c r="A1394">
        <v>739.021118</v>
      </c>
      <c r="B1394" s="1">
        <f>DATE(2012,5,9) + TIME(0,30,24)</f>
        <v>41038.021111111113</v>
      </c>
      <c r="C1394">
        <v>80</v>
      </c>
      <c r="D1394">
        <v>79.969642639</v>
      </c>
      <c r="E1394">
        <v>50</v>
      </c>
      <c r="F1394">
        <v>49.299682617000002</v>
      </c>
      <c r="G1394">
        <v>1347.2214355000001</v>
      </c>
      <c r="H1394">
        <v>1342.6242675999999</v>
      </c>
      <c r="I1394">
        <v>1321.5054932</v>
      </c>
      <c r="J1394">
        <v>1317.2419434000001</v>
      </c>
      <c r="K1394">
        <v>2750</v>
      </c>
      <c r="L1394">
        <v>0</v>
      </c>
      <c r="M1394">
        <v>0</v>
      </c>
      <c r="N1394">
        <v>2750</v>
      </c>
    </row>
    <row r="1395" spans="1:14" x14ac:dyDescent="0.25">
      <c r="A1395">
        <v>739.23756300000002</v>
      </c>
      <c r="B1395" s="1">
        <f>DATE(2012,5,9) + TIME(5,42,5)</f>
        <v>41038.237557870372</v>
      </c>
      <c r="C1395">
        <v>80</v>
      </c>
      <c r="D1395">
        <v>79.969619750999996</v>
      </c>
      <c r="E1395">
        <v>50</v>
      </c>
      <c r="F1395">
        <v>49.284423828000001</v>
      </c>
      <c r="G1395">
        <v>1347.2061768000001</v>
      </c>
      <c r="H1395">
        <v>1342.6153564000001</v>
      </c>
      <c r="I1395">
        <v>1321.5040283000001</v>
      </c>
      <c r="J1395">
        <v>1317.2399902</v>
      </c>
      <c r="K1395">
        <v>2750</v>
      </c>
      <c r="L1395">
        <v>0</v>
      </c>
      <c r="M1395">
        <v>0</v>
      </c>
      <c r="N1395">
        <v>2750</v>
      </c>
    </row>
    <row r="1396" spans="1:14" x14ac:dyDescent="0.25">
      <c r="A1396">
        <v>739.45792800000004</v>
      </c>
      <c r="B1396" s="1">
        <f>DATE(2012,5,9) + TIME(10,59,24)</f>
        <v>41038.457916666666</v>
      </c>
      <c r="C1396">
        <v>80</v>
      </c>
      <c r="D1396">
        <v>79.969589232999994</v>
      </c>
      <c r="E1396">
        <v>50</v>
      </c>
      <c r="F1396">
        <v>49.268947601000001</v>
      </c>
      <c r="G1396">
        <v>1347.1906738</v>
      </c>
      <c r="H1396">
        <v>1342.6064452999999</v>
      </c>
      <c r="I1396">
        <v>1321.5023193</v>
      </c>
      <c r="J1396">
        <v>1317.2380370999999</v>
      </c>
      <c r="K1396">
        <v>2750</v>
      </c>
      <c r="L1396">
        <v>0</v>
      </c>
      <c r="M1396">
        <v>0</v>
      </c>
      <c r="N1396">
        <v>2750</v>
      </c>
    </row>
    <row r="1397" spans="1:14" x14ac:dyDescent="0.25">
      <c r="A1397">
        <v>739.68129599999997</v>
      </c>
      <c r="B1397" s="1">
        <f>DATE(2012,5,9) + TIME(16,21,3)</f>
        <v>41038.681284722225</v>
      </c>
      <c r="C1397">
        <v>80</v>
      </c>
      <c r="D1397">
        <v>79.969558715999995</v>
      </c>
      <c r="E1397">
        <v>50</v>
      </c>
      <c r="F1397">
        <v>49.253311156999999</v>
      </c>
      <c r="G1397">
        <v>1347.1751709</v>
      </c>
      <c r="H1397">
        <v>1342.5976562000001</v>
      </c>
      <c r="I1397">
        <v>1321.5007324000001</v>
      </c>
      <c r="J1397">
        <v>1317.2359618999999</v>
      </c>
      <c r="K1397">
        <v>2750</v>
      </c>
      <c r="L1397">
        <v>0</v>
      </c>
      <c r="M1397">
        <v>0</v>
      </c>
      <c r="N1397">
        <v>2750</v>
      </c>
    </row>
    <row r="1398" spans="1:14" x14ac:dyDescent="0.25">
      <c r="A1398">
        <v>739.90808800000002</v>
      </c>
      <c r="B1398" s="1">
        <f>DATE(2012,5,9) + TIME(21,47,38)</f>
        <v>41038.908078703702</v>
      </c>
      <c r="C1398">
        <v>80</v>
      </c>
      <c r="D1398">
        <v>79.969528198000006</v>
      </c>
      <c r="E1398">
        <v>50</v>
      </c>
      <c r="F1398">
        <v>49.237491607999999</v>
      </c>
      <c r="G1398">
        <v>1347.1597899999999</v>
      </c>
      <c r="H1398">
        <v>1342.5888672000001</v>
      </c>
      <c r="I1398">
        <v>1321.4991454999999</v>
      </c>
      <c r="J1398">
        <v>1317.2338867000001</v>
      </c>
      <c r="K1398">
        <v>2750</v>
      </c>
      <c r="L1398">
        <v>0</v>
      </c>
      <c r="M1398">
        <v>0</v>
      </c>
      <c r="N1398">
        <v>2750</v>
      </c>
    </row>
    <row r="1399" spans="1:14" x14ac:dyDescent="0.25">
      <c r="A1399">
        <v>740.13875800000005</v>
      </c>
      <c r="B1399" s="1">
        <f>DATE(2012,5,10) + TIME(3,19,48)</f>
        <v>41039.138749999998</v>
      </c>
      <c r="C1399">
        <v>80</v>
      </c>
      <c r="D1399">
        <v>79.969490050999994</v>
      </c>
      <c r="E1399">
        <v>50</v>
      </c>
      <c r="F1399">
        <v>49.221477509000003</v>
      </c>
      <c r="G1399">
        <v>1347.1445312000001</v>
      </c>
      <c r="H1399">
        <v>1342.5800781</v>
      </c>
      <c r="I1399">
        <v>1321.4974365</v>
      </c>
      <c r="J1399">
        <v>1317.2318115</v>
      </c>
      <c r="K1399">
        <v>2750</v>
      </c>
      <c r="L1399">
        <v>0</v>
      </c>
      <c r="M1399">
        <v>0</v>
      </c>
      <c r="N1399">
        <v>2750</v>
      </c>
    </row>
    <row r="1400" spans="1:14" x14ac:dyDescent="0.25">
      <c r="A1400">
        <v>740.37365699999998</v>
      </c>
      <c r="B1400" s="1">
        <f>DATE(2012,5,10) + TIME(8,58,3)</f>
        <v>41039.373645833337</v>
      </c>
      <c r="C1400">
        <v>80</v>
      </c>
      <c r="D1400">
        <v>79.969459533999995</v>
      </c>
      <c r="E1400">
        <v>50</v>
      </c>
      <c r="F1400">
        <v>49.205249786000003</v>
      </c>
      <c r="G1400">
        <v>1347.1292725000001</v>
      </c>
      <c r="H1400">
        <v>1342.5714111</v>
      </c>
      <c r="I1400">
        <v>1321.4957274999999</v>
      </c>
      <c r="J1400">
        <v>1317.2296143000001</v>
      </c>
      <c r="K1400">
        <v>2750</v>
      </c>
      <c r="L1400">
        <v>0</v>
      </c>
      <c r="M1400">
        <v>0</v>
      </c>
      <c r="N1400">
        <v>2750</v>
      </c>
    </row>
    <row r="1401" spans="1:14" x14ac:dyDescent="0.25">
      <c r="A1401">
        <v>740.61328300000002</v>
      </c>
      <c r="B1401" s="1">
        <f>DATE(2012,5,10) + TIME(14,43,7)</f>
        <v>41039.613275462965</v>
      </c>
      <c r="C1401">
        <v>80</v>
      </c>
      <c r="D1401">
        <v>79.969421386999997</v>
      </c>
      <c r="E1401">
        <v>50</v>
      </c>
      <c r="F1401">
        <v>49.188777924</v>
      </c>
      <c r="G1401">
        <v>1347.1140137</v>
      </c>
      <c r="H1401">
        <v>1342.5627440999999</v>
      </c>
      <c r="I1401">
        <v>1321.4938964999999</v>
      </c>
      <c r="J1401">
        <v>1317.2274170000001</v>
      </c>
      <c r="K1401">
        <v>2750</v>
      </c>
      <c r="L1401">
        <v>0</v>
      </c>
      <c r="M1401">
        <v>0</v>
      </c>
      <c r="N1401">
        <v>2750</v>
      </c>
    </row>
    <row r="1402" spans="1:14" x14ac:dyDescent="0.25">
      <c r="A1402">
        <v>740.85857499999997</v>
      </c>
      <c r="B1402" s="1">
        <f>DATE(2012,5,10) + TIME(20,36,20)</f>
        <v>41039.858564814815</v>
      </c>
      <c r="C1402">
        <v>80</v>
      </c>
      <c r="D1402">
        <v>79.969383239999999</v>
      </c>
      <c r="E1402">
        <v>50</v>
      </c>
      <c r="F1402">
        <v>49.172023772999999</v>
      </c>
      <c r="G1402">
        <v>1347.0987548999999</v>
      </c>
      <c r="H1402">
        <v>1342.5541992000001</v>
      </c>
      <c r="I1402">
        <v>1321.4920654</v>
      </c>
      <c r="J1402">
        <v>1317.2252197</v>
      </c>
      <c r="K1402">
        <v>2750</v>
      </c>
      <c r="L1402">
        <v>0</v>
      </c>
      <c r="M1402">
        <v>0</v>
      </c>
      <c r="N1402">
        <v>2750</v>
      </c>
    </row>
    <row r="1403" spans="1:14" x14ac:dyDescent="0.25">
      <c r="A1403">
        <v>741.110141</v>
      </c>
      <c r="B1403" s="1">
        <f>DATE(2012,5,11) + TIME(2,38,36)</f>
        <v>41040.110138888886</v>
      </c>
      <c r="C1403">
        <v>80</v>
      </c>
      <c r="D1403">
        <v>79.969345093000001</v>
      </c>
      <c r="E1403">
        <v>50</v>
      </c>
      <c r="F1403">
        <v>49.154949188000003</v>
      </c>
      <c r="G1403">
        <v>1347.0834961</v>
      </c>
      <c r="H1403">
        <v>1342.5455322</v>
      </c>
      <c r="I1403">
        <v>1321.4902344</v>
      </c>
      <c r="J1403">
        <v>1317.2229004000001</v>
      </c>
      <c r="K1403">
        <v>2750</v>
      </c>
      <c r="L1403">
        <v>0</v>
      </c>
      <c r="M1403">
        <v>0</v>
      </c>
      <c r="N1403">
        <v>2750</v>
      </c>
    </row>
    <row r="1404" spans="1:14" x14ac:dyDescent="0.25">
      <c r="A1404">
        <v>741.36866499999996</v>
      </c>
      <c r="B1404" s="1">
        <f>DATE(2012,5,11) + TIME(8,50,52)</f>
        <v>41040.368657407409</v>
      </c>
      <c r="C1404">
        <v>80</v>
      </c>
      <c r="D1404">
        <v>79.969306946000003</v>
      </c>
      <c r="E1404">
        <v>50</v>
      </c>
      <c r="F1404">
        <v>49.137516022</v>
      </c>
      <c r="G1404">
        <v>1347.0681152</v>
      </c>
      <c r="H1404">
        <v>1342.5368652</v>
      </c>
      <c r="I1404">
        <v>1321.4884033000001</v>
      </c>
      <c r="J1404">
        <v>1317.2204589999999</v>
      </c>
      <c r="K1404">
        <v>2750</v>
      </c>
      <c r="L1404">
        <v>0</v>
      </c>
      <c r="M1404">
        <v>0</v>
      </c>
      <c r="N1404">
        <v>2750</v>
      </c>
    </row>
    <row r="1405" spans="1:14" x14ac:dyDescent="0.25">
      <c r="A1405">
        <v>741.634907</v>
      </c>
      <c r="B1405" s="1">
        <f>DATE(2012,5,11) + TIME(15,14,15)</f>
        <v>41040.634895833333</v>
      </c>
      <c r="C1405">
        <v>80</v>
      </c>
      <c r="D1405">
        <v>79.969268799000005</v>
      </c>
      <c r="E1405">
        <v>50</v>
      </c>
      <c r="F1405">
        <v>49.119689940999997</v>
      </c>
      <c r="G1405">
        <v>1347.0524902</v>
      </c>
      <c r="H1405">
        <v>1342.5280762</v>
      </c>
      <c r="I1405">
        <v>1321.4864502</v>
      </c>
      <c r="J1405">
        <v>1317.2180175999999</v>
      </c>
      <c r="K1405">
        <v>2750</v>
      </c>
      <c r="L1405">
        <v>0</v>
      </c>
      <c r="M1405">
        <v>0</v>
      </c>
      <c r="N1405">
        <v>2750</v>
      </c>
    </row>
    <row r="1406" spans="1:14" x14ac:dyDescent="0.25">
      <c r="A1406">
        <v>741.90926300000001</v>
      </c>
      <c r="B1406" s="1">
        <f>DATE(2012,5,11) + TIME(21,49,20)</f>
        <v>41040.909259259257</v>
      </c>
      <c r="C1406">
        <v>80</v>
      </c>
      <c r="D1406">
        <v>79.969230651999993</v>
      </c>
      <c r="E1406">
        <v>50</v>
      </c>
      <c r="F1406">
        <v>49.101440429999997</v>
      </c>
      <c r="G1406">
        <v>1347.0368652</v>
      </c>
      <c r="H1406">
        <v>1342.5192870999999</v>
      </c>
      <c r="I1406">
        <v>1321.484375</v>
      </c>
      <c r="J1406">
        <v>1317.2155762</v>
      </c>
      <c r="K1406">
        <v>2750</v>
      </c>
      <c r="L1406">
        <v>0</v>
      </c>
      <c r="M1406">
        <v>0</v>
      </c>
      <c r="N1406">
        <v>2750</v>
      </c>
    </row>
    <row r="1407" spans="1:14" x14ac:dyDescent="0.25">
      <c r="A1407">
        <v>742.18502000000001</v>
      </c>
      <c r="B1407" s="1">
        <f>DATE(2012,5,12) + TIME(4,26,25)</f>
        <v>41041.185011574074</v>
      </c>
      <c r="C1407">
        <v>80</v>
      </c>
      <c r="D1407">
        <v>79.969192504999995</v>
      </c>
      <c r="E1407">
        <v>50</v>
      </c>
      <c r="F1407">
        <v>49.083091736</v>
      </c>
      <c r="G1407">
        <v>1347.0209961</v>
      </c>
      <c r="H1407">
        <v>1342.5104980000001</v>
      </c>
      <c r="I1407">
        <v>1321.4822998</v>
      </c>
      <c r="J1407">
        <v>1317.2128906</v>
      </c>
      <c r="K1407">
        <v>2750</v>
      </c>
      <c r="L1407">
        <v>0</v>
      </c>
      <c r="M1407">
        <v>0</v>
      </c>
      <c r="N1407">
        <v>2750</v>
      </c>
    </row>
    <row r="1408" spans="1:14" x14ac:dyDescent="0.25">
      <c r="A1408">
        <v>742.46277099999998</v>
      </c>
      <c r="B1408" s="1">
        <f>DATE(2012,5,12) + TIME(11,6,23)</f>
        <v>41041.462766203702</v>
      </c>
      <c r="C1408">
        <v>80</v>
      </c>
      <c r="D1408">
        <v>79.969154357999997</v>
      </c>
      <c r="E1408">
        <v>50</v>
      </c>
      <c r="F1408">
        <v>49.064643859999997</v>
      </c>
      <c r="G1408">
        <v>1347.0053711</v>
      </c>
      <c r="H1408">
        <v>1342.5017089999999</v>
      </c>
      <c r="I1408">
        <v>1321.4801024999999</v>
      </c>
      <c r="J1408">
        <v>1317.2103271000001</v>
      </c>
      <c r="K1408">
        <v>2750</v>
      </c>
      <c r="L1408">
        <v>0</v>
      </c>
      <c r="M1408">
        <v>0</v>
      </c>
      <c r="N1408">
        <v>2750</v>
      </c>
    </row>
    <row r="1409" spans="1:14" x14ac:dyDescent="0.25">
      <c r="A1409">
        <v>742.74353199999996</v>
      </c>
      <c r="B1409" s="1">
        <f>DATE(2012,5,12) + TIME(17,50,41)</f>
        <v>41041.743530092594</v>
      </c>
      <c r="C1409">
        <v>80</v>
      </c>
      <c r="D1409">
        <v>79.969108582000004</v>
      </c>
      <c r="E1409">
        <v>50</v>
      </c>
      <c r="F1409">
        <v>49.046062468999999</v>
      </c>
      <c r="G1409">
        <v>1346.9899902</v>
      </c>
      <c r="H1409">
        <v>1342.4931641000001</v>
      </c>
      <c r="I1409">
        <v>1321.4780272999999</v>
      </c>
      <c r="J1409">
        <v>1317.2076416</v>
      </c>
      <c r="K1409">
        <v>2750</v>
      </c>
      <c r="L1409">
        <v>0</v>
      </c>
      <c r="M1409">
        <v>0</v>
      </c>
      <c r="N1409">
        <v>2750</v>
      </c>
    </row>
    <row r="1410" spans="1:14" x14ac:dyDescent="0.25">
      <c r="A1410">
        <v>743.02811899999995</v>
      </c>
      <c r="B1410" s="1">
        <f>DATE(2012,5,13) + TIME(0,40,29)</f>
        <v>41042.028113425928</v>
      </c>
      <c r="C1410">
        <v>80</v>
      </c>
      <c r="D1410">
        <v>79.969070435000006</v>
      </c>
      <c r="E1410">
        <v>50</v>
      </c>
      <c r="F1410">
        <v>49.027317046999997</v>
      </c>
      <c r="G1410">
        <v>1346.9747314000001</v>
      </c>
      <c r="H1410">
        <v>1342.4846190999999</v>
      </c>
      <c r="I1410">
        <v>1321.4758300999999</v>
      </c>
      <c r="J1410">
        <v>1317.2048339999999</v>
      </c>
      <c r="K1410">
        <v>2750</v>
      </c>
      <c r="L1410">
        <v>0</v>
      </c>
      <c r="M1410">
        <v>0</v>
      </c>
      <c r="N1410">
        <v>2750</v>
      </c>
    </row>
    <row r="1411" spans="1:14" x14ac:dyDescent="0.25">
      <c r="A1411">
        <v>743.31710499999997</v>
      </c>
      <c r="B1411" s="1">
        <f>DATE(2012,5,13) + TIME(7,36,37)</f>
        <v>41042.317094907405</v>
      </c>
      <c r="C1411">
        <v>80</v>
      </c>
      <c r="D1411">
        <v>79.969032287999994</v>
      </c>
      <c r="E1411">
        <v>50</v>
      </c>
      <c r="F1411">
        <v>49.008388519</v>
      </c>
      <c r="G1411">
        <v>1346.9594727000001</v>
      </c>
      <c r="H1411">
        <v>1342.4761963000001</v>
      </c>
      <c r="I1411">
        <v>1321.4736327999999</v>
      </c>
      <c r="J1411">
        <v>1317.2021483999999</v>
      </c>
      <c r="K1411">
        <v>2750</v>
      </c>
      <c r="L1411">
        <v>0</v>
      </c>
      <c r="M1411">
        <v>0</v>
      </c>
      <c r="N1411">
        <v>2750</v>
      </c>
    </row>
    <row r="1412" spans="1:14" x14ac:dyDescent="0.25">
      <c r="A1412">
        <v>743.61060199999997</v>
      </c>
      <c r="B1412" s="1">
        <f>DATE(2012,5,13) + TIME(14,39,16)</f>
        <v>41042.610601851855</v>
      </c>
      <c r="C1412">
        <v>80</v>
      </c>
      <c r="D1412">
        <v>79.968994140999996</v>
      </c>
      <c r="E1412">
        <v>50</v>
      </c>
      <c r="F1412">
        <v>48.989269256999997</v>
      </c>
      <c r="G1412">
        <v>1346.9443358999999</v>
      </c>
      <c r="H1412">
        <v>1342.4678954999999</v>
      </c>
      <c r="I1412">
        <v>1321.4713135</v>
      </c>
      <c r="J1412">
        <v>1317.1993408000001</v>
      </c>
      <c r="K1412">
        <v>2750</v>
      </c>
      <c r="L1412">
        <v>0</v>
      </c>
      <c r="M1412">
        <v>0</v>
      </c>
      <c r="N1412">
        <v>2750</v>
      </c>
    </row>
    <row r="1413" spans="1:14" x14ac:dyDescent="0.25">
      <c r="A1413">
        <v>743.90900899999997</v>
      </c>
      <c r="B1413" s="1">
        <f>DATE(2012,5,13) + TIME(21,48,58)</f>
        <v>41042.909004629626</v>
      </c>
      <c r="C1413">
        <v>80</v>
      </c>
      <c r="D1413">
        <v>79.968948363999999</v>
      </c>
      <c r="E1413">
        <v>50</v>
      </c>
      <c r="F1413">
        <v>48.969940186000002</v>
      </c>
      <c r="G1413">
        <v>1346.9291992000001</v>
      </c>
      <c r="H1413">
        <v>1342.4594727000001</v>
      </c>
      <c r="I1413">
        <v>1321.4691161999999</v>
      </c>
      <c r="J1413">
        <v>1317.1964111</v>
      </c>
      <c r="K1413">
        <v>2750</v>
      </c>
      <c r="L1413">
        <v>0</v>
      </c>
      <c r="M1413">
        <v>0</v>
      </c>
      <c r="N1413">
        <v>2750</v>
      </c>
    </row>
    <row r="1414" spans="1:14" x14ac:dyDescent="0.25">
      <c r="A1414">
        <v>744.21294499999999</v>
      </c>
      <c r="B1414" s="1">
        <f>DATE(2012,5,14) + TIME(5,6,38)</f>
        <v>41043.212939814817</v>
      </c>
      <c r="C1414">
        <v>80</v>
      </c>
      <c r="D1414">
        <v>79.968910217000001</v>
      </c>
      <c r="E1414">
        <v>50</v>
      </c>
      <c r="F1414">
        <v>48.950374603</v>
      </c>
      <c r="G1414">
        <v>1346.9141846</v>
      </c>
      <c r="H1414">
        <v>1342.4511719</v>
      </c>
      <c r="I1414">
        <v>1321.4666748</v>
      </c>
      <c r="J1414">
        <v>1317.1934814000001</v>
      </c>
      <c r="K1414">
        <v>2750</v>
      </c>
      <c r="L1414">
        <v>0</v>
      </c>
      <c r="M1414">
        <v>0</v>
      </c>
      <c r="N1414">
        <v>2750</v>
      </c>
    </row>
    <row r="1415" spans="1:14" x14ac:dyDescent="0.25">
      <c r="A1415">
        <v>744.52315499999997</v>
      </c>
      <c r="B1415" s="1">
        <f>DATE(2012,5,14) + TIME(12,33,20)</f>
        <v>41043.523148148146</v>
      </c>
      <c r="C1415">
        <v>80</v>
      </c>
      <c r="D1415">
        <v>79.968872070000003</v>
      </c>
      <c r="E1415">
        <v>50</v>
      </c>
      <c r="F1415">
        <v>48.930538177000003</v>
      </c>
      <c r="G1415">
        <v>1346.8990478999999</v>
      </c>
      <c r="H1415">
        <v>1342.4429932</v>
      </c>
      <c r="I1415">
        <v>1321.4643555</v>
      </c>
      <c r="J1415">
        <v>1317.1904297000001</v>
      </c>
      <c r="K1415">
        <v>2750</v>
      </c>
      <c r="L1415">
        <v>0</v>
      </c>
      <c r="M1415">
        <v>0</v>
      </c>
      <c r="N1415">
        <v>2750</v>
      </c>
    </row>
    <row r="1416" spans="1:14" x14ac:dyDescent="0.25">
      <c r="A1416">
        <v>744.84044100000006</v>
      </c>
      <c r="B1416" s="1">
        <f>DATE(2012,5,14) + TIME(20,10,14)</f>
        <v>41043.840439814812</v>
      </c>
      <c r="C1416">
        <v>80</v>
      </c>
      <c r="D1416">
        <v>79.968826293999996</v>
      </c>
      <c r="E1416">
        <v>50</v>
      </c>
      <c r="F1416">
        <v>48.910388947000001</v>
      </c>
      <c r="G1416">
        <v>1346.8839111</v>
      </c>
      <c r="H1416">
        <v>1342.4346923999999</v>
      </c>
      <c r="I1416">
        <v>1321.4617920000001</v>
      </c>
      <c r="J1416">
        <v>1317.1873779</v>
      </c>
      <c r="K1416">
        <v>2750</v>
      </c>
      <c r="L1416">
        <v>0</v>
      </c>
      <c r="M1416">
        <v>0</v>
      </c>
      <c r="N1416">
        <v>2750</v>
      </c>
    </row>
    <row r="1417" spans="1:14" x14ac:dyDescent="0.25">
      <c r="A1417">
        <v>745.16565600000001</v>
      </c>
      <c r="B1417" s="1">
        <f>DATE(2012,5,15) + TIME(3,58,32)</f>
        <v>41044.165648148148</v>
      </c>
      <c r="C1417">
        <v>80</v>
      </c>
      <c r="D1417">
        <v>79.968788146999998</v>
      </c>
      <c r="E1417">
        <v>50</v>
      </c>
      <c r="F1417">
        <v>48.889884948999999</v>
      </c>
      <c r="G1417">
        <v>1346.8687743999999</v>
      </c>
      <c r="H1417">
        <v>1342.4262695</v>
      </c>
      <c r="I1417">
        <v>1321.4593506000001</v>
      </c>
      <c r="J1417">
        <v>1317.1842041</v>
      </c>
      <c r="K1417">
        <v>2750</v>
      </c>
      <c r="L1417">
        <v>0</v>
      </c>
      <c r="M1417">
        <v>0</v>
      </c>
      <c r="N1417">
        <v>2750</v>
      </c>
    </row>
    <row r="1418" spans="1:14" x14ac:dyDescent="0.25">
      <c r="A1418">
        <v>745.49322199999995</v>
      </c>
      <c r="B1418" s="1">
        <f>DATE(2012,5,15) + TIME(11,50,14)</f>
        <v>41044.493217592593</v>
      </c>
      <c r="C1418">
        <v>80</v>
      </c>
      <c r="D1418">
        <v>79.96875</v>
      </c>
      <c r="E1418">
        <v>50</v>
      </c>
      <c r="F1418">
        <v>48.869266510000003</v>
      </c>
      <c r="G1418">
        <v>1346.8535156</v>
      </c>
      <c r="H1418">
        <v>1342.4179687999999</v>
      </c>
      <c r="I1418">
        <v>1321.4566649999999</v>
      </c>
      <c r="J1418">
        <v>1317.1809082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745.82376099999999</v>
      </c>
      <c r="B1419" s="1">
        <f>DATE(2012,5,15) + TIME(19,46,12)</f>
        <v>41044.823750000003</v>
      </c>
      <c r="C1419">
        <v>80</v>
      </c>
      <c r="D1419">
        <v>79.968704224000007</v>
      </c>
      <c r="E1419">
        <v>50</v>
      </c>
      <c r="F1419">
        <v>48.848529816000003</v>
      </c>
      <c r="G1419">
        <v>1346.8383789</v>
      </c>
      <c r="H1419">
        <v>1342.409668</v>
      </c>
      <c r="I1419">
        <v>1321.4539795000001</v>
      </c>
      <c r="J1419">
        <v>1317.1774902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746.157871</v>
      </c>
      <c r="B1420" s="1">
        <f>DATE(2012,5,16) + TIME(3,47,20)</f>
        <v>41045.157870370371</v>
      </c>
      <c r="C1420">
        <v>80</v>
      </c>
      <c r="D1420">
        <v>79.968666076999995</v>
      </c>
      <c r="E1420">
        <v>50</v>
      </c>
      <c r="F1420">
        <v>48.827663422000001</v>
      </c>
      <c r="G1420">
        <v>1346.8234863</v>
      </c>
      <c r="H1420">
        <v>1342.4016113</v>
      </c>
      <c r="I1420">
        <v>1321.4512939000001</v>
      </c>
      <c r="J1420">
        <v>1317.1741943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746.49653499999999</v>
      </c>
      <c r="B1421" s="1">
        <f>DATE(2012,5,16) + TIME(11,55,0)</f>
        <v>41045.496527777781</v>
      </c>
      <c r="C1421">
        <v>80</v>
      </c>
      <c r="D1421">
        <v>79.968627929999997</v>
      </c>
      <c r="E1421">
        <v>50</v>
      </c>
      <c r="F1421">
        <v>48.806636810000001</v>
      </c>
      <c r="G1421">
        <v>1346.8085937999999</v>
      </c>
      <c r="H1421">
        <v>1342.3934326000001</v>
      </c>
      <c r="I1421">
        <v>1321.4486084</v>
      </c>
      <c r="J1421">
        <v>1317.1706543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746.84105999999997</v>
      </c>
      <c r="B1422" s="1">
        <f>DATE(2012,5,16) + TIME(20,11,7)</f>
        <v>41045.841053240743</v>
      </c>
      <c r="C1422">
        <v>80</v>
      </c>
      <c r="D1422">
        <v>79.968582153</v>
      </c>
      <c r="E1422">
        <v>50</v>
      </c>
      <c r="F1422">
        <v>48.785388947000001</v>
      </c>
      <c r="G1422">
        <v>1346.7938231999999</v>
      </c>
      <c r="H1422">
        <v>1342.385376</v>
      </c>
      <c r="I1422">
        <v>1321.4458007999999</v>
      </c>
      <c r="J1422">
        <v>1317.1672363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747.19209799999999</v>
      </c>
      <c r="B1423" s="1">
        <f>DATE(2012,5,17) + TIME(4,36,37)</f>
        <v>41046.192094907405</v>
      </c>
      <c r="C1423">
        <v>80</v>
      </c>
      <c r="D1423">
        <v>79.968544006000002</v>
      </c>
      <c r="E1423">
        <v>50</v>
      </c>
      <c r="F1423">
        <v>48.763893127000003</v>
      </c>
      <c r="G1423">
        <v>1346.7790527</v>
      </c>
      <c r="H1423">
        <v>1342.3774414</v>
      </c>
      <c r="I1423">
        <v>1321.4429932</v>
      </c>
      <c r="J1423">
        <v>1317.1635742000001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747.55051200000003</v>
      </c>
      <c r="B1424" s="1">
        <f>DATE(2012,5,17) + TIME(13,12,44)</f>
        <v>41046.550509259258</v>
      </c>
      <c r="C1424">
        <v>80</v>
      </c>
      <c r="D1424">
        <v>79.968505859000004</v>
      </c>
      <c r="E1424">
        <v>50</v>
      </c>
      <c r="F1424">
        <v>48.742107390999998</v>
      </c>
      <c r="G1424">
        <v>1346.7641602000001</v>
      </c>
      <c r="H1424">
        <v>1342.3693848</v>
      </c>
      <c r="I1424">
        <v>1321.4400635</v>
      </c>
      <c r="J1424">
        <v>1317.1599120999999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747.91721900000005</v>
      </c>
      <c r="B1425" s="1">
        <f>DATE(2012,5,17) + TIME(22,0,47)</f>
        <v>41046.917210648149</v>
      </c>
      <c r="C1425">
        <v>80</v>
      </c>
      <c r="D1425">
        <v>79.968460082999997</v>
      </c>
      <c r="E1425">
        <v>50</v>
      </c>
      <c r="F1425">
        <v>48.719985962000003</v>
      </c>
      <c r="G1425">
        <v>1346.7492675999999</v>
      </c>
      <c r="H1425">
        <v>1342.3613281</v>
      </c>
      <c r="I1425">
        <v>1321.4370117000001</v>
      </c>
      <c r="J1425">
        <v>1317.1561279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748.29159900000002</v>
      </c>
      <c r="B1426" s="1">
        <f>DATE(2012,5,18) + TIME(6,59,54)</f>
        <v>41047.291597222225</v>
      </c>
      <c r="C1426">
        <v>80</v>
      </c>
      <c r="D1426">
        <v>79.968421935999999</v>
      </c>
      <c r="E1426">
        <v>50</v>
      </c>
      <c r="F1426">
        <v>48.697547913000001</v>
      </c>
      <c r="G1426">
        <v>1346.734375</v>
      </c>
      <c r="H1426">
        <v>1342.3532714999999</v>
      </c>
      <c r="I1426">
        <v>1321.4339600000001</v>
      </c>
      <c r="J1426">
        <v>1317.1522216999999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748.671246</v>
      </c>
      <c r="B1427" s="1">
        <f>DATE(2012,5,18) + TIME(16,6,35)</f>
        <v>41047.671238425923</v>
      </c>
      <c r="C1427">
        <v>80</v>
      </c>
      <c r="D1427">
        <v>79.968383789000001</v>
      </c>
      <c r="E1427">
        <v>50</v>
      </c>
      <c r="F1427">
        <v>48.674888611</v>
      </c>
      <c r="G1427">
        <v>1346.7193603999999</v>
      </c>
      <c r="H1427">
        <v>1342.3450928</v>
      </c>
      <c r="I1427">
        <v>1321.4307861</v>
      </c>
      <c r="J1427">
        <v>1317.1481934000001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749.05380400000001</v>
      </c>
      <c r="B1428" s="1">
        <f>DATE(2012,5,19) + TIME(1,17,28)</f>
        <v>41048.053796296299</v>
      </c>
      <c r="C1428">
        <v>80</v>
      </c>
      <c r="D1428">
        <v>79.968338012999993</v>
      </c>
      <c r="E1428">
        <v>50</v>
      </c>
      <c r="F1428">
        <v>48.652114867999998</v>
      </c>
      <c r="G1428">
        <v>1346.7044678</v>
      </c>
      <c r="H1428">
        <v>1342.3370361</v>
      </c>
      <c r="I1428">
        <v>1321.4274902</v>
      </c>
      <c r="J1428">
        <v>1317.144043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749.44029499999999</v>
      </c>
      <c r="B1429" s="1">
        <f>DATE(2012,5,19) + TIME(10,34,1)</f>
        <v>41048.440289351849</v>
      </c>
      <c r="C1429">
        <v>80</v>
      </c>
      <c r="D1429">
        <v>79.968299865999995</v>
      </c>
      <c r="E1429">
        <v>50</v>
      </c>
      <c r="F1429">
        <v>48.629215240000001</v>
      </c>
      <c r="G1429">
        <v>1346.6896973</v>
      </c>
      <c r="H1429">
        <v>1342.3291016000001</v>
      </c>
      <c r="I1429">
        <v>1321.4241943</v>
      </c>
      <c r="J1429">
        <v>1317.1398925999999</v>
      </c>
      <c r="K1429">
        <v>2750</v>
      </c>
      <c r="L1429">
        <v>0</v>
      </c>
      <c r="M1429">
        <v>0</v>
      </c>
      <c r="N1429">
        <v>2750</v>
      </c>
    </row>
    <row r="1430" spans="1:14" x14ac:dyDescent="0.25">
      <c r="A1430">
        <v>749.83169099999998</v>
      </c>
      <c r="B1430" s="1">
        <f>DATE(2012,5,19) + TIME(19,57,38)</f>
        <v>41048.831689814811</v>
      </c>
      <c r="C1430">
        <v>80</v>
      </c>
      <c r="D1430">
        <v>79.968261718999997</v>
      </c>
      <c r="E1430">
        <v>50</v>
      </c>
      <c r="F1430">
        <v>48.606163025000001</v>
      </c>
      <c r="G1430">
        <v>1346.6750488</v>
      </c>
      <c r="H1430">
        <v>1342.3211670000001</v>
      </c>
      <c r="I1430">
        <v>1321.4208983999999</v>
      </c>
      <c r="J1430">
        <v>1317.1356201000001</v>
      </c>
      <c r="K1430">
        <v>2750</v>
      </c>
      <c r="L1430">
        <v>0</v>
      </c>
      <c r="M1430">
        <v>0</v>
      </c>
      <c r="N1430">
        <v>2750</v>
      </c>
    </row>
    <row r="1431" spans="1:14" x14ac:dyDescent="0.25">
      <c r="A1431">
        <v>750.22899299999995</v>
      </c>
      <c r="B1431" s="1">
        <f>DATE(2012,5,20) + TIME(5,29,44)</f>
        <v>41049.228981481479</v>
      </c>
      <c r="C1431">
        <v>80</v>
      </c>
      <c r="D1431">
        <v>79.968215942</v>
      </c>
      <c r="E1431">
        <v>50</v>
      </c>
      <c r="F1431">
        <v>48.582920074</v>
      </c>
      <c r="G1431">
        <v>1346.6604004000001</v>
      </c>
      <c r="H1431">
        <v>1342.3132324000001</v>
      </c>
      <c r="I1431">
        <v>1321.4174805</v>
      </c>
      <c r="J1431">
        <v>1317.1312256000001</v>
      </c>
      <c r="K1431">
        <v>2750</v>
      </c>
      <c r="L1431">
        <v>0</v>
      </c>
      <c r="M1431">
        <v>0</v>
      </c>
      <c r="N1431">
        <v>2750</v>
      </c>
    </row>
    <row r="1432" spans="1:14" x14ac:dyDescent="0.25">
      <c r="A1432">
        <v>750.63309500000003</v>
      </c>
      <c r="B1432" s="1">
        <f>DATE(2012,5,20) + TIME(15,11,39)</f>
        <v>41049.633090277777</v>
      </c>
      <c r="C1432">
        <v>80</v>
      </c>
      <c r="D1432">
        <v>79.968177795000003</v>
      </c>
      <c r="E1432">
        <v>50</v>
      </c>
      <c r="F1432">
        <v>48.559452057000001</v>
      </c>
      <c r="G1432">
        <v>1346.6457519999999</v>
      </c>
      <c r="H1432">
        <v>1342.3054199000001</v>
      </c>
      <c r="I1432">
        <v>1321.4139404</v>
      </c>
      <c r="J1432">
        <v>1317.1267089999999</v>
      </c>
      <c r="K1432">
        <v>2750</v>
      </c>
      <c r="L1432">
        <v>0</v>
      </c>
      <c r="M1432">
        <v>0</v>
      </c>
      <c r="N1432">
        <v>2750</v>
      </c>
    </row>
    <row r="1433" spans="1:14" x14ac:dyDescent="0.25">
      <c r="A1433">
        <v>751.04507599999999</v>
      </c>
      <c r="B1433" s="1">
        <f>DATE(2012,5,21) + TIME(1,4,54)</f>
        <v>41050.045069444444</v>
      </c>
      <c r="C1433">
        <v>80</v>
      </c>
      <c r="D1433">
        <v>79.968139648000005</v>
      </c>
      <c r="E1433">
        <v>50</v>
      </c>
      <c r="F1433">
        <v>48.535713196000003</v>
      </c>
      <c r="G1433">
        <v>1346.6312256000001</v>
      </c>
      <c r="H1433">
        <v>1342.2976074000001</v>
      </c>
      <c r="I1433">
        <v>1321.4104004000001</v>
      </c>
      <c r="J1433">
        <v>1317.1221923999999</v>
      </c>
      <c r="K1433">
        <v>2750</v>
      </c>
      <c r="L1433">
        <v>0</v>
      </c>
      <c r="M1433">
        <v>0</v>
      </c>
      <c r="N1433">
        <v>2750</v>
      </c>
    </row>
    <row r="1434" spans="1:14" x14ac:dyDescent="0.25">
      <c r="A1434">
        <v>751.46606399999996</v>
      </c>
      <c r="B1434" s="1">
        <f>DATE(2012,5,21) + TIME(11,11,7)</f>
        <v>41050.466053240743</v>
      </c>
      <c r="C1434">
        <v>80</v>
      </c>
      <c r="D1434">
        <v>79.968101501000007</v>
      </c>
      <c r="E1434">
        <v>50</v>
      </c>
      <c r="F1434">
        <v>48.511653899999999</v>
      </c>
      <c r="G1434">
        <v>1346.6165771000001</v>
      </c>
      <c r="H1434">
        <v>1342.2896728999999</v>
      </c>
      <c r="I1434">
        <v>1321.4067382999999</v>
      </c>
      <c r="J1434">
        <v>1317.1174315999999</v>
      </c>
      <c r="K1434">
        <v>2750</v>
      </c>
      <c r="L1434">
        <v>0</v>
      </c>
      <c r="M1434">
        <v>0</v>
      </c>
      <c r="N1434">
        <v>2750</v>
      </c>
    </row>
    <row r="1435" spans="1:14" x14ac:dyDescent="0.25">
      <c r="A1435">
        <v>751.897288</v>
      </c>
      <c r="B1435" s="1">
        <f>DATE(2012,5,21) + TIME(21,32,5)</f>
        <v>41050.897280092591</v>
      </c>
      <c r="C1435">
        <v>80</v>
      </c>
      <c r="D1435">
        <v>79.968055724999999</v>
      </c>
      <c r="E1435">
        <v>50</v>
      </c>
      <c r="F1435">
        <v>48.487216949</v>
      </c>
      <c r="G1435">
        <v>1346.6019286999999</v>
      </c>
      <c r="H1435">
        <v>1342.2818603999999</v>
      </c>
      <c r="I1435">
        <v>1321.4029541</v>
      </c>
      <c r="J1435">
        <v>1317.1126709</v>
      </c>
      <c r="K1435">
        <v>2750</v>
      </c>
      <c r="L1435">
        <v>0</v>
      </c>
      <c r="M1435">
        <v>0</v>
      </c>
      <c r="N1435">
        <v>2750</v>
      </c>
    </row>
    <row r="1436" spans="1:14" x14ac:dyDescent="0.25">
      <c r="A1436">
        <v>752.34010000000001</v>
      </c>
      <c r="B1436" s="1">
        <f>DATE(2012,5,22) + TIME(8,9,44)</f>
        <v>41051.340092592596</v>
      </c>
      <c r="C1436">
        <v>80</v>
      </c>
      <c r="D1436">
        <v>79.968017578000001</v>
      </c>
      <c r="E1436">
        <v>50</v>
      </c>
      <c r="F1436">
        <v>48.462341309000003</v>
      </c>
      <c r="G1436">
        <v>1346.5870361</v>
      </c>
      <c r="H1436">
        <v>1342.2738036999999</v>
      </c>
      <c r="I1436">
        <v>1321.3990478999999</v>
      </c>
      <c r="J1436">
        <v>1317.1075439000001</v>
      </c>
      <c r="K1436">
        <v>2750</v>
      </c>
      <c r="L1436">
        <v>0</v>
      </c>
      <c r="M1436">
        <v>0</v>
      </c>
      <c r="N1436">
        <v>2750</v>
      </c>
    </row>
    <row r="1437" spans="1:14" x14ac:dyDescent="0.25">
      <c r="A1437">
        <v>752.79004799999996</v>
      </c>
      <c r="B1437" s="1">
        <f>DATE(2012,5,22) + TIME(18,57,40)</f>
        <v>41051.790046296293</v>
      </c>
      <c r="C1437">
        <v>80</v>
      </c>
      <c r="D1437">
        <v>79.967979431000003</v>
      </c>
      <c r="E1437">
        <v>50</v>
      </c>
      <c r="F1437">
        <v>48.437171935999999</v>
      </c>
      <c r="G1437">
        <v>1346.5721435999999</v>
      </c>
      <c r="H1437">
        <v>1342.2658690999999</v>
      </c>
      <c r="I1437">
        <v>1321.3950195</v>
      </c>
      <c r="J1437">
        <v>1317.1024170000001</v>
      </c>
      <c r="K1437">
        <v>2750</v>
      </c>
      <c r="L1437">
        <v>0</v>
      </c>
      <c r="M1437">
        <v>0</v>
      </c>
      <c r="N1437">
        <v>2750</v>
      </c>
    </row>
    <row r="1438" spans="1:14" x14ac:dyDescent="0.25">
      <c r="A1438">
        <v>753.24120300000004</v>
      </c>
      <c r="B1438" s="1">
        <f>DATE(2012,5,23) + TIME(5,47,19)</f>
        <v>41052.24119212963</v>
      </c>
      <c r="C1438">
        <v>80</v>
      </c>
      <c r="D1438">
        <v>79.967941284000005</v>
      </c>
      <c r="E1438">
        <v>50</v>
      </c>
      <c r="F1438">
        <v>48.411937713999997</v>
      </c>
      <c r="G1438">
        <v>1346.5571289</v>
      </c>
      <c r="H1438">
        <v>1342.2578125</v>
      </c>
      <c r="I1438">
        <v>1321.3908690999999</v>
      </c>
      <c r="J1438">
        <v>1317.0970459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753.69444199999998</v>
      </c>
      <c r="B1439" s="1">
        <f>DATE(2012,5,23) + TIME(16,39,59)</f>
        <v>41052.694432870368</v>
      </c>
      <c r="C1439">
        <v>80</v>
      </c>
      <c r="D1439">
        <v>79.967895507999998</v>
      </c>
      <c r="E1439">
        <v>50</v>
      </c>
      <c r="F1439">
        <v>48.386669159</v>
      </c>
      <c r="G1439">
        <v>1346.5423584</v>
      </c>
      <c r="H1439">
        <v>1342.2498779</v>
      </c>
      <c r="I1439">
        <v>1321.3865966999999</v>
      </c>
      <c r="J1439">
        <v>1317.0915527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754.15063599999996</v>
      </c>
      <c r="B1440" s="1">
        <f>DATE(2012,5,24) + TIME(3,36,54)</f>
        <v>41053.150625000002</v>
      </c>
      <c r="C1440">
        <v>80</v>
      </c>
      <c r="D1440">
        <v>79.967857361</v>
      </c>
      <c r="E1440">
        <v>50</v>
      </c>
      <c r="F1440">
        <v>48.361370086999997</v>
      </c>
      <c r="G1440">
        <v>1346.527832</v>
      </c>
      <c r="H1440">
        <v>1342.2420654</v>
      </c>
      <c r="I1440">
        <v>1321.3823242000001</v>
      </c>
      <c r="J1440">
        <v>1317.0860596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754.61063899999999</v>
      </c>
      <c r="B1441" s="1">
        <f>DATE(2012,5,24) + TIME(14,39,19)</f>
        <v>41053.610636574071</v>
      </c>
      <c r="C1441">
        <v>80</v>
      </c>
      <c r="D1441">
        <v>79.967819214000002</v>
      </c>
      <c r="E1441">
        <v>50</v>
      </c>
      <c r="F1441">
        <v>48.336021422999998</v>
      </c>
      <c r="G1441">
        <v>1346.5134277</v>
      </c>
      <c r="H1441">
        <v>1342.234375</v>
      </c>
      <c r="I1441">
        <v>1321.3780518000001</v>
      </c>
      <c r="J1441">
        <v>1317.0804443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755.07639300000005</v>
      </c>
      <c r="B1442" s="1">
        <f>DATE(2012,5,25) + TIME(1,50,0)</f>
        <v>41054.076388888891</v>
      </c>
      <c r="C1442">
        <v>80</v>
      </c>
      <c r="D1442">
        <v>79.967781067000004</v>
      </c>
      <c r="E1442">
        <v>50</v>
      </c>
      <c r="F1442">
        <v>48.310562134000001</v>
      </c>
      <c r="G1442">
        <v>1346.4990233999999</v>
      </c>
      <c r="H1442">
        <v>1342.2266846</v>
      </c>
      <c r="I1442">
        <v>1321.3736572</v>
      </c>
      <c r="J1442">
        <v>1317.074707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755.54940799999997</v>
      </c>
      <c r="B1443" s="1">
        <f>DATE(2012,5,25) + TIME(13,11,8)</f>
        <v>41054.549398148149</v>
      </c>
      <c r="C1443">
        <v>80</v>
      </c>
      <c r="D1443">
        <v>79.967742920000006</v>
      </c>
      <c r="E1443">
        <v>50</v>
      </c>
      <c r="F1443">
        <v>48.284931182999998</v>
      </c>
      <c r="G1443">
        <v>1346.4848632999999</v>
      </c>
      <c r="H1443">
        <v>1342.2189940999999</v>
      </c>
      <c r="I1443">
        <v>1321.3691406</v>
      </c>
      <c r="J1443">
        <v>1317.0688477000001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756.03104499999995</v>
      </c>
      <c r="B1444" s="1">
        <f>DATE(2012,5,26) + TIME(0,44,42)</f>
        <v>41055.031041666669</v>
      </c>
      <c r="C1444">
        <v>80</v>
      </c>
      <c r="D1444">
        <v>79.967704772999994</v>
      </c>
      <c r="E1444">
        <v>50</v>
      </c>
      <c r="F1444">
        <v>48.259063720999997</v>
      </c>
      <c r="G1444">
        <v>1346.4705810999999</v>
      </c>
      <c r="H1444">
        <v>1342.2113036999999</v>
      </c>
      <c r="I1444">
        <v>1321.3645019999999</v>
      </c>
      <c r="J1444">
        <v>1317.0628661999999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756.522379</v>
      </c>
      <c r="B1445" s="1">
        <f>DATE(2012,5,26) + TIME(12,32,13)</f>
        <v>41055.522372685184</v>
      </c>
      <c r="C1445">
        <v>80</v>
      </c>
      <c r="D1445">
        <v>79.967666625999996</v>
      </c>
      <c r="E1445">
        <v>50</v>
      </c>
      <c r="F1445">
        <v>48.232913971000002</v>
      </c>
      <c r="G1445">
        <v>1346.4562988</v>
      </c>
      <c r="H1445">
        <v>1342.2036132999999</v>
      </c>
      <c r="I1445">
        <v>1321.3597411999999</v>
      </c>
      <c r="J1445">
        <v>1317.0566406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757.024767</v>
      </c>
      <c r="B1446" s="1">
        <f>DATE(2012,5,27) + TIME(0,35,39)</f>
        <v>41056.024756944447</v>
      </c>
      <c r="C1446">
        <v>80</v>
      </c>
      <c r="D1446">
        <v>79.967628478999998</v>
      </c>
      <c r="E1446">
        <v>50</v>
      </c>
      <c r="F1446">
        <v>48.206420897999998</v>
      </c>
      <c r="G1446">
        <v>1346.4418945</v>
      </c>
      <c r="H1446">
        <v>1342.1959228999999</v>
      </c>
      <c r="I1446">
        <v>1321.3548584</v>
      </c>
      <c r="J1446">
        <v>1317.050293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757.53606300000001</v>
      </c>
      <c r="B1447" s="1">
        <f>DATE(2012,5,27) + TIME(12,51,55)</f>
        <v>41056.536053240743</v>
      </c>
      <c r="C1447">
        <v>80</v>
      </c>
      <c r="D1447">
        <v>79.967590332</v>
      </c>
      <c r="E1447">
        <v>50</v>
      </c>
      <c r="F1447">
        <v>48.179630279999998</v>
      </c>
      <c r="G1447">
        <v>1346.4273682</v>
      </c>
      <c r="H1447">
        <v>1342.1882324000001</v>
      </c>
      <c r="I1447">
        <v>1321.3498535000001</v>
      </c>
      <c r="J1447">
        <v>1317.0435791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758.055161</v>
      </c>
      <c r="B1448" s="1">
        <f>DATE(2012,5,28) + TIME(1,19,25)</f>
        <v>41057.055150462962</v>
      </c>
      <c r="C1448">
        <v>80</v>
      </c>
      <c r="D1448">
        <v>79.967552185000002</v>
      </c>
      <c r="E1448">
        <v>50</v>
      </c>
      <c r="F1448">
        <v>48.152587891000003</v>
      </c>
      <c r="G1448">
        <v>1346.4129639</v>
      </c>
      <c r="H1448">
        <v>1342.1804199000001</v>
      </c>
      <c r="I1448">
        <v>1321.3446045000001</v>
      </c>
      <c r="J1448">
        <v>1317.0368652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758.58335499999998</v>
      </c>
      <c r="B1449" s="1">
        <f>DATE(2012,5,28) + TIME(14,0,1)</f>
        <v>41057.583344907405</v>
      </c>
      <c r="C1449">
        <v>80</v>
      </c>
      <c r="D1449">
        <v>79.967514038000004</v>
      </c>
      <c r="E1449">
        <v>50</v>
      </c>
      <c r="F1449">
        <v>48.125270843999999</v>
      </c>
      <c r="G1449">
        <v>1346.3984375</v>
      </c>
      <c r="H1449">
        <v>1342.1726074000001</v>
      </c>
      <c r="I1449">
        <v>1321.3392334</v>
      </c>
      <c r="J1449">
        <v>1317.0297852000001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759.12215300000003</v>
      </c>
      <c r="B1450" s="1">
        <f>DATE(2012,5,29) + TIME(2,55,54)</f>
        <v>41058.122152777774</v>
      </c>
      <c r="C1450">
        <v>80</v>
      </c>
      <c r="D1450">
        <v>79.967475891000007</v>
      </c>
      <c r="E1450">
        <v>50</v>
      </c>
      <c r="F1450">
        <v>48.097633362000003</v>
      </c>
      <c r="G1450">
        <v>1346.3839111</v>
      </c>
      <c r="H1450">
        <v>1342.1647949000001</v>
      </c>
      <c r="I1450">
        <v>1321.3337402</v>
      </c>
      <c r="J1450">
        <v>1317.0225829999999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759.67234599999995</v>
      </c>
      <c r="B1451" s="1">
        <f>DATE(2012,5,29) + TIME(16,8,10)</f>
        <v>41058.672337962962</v>
      </c>
      <c r="C1451">
        <v>80</v>
      </c>
      <c r="D1451">
        <v>79.967437743999994</v>
      </c>
      <c r="E1451">
        <v>50</v>
      </c>
      <c r="F1451">
        <v>48.069644928000002</v>
      </c>
      <c r="G1451">
        <v>1346.3693848</v>
      </c>
      <c r="H1451">
        <v>1342.1569824000001</v>
      </c>
      <c r="I1451">
        <v>1321.328125</v>
      </c>
      <c r="J1451">
        <v>1317.0150146000001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760.23268800000005</v>
      </c>
      <c r="B1452" s="1">
        <f>DATE(2012,5,30) + TIME(5,35,4)</f>
        <v>41059.232685185183</v>
      </c>
      <c r="C1452">
        <v>80</v>
      </c>
      <c r="D1452">
        <v>79.967399596999996</v>
      </c>
      <c r="E1452">
        <v>50</v>
      </c>
      <c r="F1452">
        <v>48.041339874000002</v>
      </c>
      <c r="G1452">
        <v>1346.3547363</v>
      </c>
      <c r="H1452">
        <v>1342.1490478999999</v>
      </c>
      <c r="I1452">
        <v>1321.3222656</v>
      </c>
      <c r="J1452">
        <v>1317.0073242000001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760.80476399999998</v>
      </c>
      <c r="B1453" s="1">
        <f>DATE(2012,5,30) + TIME(19,18,51)</f>
        <v>41059.804756944446</v>
      </c>
      <c r="C1453">
        <v>80</v>
      </c>
      <c r="D1453">
        <v>79.967361449999999</v>
      </c>
      <c r="E1453">
        <v>50</v>
      </c>
      <c r="F1453">
        <v>48.012676239000001</v>
      </c>
      <c r="G1453">
        <v>1346.3400879000001</v>
      </c>
      <c r="H1453">
        <v>1342.1411132999999</v>
      </c>
      <c r="I1453">
        <v>1321.3162841999999</v>
      </c>
      <c r="J1453">
        <v>1316.9993896000001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761.39032199999997</v>
      </c>
      <c r="B1454" s="1">
        <f>DATE(2012,5,31) + TIME(9,22,3)</f>
        <v>41060.3903125</v>
      </c>
      <c r="C1454">
        <v>80</v>
      </c>
      <c r="D1454">
        <v>79.967323303000001</v>
      </c>
      <c r="E1454">
        <v>50</v>
      </c>
      <c r="F1454">
        <v>47.983604431000003</v>
      </c>
      <c r="G1454">
        <v>1346.3253173999999</v>
      </c>
      <c r="H1454">
        <v>1342.1331786999999</v>
      </c>
      <c r="I1454">
        <v>1321.3100586</v>
      </c>
      <c r="J1454">
        <v>1316.9910889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761.69516099999998</v>
      </c>
      <c r="B1455" s="1">
        <f>DATE(2012,5,31) + TIME(16,41,1)</f>
        <v>41060.695150462961</v>
      </c>
      <c r="C1455">
        <v>80</v>
      </c>
      <c r="D1455">
        <v>79.967292786000002</v>
      </c>
      <c r="E1455">
        <v>50</v>
      </c>
      <c r="F1455">
        <v>47.964481354</v>
      </c>
      <c r="G1455">
        <v>1346.3103027</v>
      </c>
      <c r="H1455">
        <v>1342.1251221</v>
      </c>
      <c r="I1455">
        <v>1321.3035889</v>
      </c>
      <c r="J1455">
        <v>1316.9831543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762</v>
      </c>
      <c r="B1456" s="1">
        <f>DATE(2012,6,1) + TIME(0,0,0)</f>
        <v>41061</v>
      </c>
      <c r="C1456">
        <v>80</v>
      </c>
      <c r="D1456">
        <v>79.967262267999999</v>
      </c>
      <c r="E1456">
        <v>50</v>
      </c>
      <c r="F1456">
        <v>47.946502686000002</v>
      </c>
      <c r="G1456">
        <v>1346.3027344</v>
      </c>
      <c r="H1456">
        <v>1342.1209716999999</v>
      </c>
      <c r="I1456">
        <v>1321.3001709</v>
      </c>
      <c r="J1456">
        <v>1316.9782714999999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762.30216399999995</v>
      </c>
      <c r="B1457" s="1">
        <f>DATE(2012,6,1) + TIME(7,15,7)</f>
        <v>41061.302164351851</v>
      </c>
      <c r="C1457">
        <v>80</v>
      </c>
      <c r="D1457">
        <v>79.967239379999995</v>
      </c>
      <c r="E1457">
        <v>50</v>
      </c>
      <c r="F1457">
        <v>47.929470062</v>
      </c>
      <c r="G1457">
        <v>1346.2951660000001</v>
      </c>
      <c r="H1457">
        <v>1342.1168213000001</v>
      </c>
      <c r="I1457">
        <v>1321.2966309000001</v>
      </c>
      <c r="J1457">
        <v>1316.9735106999999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762.60432900000001</v>
      </c>
      <c r="B1458" s="1">
        <f>DATE(2012,6,1) + TIME(14,30,14)</f>
        <v>41061.604328703703</v>
      </c>
      <c r="C1458">
        <v>80</v>
      </c>
      <c r="D1458">
        <v>79.967216492000006</v>
      </c>
      <c r="E1458">
        <v>50</v>
      </c>
      <c r="F1458">
        <v>47.913055419999999</v>
      </c>
      <c r="G1458">
        <v>1346.2877197</v>
      </c>
      <c r="H1458">
        <v>1342.112793</v>
      </c>
      <c r="I1458">
        <v>1321.2932129000001</v>
      </c>
      <c r="J1458">
        <v>1316.96875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762.90649299999995</v>
      </c>
      <c r="B1459" s="1">
        <f>DATE(2012,6,1) + TIME(21,45,21)</f>
        <v>41061.906493055554</v>
      </c>
      <c r="C1459">
        <v>80</v>
      </c>
      <c r="D1459">
        <v>79.967201232999997</v>
      </c>
      <c r="E1459">
        <v>50</v>
      </c>
      <c r="F1459">
        <v>47.897102355999998</v>
      </c>
      <c r="G1459">
        <v>1346.2802733999999</v>
      </c>
      <c r="H1459">
        <v>1342.1087646000001</v>
      </c>
      <c r="I1459">
        <v>1321.2897949000001</v>
      </c>
      <c r="J1459">
        <v>1316.9639893000001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763.20865800000001</v>
      </c>
      <c r="B1460" s="1">
        <f>DATE(2012,6,2) + TIME(5,0,28)</f>
        <v>41062.208657407406</v>
      </c>
      <c r="C1460">
        <v>80</v>
      </c>
      <c r="D1460">
        <v>79.967178344999994</v>
      </c>
      <c r="E1460">
        <v>50</v>
      </c>
      <c r="F1460">
        <v>47.8814888</v>
      </c>
      <c r="G1460">
        <v>1346.2729492000001</v>
      </c>
      <c r="H1460">
        <v>1342.1047363</v>
      </c>
      <c r="I1460">
        <v>1321.2862548999999</v>
      </c>
      <c r="J1460">
        <v>1316.9593506000001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763.51082199999996</v>
      </c>
      <c r="B1461" s="1">
        <f>DATE(2012,6,2) + TIME(12,15,35)</f>
        <v>41062.510821759257</v>
      </c>
      <c r="C1461">
        <v>80</v>
      </c>
      <c r="D1461">
        <v>79.967163085999999</v>
      </c>
      <c r="E1461">
        <v>50</v>
      </c>
      <c r="F1461">
        <v>47.866142273000001</v>
      </c>
      <c r="G1461">
        <v>1346.265625</v>
      </c>
      <c r="H1461">
        <v>1342.1008300999999</v>
      </c>
      <c r="I1461">
        <v>1321.2828368999999</v>
      </c>
      <c r="J1461">
        <v>1316.9545897999999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763.81298600000002</v>
      </c>
      <c r="B1462" s="1">
        <f>DATE(2012,6,2) + TIME(19,30,42)</f>
        <v>41062.812986111108</v>
      </c>
      <c r="C1462">
        <v>80</v>
      </c>
      <c r="D1462">
        <v>79.967140197999996</v>
      </c>
      <c r="E1462">
        <v>50</v>
      </c>
      <c r="F1462">
        <v>47.851001740000001</v>
      </c>
      <c r="G1462">
        <v>1346.2584228999999</v>
      </c>
      <c r="H1462">
        <v>1342.0969238</v>
      </c>
      <c r="I1462">
        <v>1321.2792969</v>
      </c>
      <c r="J1462">
        <v>1316.9498291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764.41731500000003</v>
      </c>
      <c r="B1463" s="1">
        <f>DATE(2012,6,3) + TIME(10,0,56)</f>
        <v>41063.417314814818</v>
      </c>
      <c r="C1463">
        <v>80</v>
      </c>
      <c r="D1463">
        <v>79.967117310000006</v>
      </c>
      <c r="E1463">
        <v>50</v>
      </c>
      <c r="F1463">
        <v>47.827632903999998</v>
      </c>
      <c r="G1463">
        <v>1346.2513428</v>
      </c>
      <c r="H1463">
        <v>1342.0931396000001</v>
      </c>
      <c r="I1463">
        <v>1321.2757568</v>
      </c>
      <c r="J1463">
        <v>1316.9445800999999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765.02403100000004</v>
      </c>
      <c r="B1464" s="1">
        <f>DATE(2012,6,4) + TIME(0,34,36)</f>
        <v>41064.024027777778</v>
      </c>
      <c r="C1464">
        <v>80</v>
      </c>
      <c r="D1464">
        <v>79.967094420999999</v>
      </c>
      <c r="E1464">
        <v>50</v>
      </c>
      <c r="F1464">
        <v>47.801731109999999</v>
      </c>
      <c r="G1464">
        <v>1346.2371826000001</v>
      </c>
      <c r="H1464">
        <v>1342.0854492000001</v>
      </c>
      <c r="I1464">
        <v>1321.2687988</v>
      </c>
      <c r="J1464">
        <v>1316.9354248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765.64095499999996</v>
      </c>
      <c r="B1465" s="1">
        <f>DATE(2012,6,4) + TIME(15,22,58)</f>
        <v>41064.640949074077</v>
      </c>
      <c r="C1465">
        <v>80</v>
      </c>
      <c r="D1465">
        <v>79.967056274000001</v>
      </c>
      <c r="E1465">
        <v>50</v>
      </c>
      <c r="F1465">
        <v>47.774257660000004</v>
      </c>
      <c r="G1465">
        <v>1346.2230225000001</v>
      </c>
      <c r="H1465">
        <v>1342.0777588000001</v>
      </c>
      <c r="I1465">
        <v>1321.2617187999999</v>
      </c>
      <c r="J1465">
        <v>1316.9260254000001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766.27000499999997</v>
      </c>
      <c r="B1466" s="1">
        <f>DATE(2012,6,5) + TIME(6,28,48)</f>
        <v>41065.269999999997</v>
      </c>
      <c r="C1466">
        <v>80</v>
      </c>
      <c r="D1466">
        <v>79.967025757000002</v>
      </c>
      <c r="E1466">
        <v>50</v>
      </c>
      <c r="F1466">
        <v>47.745735168000003</v>
      </c>
      <c r="G1466">
        <v>1346.2089844</v>
      </c>
      <c r="H1466">
        <v>1342.0700684000001</v>
      </c>
      <c r="I1466">
        <v>1321.2543945</v>
      </c>
      <c r="J1466">
        <v>1316.9161377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766.91286600000001</v>
      </c>
      <c r="B1467" s="1">
        <f>DATE(2012,6,5) + TIME(21,54,31)</f>
        <v>41065.912858796299</v>
      </c>
      <c r="C1467">
        <v>80</v>
      </c>
      <c r="D1467">
        <v>79.966987610000004</v>
      </c>
      <c r="E1467">
        <v>50</v>
      </c>
      <c r="F1467">
        <v>47.716430664000001</v>
      </c>
      <c r="G1467">
        <v>1346.1948242000001</v>
      </c>
      <c r="H1467">
        <v>1342.0623779</v>
      </c>
      <c r="I1467">
        <v>1321.2468262</v>
      </c>
      <c r="J1467">
        <v>1316.9057617000001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767.56810199999995</v>
      </c>
      <c r="B1468" s="1">
        <f>DATE(2012,6,6) + TIME(13,38,4)</f>
        <v>41066.568101851852</v>
      </c>
      <c r="C1468">
        <v>80</v>
      </c>
      <c r="D1468">
        <v>79.966957092000001</v>
      </c>
      <c r="E1468">
        <v>50</v>
      </c>
      <c r="F1468">
        <v>47.686542510999999</v>
      </c>
      <c r="G1468">
        <v>1346.1805420000001</v>
      </c>
      <c r="H1468">
        <v>1342.0545654</v>
      </c>
      <c r="I1468">
        <v>1321.2388916</v>
      </c>
      <c r="J1468">
        <v>1316.8951416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768.23263399999996</v>
      </c>
      <c r="B1469" s="1">
        <f>DATE(2012,6,7) + TIME(5,34,59)</f>
        <v>41067.232627314814</v>
      </c>
      <c r="C1469">
        <v>80</v>
      </c>
      <c r="D1469">
        <v>79.966918945000003</v>
      </c>
      <c r="E1469">
        <v>50</v>
      </c>
      <c r="F1469">
        <v>47.656261444000002</v>
      </c>
      <c r="G1469">
        <v>1346.1661377</v>
      </c>
      <c r="H1469">
        <v>1342.0467529</v>
      </c>
      <c r="I1469">
        <v>1321.2307129000001</v>
      </c>
      <c r="J1469">
        <v>1316.8840332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768.908683</v>
      </c>
      <c r="B1470" s="1">
        <f>DATE(2012,6,7) + TIME(21,48,30)</f>
        <v>41067.908680555556</v>
      </c>
      <c r="C1470">
        <v>80</v>
      </c>
      <c r="D1470">
        <v>79.966888428000004</v>
      </c>
      <c r="E1470">
        <v>50</v>
      </c>
      <c r="F1470">
        <v>47.62562561</v>
      </c>
      <c r="G1470">
        <v>1346.1518555</v>
      </c>
      <c r="H1470">
        <v>1342.0388184000001</v>
      </c>
      <c r="I1470">
        <v>1321.2224120999999</v>
      </c>
      <c r="J1470">
        <v>1316.8726807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769.59805100000005</v>
      </c>
      <c r="B1471" s="1">
        <f>DATE(2012,6,8) + TIME(14,21,11)</f>
        <v>41068.598043981481</v>
      </c>
      <c r="C1471">
        <v>80</v>
      </c>
      <c r="D1471">
        <v>79.966850281000006</v>
      </c>
      <c r="E1471">
        <v>50</v>
      </c>
      <c r="F1471">
        <v>47.594631194999998</v>
      </c>
      <c r="G1471">
        <v>1346.1374512</v>
      </c>
      <c r="H1471">
        <v>1342.0310059000001</v>
      </c>
      <c r="I1471">
        <v>1321.2137451000001</v>
      </c>
      <c r="J1471">
        <v>1316.8608397999999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770.30296899999996</v>
      </c>
      <c r="B1472" s="1">
        <f>DATE(2012,6,9) + TIME(7,16,16)</f>
        <v>41069.30296296296</v>
      </c>
      <c r="C1472">
        <v>80</v>
      </c>
      <c r="D1472">
        <v>79.966819763000004</v>
      </c>
      <c r="E1472">
        <v>50</v>
      </c>
      <c r="F1472">
        <v>47.563232421999999</v>
      </c>
      <c r="G1472">
        <v>1346.1230469</v>
      </c>
      <c r="H1472">
        <v>1342.0230713000001</v>
      </c>
      <c r="I1472">
        <v>1321.2048339999999</v>
      </c>
      <c r="J1472">
        <v>1316.8486327999999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771.025847</v>
      </c>
      <c r="B1473" s="1">
        <f>DATE(2012,6,10) + TIME(0,37,13)</f>
        <v>41070.02584490741</v>
      </c>
      <c r="C1473">
        <v>80</v>
      </c>
      <c r="D1473">
        <v>79.966781616000006</v>
      </c>
      <c r="E1473">
        <v>50</v>
      </c>
      <c r="F1473">
        <v>47.531356811999999</v>
      </c>
      <c r="G1473">
        <v>1346.1085204999999</v>
      </c>
      <c r="H1473">
        <v>1342.0150146000001</v>
      </c>
      <c r="I1473">
        <v>1321.1956786999999</v>
      </c>
      <c r="J1473">
        <v>1316.8359375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771.76935100000003</v>
      </c>
      <c r="B1474" s="1">
        <f>DATE(2012,6,10) + TIME(18,27,51)</f>
        <v>41070.76934027778</v>
      </c>
      <c r="C1474">
        <v>80</v>
      </c>
      <c r="D1474">
        <v>79.966743468999994</v>
      </c>
      <c r="E1474">
        <v>50</v>
      </c>
      <c r="F1474">
        <v>47.498928069999998</v>
      </c>
      <c r="G1474">
        <v>1346.09375</v>
      </c>
      <c r="H1474">
        <v>1342.0069579999999</v>
      </c>
      <c r="I1474">
        <v>1321.1861572</v>
      </c>
      <c r="J1474">
        <v>1316.8227539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772.15054699999996</v>
      </c>
      <c r="B1475" s="1">
        <f>DATE(2012,6,11) + TIME(3,36,47)</f>
        <v>41071.150543981479</v>
      </c>
      <c r="C1475">
        <v>80</v>
      </c>
      <c r="D1475">
        <v>79.966720581000004</v>
      </c>
      <c r="E1475">
        <v>50</v>
      </c>
      <c r="F1475">
        <v>47.476966857999997</v>
      </c>
      <c r="G1475">
        <v>1346.0787353999999</v>
      </c>
      <c r="H1475">
        <v>1341.9985352000001</v>
      </c>
      <c r="I1475">
        <v>1321.1763916</v>
      </c>
      <c r="J1475">
        <v>1316.8100586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772.53174300000001</v>
      </c>
      <c r="B1476" s="1">
        <f>DATE(2012,6,11) + TIME(12,45,42)</f>
        <v>41071.531736111108</v>
      </c>
      <c r="C1476">
        <v>80</v>
      </c>
      <c r="D1476">
        <v>79.966690063000001</v>
      </c>
      <c r="E1476">
        <v>50</v>
      </c>
      <c r="F1476">
        <v>47.456768036</v>
      </c>
      <c r="G1476">
        <v>1346.0711670000001</v>
      </c>
      <c r="H1476">
        <v>1341.9943848</v>
      </c>
      <c r="I1476">
        <v>1321.1708983999999</v>
      </c>
      <c r="J1476">
        <v>1316.8022461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772.91293800000005</v>
      </c>
      <c r="B1477" s="1">
        <f>DATE(2012,6,11) + TIME(21,54,37)</f>
        <v>41071.912928240738</v>
      </c>
      <c r="C1477">
        <v>80</v>
      </c>
      <c r="D1477">
        <v>79.966674804999997</v>
      </c>
      <c r="E1477">
        <v>50</v>
      </c>
      <c r="F1477">
        <v>47.437770843999999</v>
      </c>
      <c r="G1477">
        <v>1346.0637207</v>
      </c>
      <c r="H1477">
        <v>1341.9902344</v>
      </c>
      <c r="I1477">
        <v>1321.1655272999999</v>
      </c>
      <c r="J1477">
        <v>1316.7945557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773.29413399999999</v>
      </c>
      <c r="B1478" s="1">
        <f>DATE(2012,6,12) + TIME(7,3,33)</f>
        <v>41072.294131944444</v>
      </c>
      <c r="C1478">
        <v>80</v>
      </c>
      <c r="D1478">
        <v>79.966651916999993</v>
      </c>
      <c r="E1478">
        <v>50</v>
      </c>
      <c r="F1478">
        <v>47.419597625999998</v>
      </c>
      <c r="G1478">
        <v>1346.0562743999999</v>
      </c>
      <c r="H1478">
        <v>1341.9860839999999</v>
      </c>
      <c r="I1478">
        <v>1321.1601562000001</v>
      </c>
      <c r="J1478">
        <v>1316.7869873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774.05652599999996</v>
      </c>
      <c r="B1479" s="1">
        <f>DATE(2012,6,13) + TIME(1,21,23)</f>
        <v>41073.056516203702</v>
      </c>
      <c r="C1479">
        <v>80</v>
      </c>
      <c r="D1479">
        <v>79.966636657999999</v>
      </c>
      <c r="E1479">
        <v>50</v>
      </c>
      <c r="F1479">
        <v>47.393161773999999</v>
      </c>
      <c r="G1479">
        <v>1346.0490723</v>
      </c>
      <c r="H1479">
        <v>1341.9820557</v>
      </c>
      <c r="I1479">
        <v>1321.1545410000001</v>
      </c>
      <c r="J1479">
        <v>1316.7785644999999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774.81931699999996</v>
      </c>
      <c r="B1480" s="1">
        <f>DATE(2012,6,13) + TIME(19,39,49)</f>
        <v>41073.81931712963</v>
      </c>
      <c r="C1480">
        <v>80</v>
      </c>
      <c r="D1480">
        <v>79.966606139999996</v>
      </c>
      <c r="E1480">
        <v>50</v>
      </c>
      <c r="F1480">
        <v>47.363586425999998</v>
      </c>
      <c r="G1480">
        <v>1346.0344238</v>
      </c>
      <c r="H1480">
        <v>1341.973999</v>
      </c>
      <c r="I1480">
        <v>1321.1442870999999</v>
      </c>
      <c r="J1480">
        <v>1316.7645264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775.58662300000003</v>
      </c>
      <c r="B1481" s="1">
        <f>DATE(2012,6,14) + TIME(14,4,44)</f>
        <v>41074.58662037037</v>
      </c>
      <c r="C1481">
        <v>80</v>
      </c>
      <c r="D1481">
        <v>79.966575622999997</v>
      </c>
      <c r="E1481">
        <v>50</v>
      </c>
      <c r="F1481">
        <v>47.332481383999998</v>
      </c>
      <c r="G1481">
        <v>1346.0198975000001</v>
      </c>
      <c r="H1481">
        <v>1341.9659423999999</v>
      </c>
      <c r="I1481">
        <v>1321.1336670000001</v>
      </c>
      <c r="J1481">
        <v>1316.7498779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776.36413100000004</v>
      </c>
      <c r="B1482" s="1">
        <f>DATE(2012,6,15) + TIME(8,44,20)</f>
        <v>41075.364120370374</v>
      </c>
      <c r="C1482">
        <v>80</v>
      </c>
      <c r="D1482">
        <v>79.966545104999994</v>
      </c>
      <c r="E1482">
        <v>50</v>
      </c>
      <c r="F1482">
        <v>47.300533295000001</v>
      </c>
      <c r="G1482">
        <v>1346.0056152</v>
      </c>
      <c r="H1482">
        <v>1341.9578856999999</v>
      </c>
      <c r="I1482">
        <v>1321.1228027</v>
      </c>
      <c r="J1482">
        <v>1316.7346190999999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777.15200800000002</v>
      </c>
      <c r="B1483" s="1">
        <f>DATE(2012,6,16) + TIME(3,38,53)</f>
        <v>41076.152002314811</v>
      </c>
      <c r="C1483">
        <v>80</v>
      </c>
      <c r="D1483">
        <v>79.966514587000006</v>
      </c>
      <c r="E1483">
        <v>50</v>
      </c>
      <c r="F1483">
        <v>47.268070221000002</v>
      </c>
      <c r="G1483">
        <v>1345.9913329999999</v>
      </c>
      <c r="H1483">
        <v>1341.9499512</v>
      </c>
      <c r="I1483">
        <v>1321.1115723</v>
      </c>
      <c r="J1483">
        <v>1316.7189940999999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777.94943000000001</v>
      </c>
      <c r="B1484" s="1">
        <f>DATE(2012,6,16) + TIME(22,47,10)</f>
        <v>41076.949421296296</v>
      </c>
      <c r="C1484">
        <v>80</v>
      </c>
      <c r="D1484">
        <v>79.966484070000007</v>
      </c>
      <c r="E1484">
        <v>50</v>
      </c>
      <c r="F1484">
        <v>47.235290526999997</v>
      </c>
      <c r="G1484">
        <v>1345.9770507999999</v>
      </c>
      <c r="H1484">
        <v>1341.9418945</v>
      </c>
      <c r="I1484">
        <v>1321.0999756000001</v>
      </c>
      <c r="J1484">
        <v>1316.7027588000001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778.75691900000004</v>
      </c>
      <c r="B1485" s="1">
        <f>DATE(2012,6,17) + TIME(18,9,57)</f>
        <v>41077.756909722222</v>
      </c>
      <c r="C1485">
        <v>80</v>
      </c>
      <c r="D1485">
        <v>79.966453552000004</v>
      </c>
      <c r="E1485">
        <v>50</v>
      </c>
      <c r="F1485">
        <v>47.202285766999999</v>
      </c>
      <c r="G1485">
        <v>1345.9627685999999</v>
      </c>
      <c r="H1485">
        <v>1341.9338379000001</v>
      </c>
      <c r="I1485">
        <v>1321.0881348</v>
      </c>
      <c r="J1485">
        <v>1316.6861572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779.57836599999996</v>
      </c>
      <c r="B1486" s="1">
        <f>DATE(2012,6,18) + TIME(13,52,50)</f>
        <v>41078.578356481485</v>
      </c>
      <c r="C1486">
        <v>80</v>
      </c>
      <c r="D1486">
        <v>79.966423035000005</v>
      </c>
      <c r="E1486">
        <v>50</v>
      </c>
      <c r="F1486">
        <v>47.169021606000001</v>
      </c>
      <c r="G1486">
        <v>1345.9486084</v>
      </c>
      <c r="H1486">
        <v>1341.9257812000001</v>
      </c>
      <c r="I1486">
        <v>1321.0760498</v>
      </c>
      <c r="J1486">
        <v>1316.6690673999999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780.41628600000001</v>
      </c>
      <c r="B1487" s="1">
        <f>DATE(2012,6,19) + TIME(9,59,27)</f>
        <v>41079.416284722225</v>
      </c>
      <c r="C1487">
        <v>80</v>
      </c>
      <c r="D1487">
        <v>79.966392517000003</v>
      </c>
      <c r="E1487">
        <v>50</v>
      </c>
      <c r="F1487">
        <v>47.135437011999997</v>
      </c>
      <c r="G1487">
        <v>1345.9342041</v>
      </c>
      <c r="H1487">
        <v>1341.9177245999999</v>
      </c>
      <c r="I1487">
        <v>1321.0634766000001</v>
      </c>
      <c r="J1487">
        <v>1316.6513672000001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781.27400899999998</v>
      </c>
      <c r="B1488" s="1">
        <f>DATE(2012,6,20) + TIME(6,34,34)</f>
        <v>41080.274004629631</v>
      </c>
      <c r="C1488">
        <v>80</v>
      </c>
      <c r="D1488">
        <v>79.966362000000004</v>
      </c>
      <c r="E1488">
        <v>50</v>
      </c>
      <c r="F1488">
        <v>47.101440429999997</v>
      </c>
      <c r="G1488">
        <v>1345.9199219</v>
      </c>
      <c r="H1488">
        <v>1341.909668</v>
      </c>
      <c r="I1488">
        <v>1321.0506591999999</v>
      </c>
      <c r="J1488">
        <v>1316.6331786999999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782.15049999999997</v>
      </c>
      <c r="B1489" s="1">
        <f>DATE(2012,6,21) + TIME(3,36,43)</f>
        <v>41081.150497685187</v>
      </c>
      <c r="C1489">
        <v>80</v>
      </c>
      <c r="D1489">
        <v>79.966331482000001</v>
      </c>
      <c r="E1489">
        <v>50</v>
      </c>
      <c r="F1489">
        <v>47.067008971999996</v>
      </c>
      <c r="G1489">
        <v>1345.9053954999999</v>
      </c>
      <c r="H1489">
        <v>1341.9013672000001</v>
      </c>
      <c r="I1489">
        <v>1321.0373535000001</v>
      </c>
      <c r="J1489">
        <v>1316.6142577999999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783.04411300000004</v>
      </c>
      <c r="B1490" s="1">
        <f>DATE(2012,6,22) + TIME(1,3,31)</f>
        <v>41082.044108796297</v>
      </c>
      <c r="C1490">
        <v>80</v>
      </c>
      <c r="D1490">
        <v>79.966300963999998</v>
      </c>
      <c r="E1490">
        <v>50</v>
      </c>
      <c r="F1490">
        <v>47.032169342000003</v>
      </c>
      <c r="G1490">
        <v>1345.8907471</v>
      </c>
      <c r="H1490">
        <v>1341.8930664</v>
      </c>
      <c r="I1490">
        <v>1321.0235596</v>
      </c>
      <c r="J1490">
        <v>1316.5946045000001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783.95795299999997</v>
      </c>
      <c r="B1491" s="1">
        <f>DATE(2012,6,22) + TIME(22,59,27)</f>
        <v>41082.957951388889</v>
      </c>
      <c r="C1491">
        <v>80</v>
      </c>
      <c r="D1491">
        <v>79.966270446999999</v>
      </c>
      <c r="E1491">
        <v>50</v>
      </c>
      <c r="F1491">
        <v>46.996887207</v>
      </c>
      <c r="G1491">
        <v>1345.8759766000001</v>
      </c>
      <c r="H1491">
        <v>1341.8846435999999</v>
      </c>
      <c r="I1491">
        <v>1321.0092772999999</v>
      </c>
      <c r="J1491">
        <v>1316.5743408000001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784.89517599999999</v>
      </c>
      <c r="B1492" s="1">
        <f>DATE(2012,6,23) + TIME(21,29,3)</f>
        <v>41083.895173611112</v>
      </c>
      <c r="C1492">
        <v>80</v>
      </c>
      <c r="D1492">
        <v>79.966239928999997</v>
      </c>
      <c r="E1492">
        <v>50</v>
      </c>
      <c r="F1492">
        <v>46.961093902999998</v>
      </c>
      <c r="G1492">
        <v>1345.8612060999999</v>
      </c>
      <c r="H1492">
        <v>1341.8762207</v>
      </c>
      <c r="I1492">
        <v>1320.9945068</v>
      </c>
      <c r="J1492">
        <v>1316.5533447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785.37154199999998</v>
      </c>
      <c r="B1493" s="1">
        <f>DATE(2012,6,24) + TIME(8,55,1)</f>
        <v>41084.371539351851</v>
      </c>
      <c r="C1493">
        <v>80</v>
      </c>
      <c r="D1493">
        <v>79.966217040999993</v>
      </c>
      <c r="E1493">
        <v>50</v>
      </c>
      <c r="F1493">
        <v>46.936027527</v>
      </c>
      <c r="G1493">
        <v>1345.8460693</v>
      </c>
      <c r="H1493">
        <v>1341.8675536999999</v>
      </c>
      <c r="I1493">
        <v>1320.9799805</v>
      </c>
      <c r="J1493">
        <v>1316.5333252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785.84790899999996</v>
      </c>
      <c r="B1494" s="1">
        <f>DATE(2012,6,24) + TIME(20,20,59)</f>
        <v>41084.847905092596</v>
      </c>
      <c r="C1494">
        <v>80</v>
      </c>
      <c r="D1494">
        <v>79.966194153000004</v>
      </c>
      <c r="E1494">
        <v>50</v>
      </c>
      <c r="F1494">
        <v>46.913608551000003</v>
      </c>
      <c r="G1494">
        <v>1345.838501</v>
      </c>
      <c r="H1494">
        <v>1341.8631591999999</v>
      </c>
      <c r="I1494">
        <v>1320.9714355000001</v>
      </c>
      <c r="J1494">
        <v>1316.5207519999999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786.32427499999994</v>
      </c>
      <c r="B1495" s="1">
        <f>DATE(2012,6,25) + TIME(7,46,57)</f>
        <v>41085.324270833335</v>
      </c>
      <c r="C1495">
        <v>80</v>
      </c>
      <c r="D1495">
        <v>79.966178893999995</v>
      </c>
      <c r="E1495">
        <v>50</v>
      </c>
      <c r="F1495">
        <v>46.892841339</v>
      </c>
      <c r="G1495">
        <v>1345.8310547000001</v>
      </c>
      <c r="H1495">
        <v>1341.8588867000001</v>
      </c>
      <c r="I1495">
        <v>1320.9631348</v>
      </c>
      <c r="J1495">
        <v>1316.5085449000001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786.80064200000004</v>
      </c>
      <c r="B1496" s="1">
        <f>DATE(2012,6,25) + TIME(19,12,55)</f>
        <v>41085.800636574073</v>
      </c>
      <c r="C1496">
        <v>80</v>
      </c>
      <c r="D1496">
        <v>79.966156006000006</v>
      </c>
      <c r="E1496">
        <v>50</v>
      </c>
      <c r="F1496">
        <v>46.873123169000003</v>
      </c>
      <c r="G1496">
        <v>1345.8237305</v>
      </c>
      <c r="H1496">
        <v>1341.8544922000001</v>
      </c>
      <c r="I1496">
        <v>1320.9549560999999</v>
      </c>
      <c r="J1496">
        <v>1316.496582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787.27700800000002</v>
      </c>
      <c r="B1497" s="1">
        <f>DATE(2012,6,26) + TIME(6,38,53)</f>
        <v>41086.277002314811</v>
      </c>
      <c r="C1497">
        <v>80</v>
      </c>
      <c r="D1497">
        <v>79.966148376000007</v>
      </c>
      <c r="E1497">
        <v>50</v>
      </c>
      <c r="F1497">
        <v>46.854080199999999</v>
      </c>
      <c r="G1497">
        <v>1345.8162841999999</v>
      </c>
      <c r="H1497">
        <v>1341.8503418</v>
      </c>
      <c r="I1497">
        <v>1320.9467772999999</v>
      </c>
      <c r="J1497">
        <v>1316.4847411999999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787.75337500000001</v>
      </c>
      <c r="B1498" s="1">
        <f>DATE(2012,6,26) + TIME(18,4,51)</f>
        <v>41086.753368055557</v>
      </c>
      <c r="C1498">
        <v>80</v>
      </c>
      <c r="D1498">
        <v>79.966133118000002</v>
      </c>
      <c r="E1498">
        <v>50</v>
      </c>
      <c r="F1498">
        <v>46.835483551000003</v>
      </c>
      <c r="G1498">
        <v>1345.809082</v>
      </c>
      <c r="H1498">
        <v>1341.8460693</v>
      </c>
      <c r="I1498">
        <v>1320.9385986</v>
      </c>
      <c r="J1498">
        <v>1316.4730225000001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788.70610699999997</v>
      </c>
      <c r="B1499" s="1">
        <f>DATE(2012,6,27) + TIME(16,56,47)</f>
        <v>41087.706099537034</v>
      </c>
      <c r="C1499">
        <v>80</v>
      </c>
      <c r="D1499">
        <v>79.966117858999993</v>
      </c>
      <c r="E1499">
        <v>50</v>
      </c>
      <c r="F1499">
        <v>46.809066772000001</v>
      </c>
      <c r="G1499">
        <v>1345.8018798999999</v>
      </c>
      <c r="H1499">
        <v>1341.8419189000001</v>
      </c>
      <c r="I1499">
        <v>1320.9299315999999</v>
      </c>
      <c r="J1499">
        <v>1316.4598389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789.66091300000005</v>
      </c>
      <c r="B1500" s="1">
        <f>DATE(2012,6,28) + TIME(15,51,42)</f>
        <v>41088.660902777781</v>
      </c>
      <c r="C1500">
        <v>80</v>
      </c>
      <c r="D1500">
        <v>79.966102599999999</v>
      </c>
      <c r="E1500">
        <v>50</v>
      </c>
      <c r="F1500">
        <v>46.777614593999999</v>
      </c>
      <c r="G1500">
        <v>1345.7874756000001</v>
      </c>
      <c r="H1500">
        <v>1341.8334961</v>
      </c>
      <c r="I1500">
        <v>1320.9145507999999</v>
      </c>
      <c r="J1500">
        <v>1316.4379882999999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790.63081</v>
      </c>
      <c r="B1501" s="1">
        <f>DATE(2012,6,29) + TIME(15,8,22)</f>
        <v>41089.630810185183</v>
      </c>
      <c r="C1501">
        <v>80</v>
      </c>
      <c r="D1501">
        <v>79.966072083</v>
      </c>
      <c r="E1501">
        <v>50</v>
      </c>
      <c r="F1501">
        <v>46.743858336999999</v>
      </c>
      <c r="G1501">
        <v>1345.7731934000001</v>
      </c>
      <c r="H1501">
        <v>1341.8251952999999</v>
      </c>
      <c r="I1501">
        <v>1320.8984375</v>
      </c>
      <c r="J1501">
        <v>1316.4149170000001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791.61708699999997</v>
      </c>
      <c r="B1502" s="1">
        <f>DATE(2012,6,30) + TIME(14,48,36)</f>
        <v>41090.617083333331</v>
      </c>
      <c r="C1502">
        <v>80</v>
      </c>
      <c r="D1502">
        <v>79.966049193999993</v>
      </c>
      <c r="E1502">
        <v>50</v>
      </c>
      <c r="F1502">
        <v>46.708911895999996</v>
      </c>
      <c r="G1502">
        <v>1345.7589111</v>
      </c>
      <c r="H1502">
        <v>1341.8168945</v>
      </c>
      <c r="I1502">
        <v>1320.8817139</v>
      </c>
      <c r="J1502">
        <v>1316.3907471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792</v>
      </c>
      <c r="B1503" s="1">
        <f>DATE(2012,7,1) + TIME(0,0,0)</f>
        <v>41091</v>
      </c>
      <c r="C1503">
        <v>80</v>
      </c>
      <c r="D1503">
        <v>79.966026306000003</v>
      </c>
      <c r="E1503">
        <v>50</v>
      </c>
      <c r="F1503">
        <v>46.687911987</v>
      </c>
      <c r="G1503">
        <v>1345.7446289</v>
      </c>
      <c r="H1503">
        <v>1341.8084716999999</v>
      </c>
      <c r="I1503">
        <v>1320.8656006000001</v>
      </c>
      <c r="J1503">
        <v>1316.3685303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792.995271</v>
      </c>
      <c r="B1504" s="1">
        <f>DATE(2012,7,1) + TIME(23,53,11)</f>
        <v>41091.995266203703</v>
      </c>
      <c r="C1504">
        <v>80</v>
      </c>
      <c r="D1504">
        <v>79.966011046999995</v>
      </c>
      <c r="E1504">
        <v>50</v>
      </c>
      <c r="F1504">
        <v>46.656513214</v>
      </c>
      <c r="G1504">
        <v>1345.7391356999999</v>
      </c>
      <c r="H1504">
        <v>1341.8052978999999</v>
      </c>
      <c r="I1504">
        <v>1320.8568115</v>
      </c>
      <c r="J1504">
        <v>1316.3543701000001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794.01491699999997</v>
      </c>
      <c r="B1505" s="1">
        <f>DATE(2012,7,3) + TIME(0,21,28)</f>
        <v>41093.014907407407</v>
      </c>
      <c r="C1505">
        <v>80</v>
      </c>
      <c r="D1505">
        <v>79.965988159000005</v>
      </c>
      <c r="E1505">
        <v>50</v>
      </c>
      <c r="F1505">
        <v>46.622379303000002</v>
      </c>
      <c r="G1505">
        <v>1345.7249756000001</v>
      </c>
      <c r="H1505">
        <v>1341.796875</v>
      </c>
      <c r="I1505">
        <v>1320.8395995999999</v>
      </c>
      <c r="J1505">
        <v>1316.3294678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795.05534</v>
      </c>
      <c r="B1506" s="1">
        <f>DATE(2012,7,4) + TIME(1,19,41)</f>
        <v>41094.055335648147</v>
      </c>
      <c r="C1506">
        <v>80</v>
      </c>
      <c r="D1506">
        <v>79.965965271000002</v>
      </c>
      <c r="E1506">
        <v>50</v>
      </c>
      <c r="F1506">
        <v>46.586788177000003</v>
      </c>
      <c r="G1506">
        <v>1345.7105713000001</v>
      </c>
      <c r="H1506">
        <v>1341.7884521000001</v>
      </c>
      <c r="I1506">
        <v>1320.8215332</v>
      </c>
      <c r="J1506">
        <v>1316.3031006000001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796.12073799999996</v>
      </c>
      <c r="B1507" s="1">
        <f>DATE(2012,7,5) + TIME(2,53,51)</f>
        <v>41095.120729166665</v>
      </c>
      <c r="C1507">
        <v>80</v>
      </c>
      <c r="D1507">
        <v>79.965942382999998</v>
      </c>
      <c r="E1507">
        <v>50</v>
      </c>
      <c r="F1507">
        <v>46.550289153999998</v>
      </c>
      <c r="G1507">
        <v>1345.6961670000001</v>
      </c>
      <c r="H1507">
        <v>1341.7799072</v>
      </c>
      <c r="I1507">
        <v>1320.8027344</v>
      </c>
      <c r="J1507">
        <v>1316.2757568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797.21515299999999</v>
      </c>
      <c r="B1508" s="1">
        <f>DATE(2012,7,6) + TIME(5,9,49)</f>
        <v>41096.215150462966</v>
      </c>
      <c r="C1508">
        <v>80</v>
      </c>
      <c r="D1508">
        <v>79.965919494999994</v>
      </c>
      <c r="E1508">
        <v>50</v>
      </c>
      <c r="F1508">
        <v>46.513050079000003</v>
      </c>
      <c r="G1508">
        <v>1345.6815185999999</v>
      </c>
      <c r="H1508">
        <v>1341.7712402</v>
      </c>
      <c r="I1508">
        <v>1320.7833252</v>
      </c>
      <c r="J1508">
        <v>1316.2471923999999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798.34343799999999</v>
      </c>
      <c r="B1509" s="1">
        <f>DATE(2012,7,7) + TIME(8,14,33)</f>
        <v>41097.3434375</v>
      </c>
      <c r="C1509">
        <v>80</v>
      </c>
      <c r="D1509">
        <v>79.965896606000001</v>
      </c>
      <c r="E1509">
        <v>50</v>
      </c>
      <c r="F1509">
        <v>46.475067138999997</v>
      </c>
      <c r="G1509">
        <v>1345.6667480000001</v>
      </c>
      <c r="H1509">
        <v>1341.7624512</v>
      </c>
      <c r="I1509">
        <v>1320.7631836</v>
      </c>
      <c r="J1509">
        <v>1316.2176514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799.49254699999995</v>
      </c>
      <c r="B1510" s="1">
        <f>DATE(2012,7,8) + TIME(11,49,16)</f>
        <v>41098.492546296293</v>
      </c>
      <c r="C1510">
        <v>80</v>
      </c>
      <c r="D1510">
        <v>79.965873717999997</v>
      </c>
      <c r="E1510">
        <v>50</v>
      </c>
      <c r="F1510">
        <v>46.436504364000001</v>
      </c>
      <c r="G1510">
        <v>1345.6517334</v>
      </c>
      <c r="H1510">
        <v>1341.753418</v>
      </c>
      <c r="I1510">
        <v>1320.7423096</v>
      </c>
      <c r="J1510">
        <v>1316.1868896000001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800.64635699999997</v>
      </c>
      <c r="B1511" s="1">
        <f>DATE(2012,7,9) + TIME(15,30,45)</f>
        <v>41099.646354166667</v>
      </c>
      <c r="C1511">
        <v>80</v>
      </c>
      <c r="D1511">
        <v>79.965850829999994</v>
      </c>
      <c r="E1511">
        <v>50</v>
      </c>
      <c r="F1511">
        <v>46.397747039999999</v>
      </c>
      <c r="G1511">
        <v>1345.6365966999999</v>
      </c>
      <c r="H1511">
        <v>1341.7443848</v>
      </c>
      <c r="I1511">
        <v>1320.7208252</v>
      </c>
      <c r="J1511">
        <v>1316.1551514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801.80121399999996</v>
      </c>
      <c r="B1512" s="1">
        <f>DATE(2012,7,10) + TIME(19,13,44)</f>
        <v>41100.801203703704</v>
      </c>
      <c r="C1512">
        <v>80</v>
      </c>
      <c r="D1512">
        <v>79.965827942000004</v>
      </c>
      <c r="E1512">
        <v>50</v>
      </c>
      <c r="F1512">
        <v>46.359115600999999</v>
      </c>
      <c r="G1512">
        <v>1345.6217041</v>
      </c>
      <c r="H1512">
        <v>1341.7353516000001</v>
      </c>
      <c r="I1512">
        <v>1320.6989745999999</v>
      </c>
      <c r="J1512">
        <v>1316.1230469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802.96129499999995</v>
      </c>
      <c r="B1513" s="1">
        <f>DATE(2012,7,11) + TIME(23,4,15)</f>
        <v>41101.961284722223</v>
      </c>
      <c r="C1513">
        <v>80</v>
      </c>
      <c r="D1513">
        <v>79.965812682999996</v>
      </c>
      <c r="E1513">
        <v>50</v>
      </c>
      <c r="F1513">
        <v>46.320716857999997</v>
      </c>
      <c r="G1513">
        <v>1345.6069336</v>
      </c>
      <c r="H1513">
        <v>1341.7264404</v>
      </c>
      <c r="I1513">
        <v>1320.6770019999999</v>
      </c>
      <c r="J1513">
        <v>1316.090332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804.12700900000004</v>
      </c>
      <c r="B1514" s="1">
        <f>DATE(2012,7,13) + TIME(3,2,53)</f>
        <v>41103.127002314817</v>
      </c>
      <c r="C1514">
        <v>80</v>
      </c>
      <c r="D1514">
        <v>79.965789795000006</v>
      </c>
      <c r="E1514">
        <v>50</v>
      </c>
      <c r="F1514">
        <v>46.282569885000001</v>
      </c>
      <c r="G1514">
        <v>1345.5922852000001</v>
      </c>
      <c r="H1514">
        <v>1341.7175293</v>
      </c>
      <c r="I1514">
        <v>1320.6547852000001</v>
      </c>
      <c r="J1514">
        <v>1316.057251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805.29698699999994</v>
      </c>
      <c r="B1515" s="1">
        <f>DATE(2012,7,14) + TIME(7,7,39)</f>
        <v>41104.296979166669</v>
      </c>
      <c r="C1515">
        <v>80</v>
      </c>
      <c r="D1515">
        <v>79.965766907000003</v>
      </c>
      <c r="E1515">
        <v>50</v>
      </c>
      <c r="F1515">
        <v>46.244701384999999</v>
      </c>
      <c r="G1515">
        <v>1345.5777588000001</v>
      </c>
      <c r="H1515">
        <v>1341.7087402</v>
      </c>
      <c r="I1515">
        <v>1320.6322021000001</v>
      </c>
      <c r="J1515">
        <v>1316.0236815999999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806.47512900000004</v>
      </c>
      <c r="B1516" s="1">
        <f>DATE(2012,7,15) + TIME(11,24,11)</f>
        <v>41105.475127314814</v>
      </c>
      <c r="C1516">
        <v>80</v>
      </c>
      <c r="D1516">
        <v>79.965751647999994</v>
      </c>
      <c r="E1516">
        <v>50</v>
      </c>
      <c r="F1516">
        <v>46.207092285000002</v>
      </c>
      <c r="G1516">
        <v>1345.5633545000001</v>
      </c>
      <c r="H1516">
        <v>1341.6999512</v>
      </c>
      <c r="I1516">
        <v>1320.6094971</v>
      </c>
      <c r="J1516">
        <v>1315.9897461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807.66543899999999</v>
      </c>
      <c r="B1517" s="1">
        <f>DATE(2012,7,16) + TIME(15,58,13)</f>
        <v>41106.66542824074</v>
      </c>
      <c r="C1517">
        <v>80</v>
      </c>
      <c r="D1517">
        <v>79.965728760000005</v>
      </c>
      <c r="E1517">
        <v>50</v>
      </c>
      <c r="F1517">
        <v>46.169681549000003</v>
      </c>
      <c r="G1517">
        <v>1345.5490723</v>
      </c>
      <c r="H1517">
        <v>1341.6912841999999</v>
      </c>
      <c r="I1517">
        <v>1320.5865478999999</v>
      </c>
      <c r="J1517">
        <v>1315.9552002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808.88070400000004</v>
      </c>
      <c r="B1518" s="1">
        <f>DATE(2012,7,17) + TIME(21,8,12)</f>
        <v>41107.880694444444</v>
      </c>
      <c r="C1518">
        <v>80</v>
      </c>
      <c r="D1518">
        <v>79.965713500999996</v>
      </c>
      <c r="E1518">
        <v>50</v>
      </c>
      <c r="F1518">
        <v>46.132278442</v>
      </c>
      <c r="G1518">
        <v>1345.5349120999999</v>
      </c>
      <c r="H1518">
        <v>1341.6824951000001</v>
      </c>
      <c r="I1518">
        <v>1320.5631103999999</v>
      </c>
      <c r="J1518">
        <v>1315.9201660000001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810.127613</v>
      </c>
      <c r="B1519" s="1">
        <f>DATE(2012,7,19) + TIME(3,3,45)</f>
        <v>41109.127604166664</v>
      </c>
      <c r="C1519">
        <v>80</v>
      </c>
      <c r="D1519">
        <v>79.965698242000002</v>
      </c>
      <c r="E1519">
        <v>50</v>
      </c>
      <c r="F1519">
        <v>46.094676970999998</v>
      </c>
      <c r="G1519">
        <v>1345.5205077999999</v>
      </c>
      <c r="H1519">
        <v>1341.6735839999999</v>
      </c>
      <c r="I1519">
        <v>1320.5391846</v>
      </c>
      <c r="J1519">
        <v>1315.8840332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811.40638799999999</v>
      </c>
      <c r="B1520" s="1">
        <f>DATE(2012,7,20) + TIME(9,45,11)</f>
        <v>41110.406377314815</v>
      </c>
      <c r="C1520">
        <v>80</v>
      </c>
      <c r="D1520">
        <v>79.965682982999994</v>
      </c>
      <c r="E1520">
        <v>50</v>
      </c>
      <c r="F1520">
        <v>46.056785583</v>
      </c>
      <c r="G1520">
        <v>1345.5059814000001</v>
      </c>
      <c r="H1520">
        <v>1341.6646728999999</v>
      </c>
      <c r="I1520">
        <v>1320.5146483999999</v>
      </c>
      <c r="J1520">
        <v>1315.8469238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812.71468000000004</v>
      </c>
      <c r="B1521" s="1">
        <f>DATE(2012,7,21) + TIME(17,9,8)</f>
        <v>41111.714675925927</v>
      </c>
      <c r="C1521">
        <v>80</v>
      </c>
      <c r="D1521">
        <v>79.965667725000003</v>
      </c>
      <c r="E1521">
        <v>50</v>
      </c>
      <c r="F1521">
        <v>46.018646240000002</v>
      </c>
      <c r="G1521">
        <v>1345.4913329999999</v>
      </c>
      <c r="H1521">
        <v>1341.6555175999999</v>
      </c>
      <c r="I1521">
        <v>1320.4892577999999</v>
      </c>
      <c r="J1521">
        <v>1315.8085937999999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814.03724599999998</v>
      </c>
      <c r="B1522" s="1">
        <f>DATE(2012,7,23) + TIME(0,53,38)</f>
        <v>41113.037245370368</v>
      </c>
      <c r="C1522">
        <v>80</v>
      </c>
      <c r="D1522">
        <v>79.965652465999995</v>
      </c>
      <c r="E1522">
        <v>50</v>
      </c>
      <c r="F1522">
        <v>45.980499268000003</v>
      </c>
      <c r="G1522">
        <v>1345.4764404</v>
      </c>
      <c r="H1522">
        <v>1341.6462402</v>
      </c>
      <c r="I1522">
        <v>1320.4632568</v>
      </c>
      <c r="J1522">
        <v>1315.769043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815.380897</v>
      </c>
      <c r="B1523" s="1">
        <f>DATE(2012,7,24) + TIME(9,8,29)</f>
        <v>41114.380891203706</v>
      </c>
      <c r="C1523">
        <v>80</v>
      </c>
      <c r="D1523">
        <v>79.965637207</v>
      </c>
      <c r="E1523">
        <v>50</v>
      </c>
      <c r="F1523">
        <v>45.942546843999999</v>
      </c>
      <c r="G1523">
        <v>1345.4616699000001</v>
      </c>
      <c r="H1523">
        <v>1341.6369629000001</v>
      </c>
      <c r="I1523">
        <v>1320.4368896000001</v>
      </c>
      <c r="J1523">
        <v>1315.7288818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816.75363700000003</v>
      </c>
      <c r="B1524" s="1">
        <f>DATE(2012,7,25) + TIME(18,5,14)</f>
        <v>41115.753634259258</v>
      </c>
      <c r="C1524">
        <v>80</v>
      </c>
      <c r="D1524">
        <v>79.965621948000006</v>
      </c>
      <c r="E1524">
        <v>50</v>
      </c>
      <c r="F1524">
        <v>45.904785156000003</v>
      </c>
      <c r="G1524">
        <v>1345.4467772999999</v>
      </c>
      <c r="H1524">
        <v>1341.6276855000001</v>
      </c>
      <c r="I1524">
        <v>1320.4100341999999</v>
      </c>
      <c r="J1524">
        <v>1315.6878661999999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818.13081599999998</v>
      </c>
      <c r="B1525" s="1">
        <f>DATE(2012,7,27) + TIME(3,8,22)</f>
        <v>41117.130810185183</v>
      </c>
      <c r="C1525">
        <v>80</v>
      </c>
      <c r="D1525">
        <v>79.965606688999998</v>
      </c>
      <c r="E1525">
        <v>50</v>
      </c>
      <c r="F1525">
        <v>45.867458343999999</v>
      </c>
      <c r="G1525">
        <v>1345.4318848</v>
      </c>
      <c r="H1525">
        <v>1341.6181641000001</v>
      </c>
      <c r="I1525">
        <v>1320.3826904</v>
      </c>
      <c r="J1525">
        <v>1315.6457519999999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819.50866900000005</v>
      </c>
      <c r="B1526" s="1">
        <f>DATE(2012,7,28) + TIME(12,12,29)</f>
        <v>41118.508668981478</v>
      </c>
      <c r="C1526">
        <v>80</v>
      </c>
      <c r="D1526">
        <v>79.965591431000007</v>
      </c>
      <c r="E1526">
        <v>50</v>
      </c>
      <c r="F1526">
        <v>45.830947876000003</v>
      </c>
      <c r="G1526">
        <v>1345.4169922000001</v>
      </c>
      <c r="H1526">
        <v>1341.6087646000001</v>
      </c>
      <c r="I1526">
        <v>1320.3549805</v>
      </c>
      <c r="J1526">
        <v>1315.6032714999999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820.89249099999995</v>
      </c>
      <c r="B1527" s="1">
        <f>DATE(2012,7,29) + TIME(21,25,11)</f>
        <v>41119.892488425925</v>
      </c>
      <c r="C1527">
        <v>80</v>
      </c>
      <c r="D1527">
        <v>79.965576171999999</v>
      </c>
      <c r="E1527">
        <v>50</v>
      </c>
      <c r="F1527">
        <v>45.795440673999998</v>
      </c>
      <c r="G1527">
        <v>1345.4024658000001</v>
      </c>
      <c r="H1527">
        <v>1341.5994873</v>
      </c>
      <c r="I1527">
        <v>1320.3273925999999</v>
      </c>
      <c r="J1527">
        <v>1315.5605469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822.287781</v>
      </c>
      <c r="B1528" s="1">
        <f>DATE(2012,7,31) + TIME(6,54,24)</f>
        <v>41121.287777777776</v>
      </c>
      <c r="C1528">
        <v>80</v>
      </c>
      <c r="D1528">
        <v>79.965568542</v>
      </c>
      <c r="E1528">
        <v>50</v>
      </c>
      <c r="F1528">
        <v>45.760993958</v>
      </c>
      <c r="G1528">
        <v>1345.3879394999999</v>
      </c>
      <c r="H1528">
        <v>1341.5902100000001</v>
      </c>
      <c r="I1528">
        <v>1320.2995605000001</v>
      </c>
      <c r="J1528">
        <v>1315.5174560999999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823</v>
      </c>
      <c r="B1529" s="1">
        <f>DATE(2012,8,1) + TIME(0,0,0)</f>
        <v>41122</v>
      </c>
      <c r="C1529">
        <v>80</v>
      </c>
      <c r="D1529">
        <v>79.965545653999996</v>
      </c>
      <c r="E1529">
        <v>50</v>
      </c>
      <c r="F1529">
        <v>45.735969543000003</v>
      </c>
      <c r="G1529">
        <v>1345.3734131000001</v>
      </c>
      <c r="H1529">
        <v>1341.5809326000001</v>
      </c>
      <c r="I1529">
        <v>1320.2733154</v>
      </c>
      <c r="J1529">
        <v>1315.4774170000001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824.41178500000001</v>
      </c>
      <c r="B1530" s="1">
        <f>DATE(2012,8,2) + TIME(9,52,58)</f>
        <v>41123.411782407406</v>
      </c>
      <c r="C1530">
        <v>80</v>
      </c>
      <c r="D1530">
        <v>79.965545653999996</v>
      </c>
      <c r="E1530">
        <v>50</v>
      </c>
      <c r="F1530">
        <v>45.708690642999997</v>
      </c>
      <c r="G1530">
        <v>1345.3662108999999</v>
      </c>
      <c r="H1530">
        <v>1341.5762939000001</v>
      </c>
      <c r="I1530">
        <v>1320.2556152</v>
      </c>
      <c r="J1530">
        <v>1315.4486084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825.87020199999995</v>
      </c>
      <c r="B1531" s="1">
        <f>DATE(2012,8,3) + TIME(20,53,5)</f>
        <v>41124.870196759257</v>
      </c>
      <c r="C1531">
        <v>80</v>
      </c>
      <c r="D1531">
        <v>79.965538025000001</v>
      </c>
      <c r="E1531">
        <v>50</v>
      </c>
      <c r="F1531">
        <v>45.678966522000003</v>
      </c>
      <c r="G1531">
        <v>1345.3519286999999</v>
      </c>
      <c r="H1531">
        <v>1341.5671387</v>
      </c>
      <c r="I1531">
        <v>1320.2286377</v>
      </c>
      <c r="J1531">
        <v>1315.4064940999999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827.36147800000003</v>
      </c>
      <c r="B1532" s="1">
        <f>DATE(2012,8,5) + TIME(8,40,31)</f>
        <v>41126.36146990741</v>
      </c>
      <c r="C1532">
        <v>80</v>
      </c>
      <c r="D1532">
        <v>79.965530396000005</v>
      </c>
      <c r="E1532">
        <v>50</v>
      </c>
      <c r="F1532">
        <v>45.649105071999998</v>
      </c>
      <c r="G1532">
        <v>1345.3372803</v>
      </c>
      <c r="H1532">
        <v>1341.5576172000001</v>
      </c>
      <c r="I1532">
        <v>1320.2001952999999</v>
      </c>
      <c r="J1532">
        <v>1315.3619385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828.86655800000005</v>
      </c>
      <c r="B1533" s="1">
        <f>DATE(2012,8,6) + TIME(20,47,50)</f>
        <v>41127.866550925923</v>
      </c>
      <c r="C1533">
        <v>80</v>
      </c>
      <c r="D1533">
        <v>79.965522766000007</v>
      </c>
      <c r="E1533">
        <v>50</v>
      </c>
      <c r="F1533">
        <v>45.620353698999999</v>
      </c>
      <c r="G1533">
        <v>1345.3225098</v>
      </c>
      <c r="H1533">
        <v>1341.5480957</v>
      </c>
      <c r="I1533">
        <v>1320.1708983999999</v>
      </c>
      <c r="J1533">
        <v>1315.3157959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830.391389</v>
      </c>
      <c r="B1534" s="1">
        <f>DATE(2012,8,8) + TIME(9,23,36)</f>
        <v>41129.391388888886</v>
      </c>
      <c r="C1534">
        <v>80</v>
      </c>
      <c r="D1534">
        <v>79.965515136999997</v>
      </c>
      <c r="E1534">
        <v>50</v>
      </c>
      <c r="F1534">
        <v>45.593463898000003</v>
      </c>
      <c r="G1534">
        <v>1345.3078613</v>
      </c>
      <c r="H1534">
        <v>1341.5384521000001</v>
      </c>
      <c r="I1534">
        <v>1320.1413574000001</v>
      </c>
      <c r="J1534">
        <v>1315.269043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831.94182599999999</v>
      </c>
      <c r="B1535" s="1">
        <f>DATE(2012,8,9) + TIME(22,36,13)</f>
        <v>41130.941817129627</v>
      </c>
      <c r="C1535">
        <v>80</v>
      </c>
      <c r="D1535">
        <v>79.965507506999998</v>
      </c>
      <c r="E1535">
        <v>50</v>
      </c>
      <c r="F1535">
        <v>45.568885803000001</v>
      </c>
      <c r="G1535">
        <v>1345.2930908000001</v>
      </c>
      <c r="H1535">
        <v>1341.5288086</v>
      </c>
      <c r="I1535">
        <v>1320.1116943</v>
      </c>
      <c r="J1535">
        <v>1315.2216797000001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833.53389900000002</v>
      </c>
      <c r="B1536" s="1">
        <f>DATE(2012,8,11) + TIME(12,48,48)</f>
        <v>41132.533888888887</v>
      </c>
      <c r="C1536">
        <v>80</v>
      </c>
      <c r="D1536">
        <v>79.965499878000003</v>
      </c>
      <c r="E1536">
        <v>50</v>
      </c>
      <c r="F1536">
        <v>45.546962737999998</v>
      </c>
      <c r="G1536">
        <v>1345.2783202999999</v>
      </c>
      <c r="H1536">
        <v>1341.5191649999999</v>
      </c>
      <c r="I1536">
        <v>1320.0816649999999</v>
      </c>
      <c r="J1536">
        <v>1315.1735839999999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835.16837799999996</v>
      </c>
      <c r="B1537" s="1">
        <f>DATE(2012,8,13) + TIME(4,2,27)</f>
        <v>41134.168368055558</v>
      </c>
      <c r="C1537">
        <v>80</v>
      </c>
      <c r="D1537">
        <v>79.965492248999993</v>
      </c>
      <c r="E1537">
        <v>50</v>
      </c>
      <c r="F1537">
        <v>45.528133392000001</v>
      </c>
      <c r="G1537">
        <v>1345.2634277</v>
      </c>
      <c r="H1537">
        <v>1341.5092772999999</v>
      </c>
      <c r="I1537">
        <v>1320.0511475000001</v>
      </c>
      <c r="J1537">
        <v>1315.1245117000001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836.80346699999996</v>
      </c>
      <c r="B1538" s="1">
        <f>DATE(2012,8,14) + TIME(19,16,59)</f>
        <v>41135.803460648145</v>
      </c>
      <c r="C1538">
        <v>80</v>
      </c>
      <c r="D1538">
        <v>79.965484618999994</v>
      </c>
      <c r="E1538">
        <v>50</v>
      </c>
      <c r="F1538">
        <v>45.513240814</v>
      </c>
      <c r="G1538">
        <v>1345.2482910000001</v>
      </c>
      <c r="H1538">
        <v>1341.4991454999999</v>
      </c>
      <c r="I1538">
        <v>1320.0203856999999</v>
      </c>
      <c r="J1538">
        <v>1315.0745850000001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838.44668000000001</v>
      </c>
      <c r="B1539" s="1">
        <f>DATE(2012,8,16) + TIME(10,43,13)</f>
        <v>41137.44667824074</v>
      </c>
      <c r="C1539">
        <v>80</v>
      </c>
      <c r="D1539">
        <v>79.965484618999994</v>
      </c>
      <c r="E1539">
        <v>50</v>
      </c>
      <c r="F1539">
        <v>45.503025055000002</v>
      </c>
      <c r="G1539">
        <v>1345.2332764</v>
      </c>
      <c r="H1539">
        <v>1341.4892577999999</v>
      </c>
      <c r="I1539">
        <v>1319.9897461</v>
      </c>
      <c r="J1539">
        <v>1315.0247803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840.10496799999999</v>
      </c>
      <c r="B1540" s="1">
        <f>DATE(2012,8,18) + TIME(2,31,9)</f>
        <v>41139.10496527778</v>
      </c>
      <c r="C1540">
        <v>80</v>
      </c>
      <c r="D1540">
        <v>79.965476989999999</v>
      </c>
      <c r="E1540">
        <v>50</v>
      </c>
      <c r="F1540">
        <v>45.498161316000001</v>
      </c>
      <c r="G1540">
        <v>1345.2183838000001</v>
      </c>
      <c r="H1540">
        <v>1341.4792480000001</v>
      </c>
      <c r="I1540">
        <v>1319.9593506000001</v>
      </c>
      <c r="J1540">
        <v>1314.9750977000001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841.78515600000003</v>
      </c>
      <c r="B1541" s="1">
        <f>DATE(2012,8,19) + TIME(18,50,37)</f>
        <v>41140.785150462965</v>
      </c>
      <c r="C1541">
        <v>80</v>
      </c>
      <c r="D1541">
        <v>79.965476989999999</v>
      </c>
      <c r="E1541">
        <v>50</v>
      </c>
      <c r="F1541">
        <v>45.499454497999999</v>
      </c>
      <c r="G1541">
        <v>1345.2036132999999</v>
      </c>
      <c r="H1541">
        <v>1341.4693603999999</v>
      </c>
      <c r="I1541">
        <v>1319.9291992000001</v>
      </c>
      <c r="J1541">
        <v>1314.9254149999999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843.49425900000006</v>
      </c>
      <c r="B1542" s="1">
        <f>DATE(2012,8,21) + TIME(11,51,44)</f>
        <v>41142.494259259256</v>
      </c>
      <c r="C1542">
        <v>80</v>
      </c>
      <c r="D1542">
        <v>79.96546936</v>
      </c>
      <c r="E1542">
        <v>50</v>
      </c>
      <c r="F1542">
        <v>45.5078125</v>
      </c>
      <c r="G1542">
        <v>1345.1887207</v>
      </c>
      <c r="H1542">
        <v>1341.4593506000001</v>
      </c>
      <c r="I1542">
        <v>1319.8991699000001</v>
      </c>
      <c r="J1542">
        <v>1314.8756103999999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845.22260700000004</v>
      </c>
      <c r="B1543" s="1">
        <f>DATE(2012,8,23) + TIME(5,20,33)</f>
        <v>41144.222604166665</v>
      </c>
      <c r="C1543">
        <v>80</v>
      </c>
      <c r="D1543">
        <v>79.96546936</v>
      </c>
      <c r="E1543">
        <v>50</v>
      </c>
      <c r="F1543">
        <v>45.524368285999998</v>
      </c>
      <c r="G1543">
        <v>1345.1738281</v>
      </c>
      <c r="H1543">
        <v>1341.4492187999999</v>
      </c>
      <c r="I1543">
        <v>1319.8693848</v>
      </c>
      <c r="J1543">
        <v>1314.8258057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846.96860200000003</v>
      </c>
      <c r="B1544" s="1">
        <f>DATE(2012,8,24) + TIME(23,14,47)</f>
        <v>41145.968599537038</v>
      </c>
      <c r="C1544">
        <v>80</v>
      </c>
      <c r="D1544">
        <v>79.96546936</v>
      </c>
      <c r="E1544">
        <v>50</v>
      </c>
      <c r="F1544">
        <v>45.550304412999999</v>
      </c>
      <c r="G1544">
        <v>1345.1589355000001</v>
      </c>
      <c r="H1544">
        <v>1341.4390868999999</v>
      </c>
      <c r="I1544">
        <v>1319.8398437999999</v>
      </c>
      <c r="J1544">
        <v>1314.7762451000001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848.73974499999997</v>
      </c>
      <c r="B1545" s="1">
        <f>DATE(2012,8,26) + TIME(17,45,13)</f>
        <v>41147.739733796298</v>
      </c>
      <c r="C1545">
        <v>80</v>
      </c>
      <c r="D1545">
        <v>79.96546936</v>
      </c>
      <c r="E1545">
        <v>50</v>
      </c>
      <c r="F1545">
        <v>45.586944580000001</v>
      </c>
      <c r="G1545">
        <v>1345.1441649999999</v>
      </c>
      <c r="H1545">
        <v>1341.4289550999999</v>
      </c>
      <c r="I1545">
        <v>1319.8106689000001</v>
      </c>
      <c r="J1545">
        <v>1314.7270507999999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850.54376100000002</v>
      </c>
      <c r="B1546" s="1">
        <f>DATE(2012,8,28) + TIME(13,3,0)</f>
        <v>41149.543749999997</v>
      </c>
      <c r="C1546">
        <v>80</v>
      </c>
      <c r="D1546">
        <v>79.96546936</v>
      </c>
      <c r="E1546">
        <v>50</v>
      </c>
      <c r="F1546">
        <v>45.635925293</v>
      </c>
      <c r="G1546">
        <v>1345.1292725000001</v>
      </c>
      <c r="H1546">
        <v>1341.4187012</v>
      </c>
      <c r="I1546">
        <v>1319.7818603999999</v>
      </c>
      <c r="J1546">
        <v>1314.6782227000001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852.38904600000001</v>
      </c>
      <c r="B1547" s="1">
        <f>DATE(2012,8,30) + TIME(9,20,13)</f>
        <v>41151.389039351852</v>
      </c>
      <c r="C1547">
        <v>80</v>
      </c>
      <c r="D1547">
        <v>79.96546936</v>
      </c>
      <c r="E1547">
        <v>50</v>
      </c>
      <c r="F1547">
        <v>45.699241637999997</v>
      </c>
      <c r="G1547">
        <v>1345.1142577999999</v>
      </c>
      <c r="H1547">
        <v>1341.4084473</v>
      </c>
      <c r="I1547">
        <v>1319.753418</v>
      </c>
      <c r="J1547">
        <v>1314.6296387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854</v>
      </c>
      <c r="B1548" s="1">
        <f>DATE(2012,9,1) + TIME(0,0,0)</f>
        <v>41153</v>
      </c>
      <c r="C1548">
        <v>80</v>
      </c>
      <c r="D1548">
        <v>79.96546936</v>
      </c>
      <c r="E1548">
        <v>50</v>
      </c>
      <c r="F1548">
        <v>45.775741576999998</v>
      </c>
      <c r="G1548">
        <v>1345.0991211</v>
      </c>
      <c r="H1548">
        <v>1341.3979492000001</v>
      </c>
      <c r="I1548">
        <v>1319.7259521000001</v>
      </c>
      <c r="J1548">
        <v>1314.5821533000001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855.90364099999999</v>
      </c>
      <c r="B1549" s="1">
        <f>DATE(2012,9,2) + TIME(21,41,14)</f>
        <v>41154.903634259259</v>
      </c>
      <c r="C1549">
        <v>80</v>
      </c>
      <c r="D1549">
        <v>79.965476989999999</v>
      </c>
      <c r="E1549">
        <v>50</v>
      </c>
      <c r="F1549">
        <v>45.865604400999999</v>
      </c>
      <c r="G1549">
        <v>1345.0860596</v>
      </c>
      <c r="H1549">
        <v>1341.3887939000001</v>
      </c>
      <c r="I1549">
        <v>1319.7008057</v>
      </c>
      <c r="J1549">
        <v>1314.5391846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857.86208099999999</v>
      </c>
      <c r="B1550" s="1">
        <f>DATE(2012,9,4) + TIME(20,41,23)</f>
        <v>41156.862071759257</v>
      </c>
      <c r="C1550">
        <v>80</v>
      </c>
      <c r="D1550">
        <v>79.965476989999999</v>
      </c>
      <c r="E1550">
        <v>50</v>
      </c>
      <c r="F1550">
        <v>45.980598450000002</v>
      </c>
      <c r="G1550">
        <v>1345.0708007999999</v>
      </c>
      <c r="H1550">
        <v>1341.3781738</v>
      </c>
      <c r="I1550">
        <v>1319.6743164</v>
      </c>
      <c r="J1550">
        <v>1314.4932861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859.86440000000005</v>
      </c>
      <c r="B1551" s="1">
        <f>DATE(2012,9,6) + TIME(20,44,44)</f>
        <v>41158.864398148151</v>
      </c>
      <c r="C1551">
        <v>80</v>
      </c>
      <c r="D1551">
        <v>79.965484618999994</v>
      </c>
      <c r="E1551">
        <v>50</v>
      </c>
      <c r="F1551">
        <v>46.120773315000001</v>
      </c>
      <c r="G1551">
        <v>1345.0551757999999</v>
      </c>
      <c r="H1551">
        <v>1341.3673096</v>
      </c>
      <c r="I1551">
        <v>1319.6479492000001</v>
      </c>
      <c r="J1551">
        <v>1314.4473877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861.87359100000003</v>
      </c>
      <c r="B1552" s="1">
        <f>DATE(2012,9,8) + TIME(20,57,58)</f>
        <v>41160.87358796296</v>
      </c>
      <c r="C1552">
        <v>80</v>
      </c>
      <c r="D1552">
        <v>79.965492248999993</v>
      </c>
      <c r="E1552">
        <v>50</v>
      </c>
      <c r="F1552">
        <v>46.287029265999998</v>
      </c>
      <c r="G1552">
        <v>1345.0395507999999</v>
      </c>
      <c r="H1552">
        <v>1341.3563231999999</v>
      </c>
      <c r="I1552">
        <v>1319.6220702999999</v>
      </c>
      <c r="J1552">
        <v>1314.4024658000001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863.886664</v>
      </c>
      <c r="B1553" s="1">
        <f>DATE(2012,9,10) + TIME(21,16,47)</f>
        <v>41162.886655092596</v>
      </c>
      <c r="C1553">
        <v>80</v>
      </c>
      <c r="D1553">
        <v>79.965499878000003</v>
      </c>
      <c r="E1553">
        <v>50</v>
      </c>
      <c r="F1553">
        <v>46.479022980000003</v>
      </c>
      <c r="G1553">
        <v>1345.0240478999999</v>
      </c>
      <c r="H1553">
        <v>1341.3453368999999</v>
      </c>
      <c r="I1553">
        <v>1319.597168</v>
      </c>
      <c r="J1553">
        <v>1314.3592529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865.91511500000001</v>
      </c>
      <c r="B1554" s="1">
        <f>DATE(2012,9,12) + TIME(21,57,45)</f>
        <v>41164.91510416667</v>
      </c>
      <c r="C1554">
        <v>80</v>
      </c>
      <c r="D1554">
        <v>79.965499878000003</v>
      </c>
      <c r="E1554">
        <v>50</v>
      </c>
      <c r="F1554">
        <v>46.697345734000002</v>
      </c>
      <c r="G1554">
        <v>1345.0086670000001</v>
      </c>
      <c r="H1554">
        <v>1341.3343506000001</v>
      </c>
      <c r="I1554">
        <v>1319.5734863</v>
      </c>
      <c r="J1554">
        <v>1314.3183594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867.96848599999998</v>
      </c>
      <c r="B1555" s="1">
        <f>DATE(2012,9,14) + TIME(23,14,37)</f>
        <v>41166.9684837963</v>
      </c>
      <c r="C1555">
        <v>80</v>
      </c>
      <c r="D1555">
        <v>79.965507506999998</v>
      </c>
      <c r="E1555">
        <v>50</v>
      </c>
      <c r="F1555">
        <v>46.943225861000002</v>
      </c>
      <c r="G1555">
        <v>1344.9932861</v>
      </c>
      <c r="H1555">
        <v>1341.3234863</v>
      </c>
      <c r="I1555">
        <v>1319.5507812000001</v>
      </c>
      <c r="J1555">
        <v>1314.2796631000001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870.05649300000005</v>
      </c>
      <c r="B1556" s="1">
        <f>DATE(2012,9,17) + TIME(1,21,21)</f>
        <v>41169.056493055556</v>
      </c>
      <c r="C1556">
        <v>80</v>
      </c>
      <c r="D1556">
        <v>79.965522766000007</v>
      </c>
      <c r="E1556">
        <v>50</v>
      </c>
      <c r="F1556">
        <v>47.217773438000002</v>
      </c>
      <c r="G1556">
        <v>1344.9780272999999</v>
      </c>
      <c r="H1556">
        <v>1341.3125</v>
      </c>
      <c r="I1556">
        <v>1319.5291748</v>
      </c>
      <c r="J1556">
        <v>1314.2431641000001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872.18900699999995</v>
      </c>
      <c r="B1557" s="1">
        <f>DATE(2012,9,19) + TIME(4,32,10)</f>
        <v>41171.189004629632</v>
      </c>
      <c r="C1557">
        <v>80</v>
      </c>
      <c r="D1557">
        <v>79.965530396000005</v>
      </c>
      <c r="E1557">
        <v>50</v>
      </c>
      <c r="F1557">
        <v>47.522075653000002</v>
      </c>
      <c r="G1557">
        <v>1344.9627685999999</v>
      </c>
      <c r="H1557">
        <v>1341.3015137</v>
      </c>
      <c r="I1557">
        <v>1319.5085449000001</v>
      </c>
      <c r="J1557">
        <v>1314.2087402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874.37860699999999</v>
      </c>
      <c r="B1558" s="1">
        <f>DATE(2012,9,21) + TIME(9,5,11)</f>
        <v>41173.378599537034</v>
      </c>
      <c r="C1558">
        <v>80</v>
      </c>
      <c r="D1558">
        <v>79.965538025000001</v>
      </c>
      <c r="E1558">
        <v>50</v>
      </c>
      <c r="F1558">
        <v>47.856880187999998</v>
      </c>
      <c r="G1558">
        <v>1344.9472656</v>
      </c>
      <c r="H1558">
        <v>1341.2904053</v>
      </c>
      <c r="I1558">
        <v>1319.4887695</v>
      </c>
      <c r="J1558">
        <v>1314.1762695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876.61484900000005</v>
      </c>
      <c r="B1559" s="1">
        <f>DATE(2012,9,23) + TIME(14,45,22)</f>
        <v>41175.614837962959</v>
      </c>
      <c r="C1559">
        <v>80</v>
      </c>
      <c r="D1559">
        <v>79.965553283999995</v>
      </c>
      <c r="E1559">
        <v>50</v>
      </c>
      <c r="F1559">
        <v>48.221897124999998</v>
      </c>
      <c r="G1559">
        <v>1344.9316406</v>
      </c>
      <c r="H1559">
        <v>1341.2790527</v>
      </c>
      <c r="I1559">
        <v>1319.4699707</v>
      </c>
      <c r="J1559">
        <v>1314.145874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878.88083400000005</v>
      </c>
      <c r="B1560" s="1">
        <f>DATE(2012,9,25) + TIME(21,8,24)</f>
        <v>41177.880833333336</v>
      </c>
      <c r="C1560">
        <v>80</v>
      </c>
      <c r="D1560">
        <v>79.965560913000004</v>
      </c>
      <c r="E1560">
        <v>50</v>
      </c>
      <c r="F1560">
        <v>48.613716125000003</v>
      </c>
      <c r="G1560">
        <v>1344.9158935999999</v>
      </c>
      <c r="H1560">
        <v>1341.2675781</v>
      </c>
      <c r="I1560">
        <v>1319.4520264</v>
      </c>
      <c r="J1560">
        <v>1314.1176757999999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881.17721800000004</v>
      </c>
      <c r="B1561" s="1">
        <f>DATE(2012,9,28) + TIME(4,15,11)</f>
        <v>41180.177210648151</v>
      </c>
      <c r="C1561">
        <v>80</v>
      </c>
      <c r="D1561">
        <v>79.965576171999999</v>
      </c>
      <c r="E1561">
        <v>50</v>
      </c>
      <c r="F1561">
        <v>49.027427672999998</v>
      </c>
      <c r="G1561">
        <v>1344.9001464999999</v>
      </c>
      <c r="H1561">
        <v>1341.2562256000001</v>
      </c>
      <c r="I1561">
        <v>1319.4350586</v>
      </c>
      <c r="J1561">
        <v>1314.0919189000001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883.51632500000005</v>
      </c>
      <c r="B1562" s="1">
        <f>DATE(2012,9,30) + TIME(12,23,30)</f>
        <v>41182.516319444447</v>
      </c>
      <c r="C1562">
        <v>80</v>
      </c>
      <c r="D1562">
        <v>79.965591431000007</v>
      </c>
      <c r="E1562">
        <v>50</v>
      </c>
      <c r="F1562">
        <v>49.459461212000001</v>
      </c>
      <c r="G1562">
        <v>1344.8845214999999</v>
      </c>
      <c r="H1562">
        <v>1341.244751</v>
      </c>
      <c r="I1562">
        <v>1319.4193115</v>
      </c>
      <c r="J1562">
        <v>1314.0683594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884</v>
      </c>
      <c r="B1563" s="1">
        <f>DATE(2012,10,1) + TIME(0,0,0)</f>
        <v>41183</v>
      </c>
      <c r="C1563">
        <v>80</v>
      </c>
      <c r="D1563">
        <v>79.965576171999999</v>
      </c>
      <c r="E1563">
        <v>50</v>
      </c>
      <c r="F1563">
        <v>49.709838867000002</v>
      </c>
      <c r="G1563">
        <v>1344.8688964999999</v>
      </c>
      <c r="H1563">
        <v>1341.2332764</v>
      </c>
      <c r="I1563">
        <v>1319.4167480000001</v>
      </c>
      <c r="J1563">
        <v>1314.052124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886.39257699999996</v>
      </c>
      <c r="B1564" s="1">
        <f>DATE(2012,10,3) + TIME(9,25,18)</f>
        <v>41185.392569444448</v>
      </c>
      <c r="C1564">
        <v>80</v>
      </c>
      <c r="D1564">
        <v>79.965606688999998</v>
      </c>
      <c r="E1564">
        <v>50</v>
      </c>
      <c r="F1564">
        <v>50.032821654999999</v>
      </c>
      <c r="G1564">
        <v>1344.8656006000001</v>
      </c>
      <c r="H1564">
        <v>1341.2308350000001</v>
      </c>
      <c r="I1564">
        <v>1319.3997803</v>
      </c>
      <c r="J1564">
        <v>1314.0433350000001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888.83776599999999</v>
      </c>
      <c r="B1565" s="1">
        <f>DATE(2012,10,5) + TIME(20,6,22)</f>
        <v>41187.837754629632</v>
      </c>
      <c r="C1565">
        <v>80</v>
      </c>
      <c r="D1565">
        <v>79.965629578000005</v>
      </c>
      <c r="E1565">
        <v>50</v>
      </c>
      <c r="F1565">
        <v>50.469047545999999</v>
      </c>
      <c r="G1565">
        <v>1344.8498535000001</v>
      </c>
      <c r="H1565">
        <v>1341.2193603999999</v>
      </c>
      <c r="I1565">
        <v>1319.3874512</v>
      </c>
      <c r="J1565">
        <v>1314.0240478999999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891.29877299999998</v>
      </c>
      <c r="B1566" s="1">
        <f>DATE(2012,10,8) + TIME(7,10,13)</f>
        <v>41190.298761574071</v>
      </c>
      <c r="C1566">
        <v>80</v>
      </c>
      <c r="D1566">
        <v>79.965644835999996</v>
      </c>
      <c r="E1566">
        <v>50</v>
      </c>
      <c r="F1566">
        <v>50.933856964</v>
      </c>
      <c r="G1566">
        <v>1344.8341064000001</v>
      </c>
      <c r="H1566">
        <v>1341.2076416</v>
      </c>
      <c r="I1566">
        <v>1319.3751221</v>
      </c>
      <c r="J1566">
        <v>1314.0070800999999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893.79285900000002</v>
      </c>
      <c r="B1567" s="1">
        <f>DATE(2012,10,10) + TIME(19,1,43)</f>
        <v>41192.792858796296</v>
      </c>
      <c r="C1567">
        <v>80</v>
      </c>
      <c r="D1567">
        <v>79.965660095000004</v>
      </c>
      <c r="E1567">
        <v>50</v>
      </c>
      <c r="F1567">
        <v>51.403133392000001</v>
      </c>
      <c r="G1567">
        <v>1344.8184814000001</v>
      </c>
      <c r="H1567">
        <v>1341.1961670000001</v>
      </c>
      <c r="I1567">
        <v>1319.3635254000001</v>
      </c>
      <c r="J1567">
        <v>1313.9920654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896.33846100000005</v>
      </c>
      <c r="B1568" s="1">
        <f>DATE(2012,10,13) + TIME(8,7,23)</f>
        <v>41195.338460648149</v>
      </c>
      <c r="C1568">
        <v>80</v>
      </c>
      <c r="D1568">
        <v>79.965682982999994</v>
      </c>
      <c r="E1568">
        <v>50</v>
      </c>
      <c r="F1568">
        <v>51.873004913000003</v>
      </c>
      <c r="G1568">
        <v>1344.8029785000001</v>
      </c>
      <c r="H1568">
        <v>1341.1846923999999</v>
      </c>
      <c r="I1568">
        <v>1319.3526611</v>
      </c>
      <c r="J1568">
        <v>1313.9785156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898.94371100000001</v>
      </c>
      <c r="B1569" s="1">
        <f>DATE(2012,10,15) + TIME(22,38,56)</f>
        <v>41197.943703703706</v>
      </c>
      <c r="C1569">
        <v>80</v>
      </c>
      <c r="D1569">
        <v>79.965705872000001</v>
      </c>
      <c r="E1569">
        <v>50</v>
      </c>
      <c r="F1569">
        <v>52.342468261999997</v>
      </c>
      <c r="G1569">
        <v>1344.7873535000001</v>
      </c>
      <c r="H1569">
        <v>1341.1730957</v>
      </c>
      <c r="I1569">
        <v>1319.3426514</v>
      </c>
      <c r="J1569">
        <v>1313.9664307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901.56104200000004</v>
      </c>
      <c r="B1570" s="1">
        <f>DATE(2012,10,18) + TIME(13,27,54)</f>
        <v>41200.561041666668</v>
      </c>
      <c r="C1570">
        <v>80</v>
      </c>
      <c r="D1570">
        <v>79.965721130000006</v>
      </c>
      <c r="E1570">
        <v>50</v>
      </c>
      <c r="F1570">
        <v>52.809078217</v>
      </c>
      <c r="G1570">
        <v>1344.7717285000001</v>
      </c>
      <c r="H1570">
        <v>1341.161499</v>
      </c>
      <c r="I1570">
        <v>1319.3336182</v>
      </c>
      <c r="J1570">
        <v>1313.9555664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904.210328</v>
      </c>
      <c r="B1571" s="1">
        <f>DATE(2012,10,21) + TIME(5,2,52)</f>
        <v>41203.210324074076</v>
      </c>
      <c r="C1571">
        <v>80</v>
      </c>
      <c r="D1571">
        <v>79.965744018999999</v>
      </c>
      <c r="E1571">
        <v>50</v>
      </c>
      <c r="F1571">
        <v>53.266147613999998</v>
      </c>
      <c r="G1571">
        <v>1344.7563477000001</v>
      </c>
      <c r="H1571">
        <v>1341.1501464999999</v>
      </c>
      <c r="I1571">
        <v>1319.3251952999999</v>
      </c>
      <c r="J1571">
        <v>1313.9461670000001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906.91227600000002</v>
      </c>
      <c r="B1572" s="1">
        <f>DATE(2012,10,23) + TIME(21,53,40)</f>
        <v>41205.912268518521</v>
      </c>
      <c r="C1572">
        <v>80</v>
      </c>
      <c r="D1572">
        <v>79.965766907000003</v>
      </c>
      <c r="E1572">
        <v>50</v>
      </c>
      <c r="F1572">
        <v>53.713279724000003</v>
      </c>
      <c r="G1572">
        <v>1344.7410889</v>
      </c>
      <c r="H1572">
        <v>1341.1387939000001</v>
      </c>
      <c r="I1572">
        <v>1319.3176269999999</v>
      </c>
      <c r="J1572">
        <v>1313.9377440999999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909.68848100000002</v>
      </c>
      <c r="B1573" s="1">
        <f>DATE(2012,10,26) + TIME(16,31,24)</f>
        <v>41208.688472222224</v>
      </c>
      <c r="C1573">
        <v>80</v>
      </c>
      <c r="D1573">
        <v>79.965797424000002</v>
      </c>
      <c r="E1573">
        <v>50</v>
      </c>
      <c r="F1573">
        <v>54.153728485000002</v>
      </c>
      <c r="G1573">
        <v>1344.7258300999999</v>
      </c>
      <c r="H1573">
        <v>1341.1273193</v>
      </c>
      <c r="I1573">
        <v>1319.3106689000001</v>
      </c>
      <c r="J1573">
        <v>1313.9302978999999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912.55555100000004</v>
      </c>
      <c r="B1574" s="1">
        <f>DATE(2012,10,29) + TIME(13,19,59)</f>
        <v>41211.555543981478</v>
      </c>
      <c r="C1574">
        <v>80</v>
      </c>
      <c r="D1574">
        <v>79.965820312000005</v>
      </c>
      <c r="E1574">
        <v>50</v>
      </c>
      <c r="F1574">
        <v>54.587837219000001</v>
      </c>
      <c r="G1574">
        <v>1344.7104492000001</v>
      </c>
      <c r="H1574">
        <v>1341.1158447</v>
      </c>
      <c r="I1574">
        <v>1319.3041992000001</v>
      </c>
      <c r="J1574">
        <v>1313.9235839999999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915</v>
      </c>
      <c r="B1575" s="1">
        <f>DATE(2012,11,1) + TIME(0,0,0)</f>
        <v>41214</v>
      </c>
      <c r="C1575">
        <v>80</v>
      </c>
      <c r="D1575">
        <v>79.965835571</v>
      </c>
      <c r="E1575">
        <v>50</v>
      </c>
      <c r="F1575">
        <v>55.004501343000001</v>
      </c>
      <c r="G1575">
        <v>1344.6949463000001</v>
      </c>
      <c r="H1575">
        <v>1341.1042480000001</v>
      </c>
      <c r="I1575">
        <v>1319.2991943</v>
      </c>
      <c r="J1575">
        <v>1313.9179687999999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915.000001</v>
      </c>
      <c r="B1576" s="1">
        <f>DATE(2012,11,1) + TIME(0,0,0)</f>
        <v>41214</v>
      </c>
      <c r="C1576">
        <v>80</v>
      </c>
      <c r="D1576">
        <v>79.965721130000006</v>
      </c>
      <c r="E1576">
        <v>50</v>
      </c>
      <c r="F1576">
        <v>55.004642486999998</v>
      </c>
      <c r="G1576">
        <v>1340.2908935999999</v>
      </c>
      <c r="H1576">
        <v>1338.0793457</v>
      </c>
      <c r="I1576">
        <v>1325.7397461</v>
      </c>
      <c r="J1576">
        <v>1320.4345702999999</v>
      </c>
      <c r="K1576">
        <v>0</v>
      </c>
      <c r="L1576">
        <v>2750</v>
      </c>
      <c r="M1576">
        <v>2750</v>
      </c>
      <c r="N1576">
        <v>0</v>
      </c>
    </row>
    <row r="1577" spans="1:14" x14ac:dyDescent="0.25">
      <c r="A1577">
        <v>915.00000399999999</v>
      </c>
      <c r="B1577" s="1">
        <f>DATE(2012,11,1) + TIME(0,0,0)</f>
        <v>41214</v>
      </c>
      <c r="C1577">
        <v>80</v>
      </c>
      <c r="D1577">
        <v>79.965522766000007</v>
      </c>
      <c r="E1577">
        <v>50</v>
      </c>
      <c r="F1577">
        <v>55.004890441999997</v>
      </c>
      <c r="G1577">
        <v>1338.9002685999999</v>
      </c>
      <c r="H1577">
        <v>1336.6887207</v>
      </c>
      <c r="I1577">
        <v>1327.628418</v>
      </c>
      <c r="J1577">
        <v>1322.5588379000001</v>
      </c>
      <c r="K1577">
        <v>0</v>
      </c>
      <c r="L1577">
        <v>2750</v>
      </c>
      <c r="M1577">
        <v>2750</v>
      </c>
      <c r="N1577">
        <v>0</v>
      </c>
    </row>
    <row r="1578" spans="1:14" x14ac:dyDescent="0.25">
      <c r="A1578">
        <v>915.00001299999997</v>
      </c>
      <c r="B1578" s="1">
        <f>DATE(2012,11,1) + TIME(0,0,1)</f>
        <v>41214.000011574077</v>
      </c>
      <c r="C1578">
        <v>80</v>
      </c>
      <c r="D1578">
        <v>79.965278624999996</v>
      </c>
      <c r="E1578">
        <v>50</v>
      </c>
      <c r="F1578">
        <v>55.005184174</v>
      </c>
      <c r="G1578">
        <v>1337.1984863</v>
      </c>
      <c r="H1578">
        <v>1334.9865723</v>
      </c>
      <c r="I1578">
        <v>1330.4357910000001</v>
      </c>
      <c r="J1578">
        <v>1325.4267577999999</v>
      </c>
      <c r="K1578">
        <v>0</v>
      </c>
      <c r="L1578">
        <v>2750</v>
      </c>
      <c r="M1578">
        <v>2750</v>
      </c>
      <c r="N1578">
        <v>0</v>
      </c>
    </row>
    <row r="1579" spans="1:14" x14ac:dyDescent="0.25">
      <c r="A1579">
        <v>915.00004000000001</v>
      </c>
      <c r="B1579" s="1">
        <f>DATE(2012,11,1) + TIME(0,0,3)</f>
        <v>41214.000034722223</v>
      </c>
      <c r="C1579">
        <v>80</v>
      </c>
      <c r="D1579">
        <v>79.965034485000004</v>
      </c>
      <c r="E1579">
        <v>50</v>
      </c>
      <c r="F1579">
        <v>55.005352019999997</v>
      </c>
      <c r="G1579">
        <v>1335.4788818</v>
      </c>
      <c r="H1579">
        <v>1333.2598877</v>
      </c>
      <c r="I1579">
        <v>1333.6094971</v>
      </c>
      <c r="J1579">
        <v>1328.5418701000001</v>
      </c>
      <c r="K1579">
        <v>0</v>
      </c>
      <c r="L1579">
        <v>2750</v>
      </c>
      <c r="M1579">
        <v>2750</v>
      </c>
      <c r="N1579">
        <v>0</v>
      </c>
    </row>
    <row r="1580" spans="1:14" x14ac:dyDescent="0.25">
      <c r="A1580">
        <v>915.00012100000004</v>
      </c>
      <c r="B1580" s="1">
        <f>DATE(2012,11,1) + TIME(0,0,10)</f>
        <v>41214.000115740739</v>
      </c>
      <c r="C1580">
        <v>80</v>
      </c>
      <c r="D1580">
        <v>79.964775084999999</v>
      </c>
      <c r="E1580">
        <v>50</v>
      </c>
      <c r="F1580">
        <v>55.005046843999999</v>
      </c>
      <c r="G1580">
        <v>1333.760376</v>
      </c>
      <c r="H1580">
        <v>1331.5089111</v>
      </c>
      <c r="I1580">
        <v>1336.8128661999999</v>
      </c>
      <c r="J1580">
        <v>1331.6795654</v>
      </c>
      <c r="K1580">
        <v>0</v>
      </c>
      <c r="L1580">
        <v>2750</v>
      </c>
      <c r="M1580">
        <v>2750</v>
      </c>
      <c r="N1580">
        <v>0</v>
      </c>
    </row>
    <row r="1581" spans="1:14" x14ac:dyDescent="0.25">
      <c r="A1581">
        <v>915.00036399999999</v>
      </c>
      <c r="B1581" s="1">
        <f>DATE(2012,11,1) + TIME(0,0,31)</f>
        <v>41214.000358796293</v>
      </c>
      <c r="C1581">
        <v>80</v>
      </c>
      <c r="D1581">
        <v>79.964477539000001</v>
      </c>
      <c r="E1581">
        <v>50</v>
      </c>
      <c r="F1581">
        <v>55.003288269000002</v>
      </c>
      <c r="G1581">
        <v>1331.9489745999999</v>
      </c>
      <c r="H1581">
        <v>1329.6179199000001</v>
      </c>
      <c r="I1581">
        <v>1340.0296631000001</v>
      </c>
      <c r="J1581">
        <v>1334.8182373</v>
      </c>
      <c r="K1581">
        <v>0</v>
      </c>
      <c r="L1581">
        <v>2750</v>
      </c>
      <c r="M1581">
        <v>2750</v>
      </c>
      <c r="N1581">
        <v>0</v>
      </c>
    </row>
    <row r="1582" spans="1:14" x14ac:dyDescent="0.25">
      <c r="A1582">
        <v>915.00109299999997</v>
      </c>
      <c r="B1582" s="1">
        <f>DATE(2012,11,1) + TIME(0,1,34)</f>
        <v>41214.001087962963</v>
      </c>
      <c r="C1582">
        <v>80</v>
      </c>
      <c r="D1582">
        <v>79.964073181000003</v>
      </c>
      <c r="E1582">
        <v>50</v>
      </c>
      <c r="F1582">
        <v>54.997074126999998</v>
      </c>
      <c r="G1582">
        <v>1330.0087891000001</v>
      </c>
      <c r="H1582">
        <v>1327.5679932</v>
      </c>
      <c r="I1582">
        <v>1343.2026367000001</v>
      </c>
      <c r="J1582">
        <v>1337.8863524999999</v>
      </c>
      <c r="K1582">
        <v>0</v>
      </c>
      <c r="L1582">
        <v>2750</v>
      </c>
      <c r="M1582">
        <v>2750</v>
      </c>
      <c r="N1582">
        <v>0</v>
      </c>
    </row>
    <row r="1583" spans="1:14" x14ac:dyDescent="0.25">
      <c r="A1583">
        <v>915.00328000000002</v>
      </c>
      <c r="B1583" s="1">
        <f>DATE(2012,11,1) + TIME(0,4,43)</f>
        <v>41214.003275462965</v>
      </c>
      <c r="C1583">
        <v>80</v>
      </c>
      <c r="D1583">
        <v>79.963417053000001</v>
      </c>
      <c r="E1583">
        <v>50</v>
      </c>
      <c r="F1583">
        <v>54.977279662999997</v>
      </c>
      <c r="G1583">
        <v>1328.2128906</v>
      </c>
      <c r="H1583">
        <v>1325.6881103999999</v>
      </c>
      <c r="I1583">
        <v>1345.9270019999999</v>
      </c>
      <c r="J1583">
        <v>1340.5054932</v>
      </c>
      <c r="K1583">
        <v>0</v>
      </c>
      <c r="L1583">
        <v>2750</v>
      </c>
      <c r="M1583">
        <v>2750</v>
      </c>
      <c r="N1583">
        <v>0</v>
      </c>
    </row>
    <row r="1584" spans="1:14" x14ac:dyDescent="0.25">
      <c r="A1584">
        <v>915.00984100000005</v>
      </c>
      <c r="B1584" s="1">
        <f>DATE(2012,11,1) + TIME(0,14,10)</f>
        <v>41214.009837962964</v>
      </c>
      <c r="C1584">
        <v>80</v>
      </c>
      <c r="D1584">
        <v>79.962059021000002</v>
      </c>
      <c r="E1584">
        <v>50</v>
      </c>
      <c r="F1584">
        <v>54.917209624999998</v>
      </c>
      <c r="G1584">
        <v>1327.0543213000001</v>
      </c>
      <c r="H1584">
        <v>1324.4945068</v>
      </c>
      <c r="I1584">
        <v>1347.5642089999999</v>
      </c>
      <c r="J1584">
        <v>1342.0821533000001</v>
      </c>
      <c r="K1584">
        <v>0</v>
      </c>
      <c r="L1584">
        <v>2750</v>
      </c>
      <c r="M1584">
        <v>2750</v>
      </c>
      <c r="N1584">
        <v>0</v>
      </c>
    </row>
    <row r="1585" spans="1:14" x14ac:dyDescent="0.25">
      <c r="A1585">
        <v>915.02952400000004</v>
      </c>
      <c r="B1585" s="1">
        <f>DATE(2012,11,1) + TIME(0,42,30)</f>
        <v>41214.029513888891</v>
      </c>
      <c r="C1585">
        <v>80</v>
      </c>
      <c r="D1585">
        <v>79.958473205999994</v>
      </c>
      <c r="E1585">
        <v>50</v>
      </c>
      <c r="F1585">
        <v>54.742984772</v>
      </c>
      <c r="G1585">
        <v>1326.6534423999999</v>
      </c>
      <c r="H1585">
        <v>1324.0853271000001</v>
      </c>
      <c r="I1585">
        <v>1348.0450439000001</v>
      </c>
      <c r="J1585">
        <v>1342.552124</v>
      </c>
      <c r="K1585">
        <v>0</v>
      </c>
      <c r="L1585">
        <v>2750</v>
      </c>
      <c r="M1585">
        <v>2750</v>
      </c>
      <c r="N1585">
        <v>0</v>
      </c>
    </row>
    <row r="1586" spans="1:14" x14ac:dyDescent="0.25">
      <c r="A1586">
        <v>915.06850399999996</v>
      </c>
      <c r="B1586" s="1">
        <f>DATE(2012,11,1) + TIME(1,38,38)</f>
        <v>41214.068495370368</v>
      </c>
      <c r="C1586">
        <v>80</v>
      </c>
      <c r="D1586">
        <v>79.951683044000006</v>
      </c>
      <c r="E1586">
        <v>50</v>
      </c>
      <c r="F1586">
        <v>54.423385619999998</v>
      </c>
      <c r="G1586">
        <v>1326.5946045000001</v>
      </c>
      <c r="H1586">
        <v>1324.0253906</v>
      </c>
      <c r="I1586">
        <v>1348.0447998</v>
      </c>
      <c r="J1586">
        <v>1342.5643310999999</v>
      </c>
      <c r="K1586">
        <v>0</v>
      </c>
      <c r="L1586">
        <v>2750</v>
      </c>
      <c r="M1586">
        <v>2750</v>
      </c>
      <c r="N1586">
        <v>0</v>
      </c>
    </row>
    <row r="1587" spans="1:14" x14ac:dyDescent="0.25">
      <c r="A1587">
        <v>915.10857799999997</v>
      </c>
      <c r="B1587" s="1">
        <f>DATE(2012,11,1) + TIME(2,36,21)</f>
        <v>41214.108576388891</v>
      </c>
      <c r="C1587">
        <v>80</v>
      </c>
      <c r="D1587">
        <v>79.944808960000003</v>
      </c>
      <c r="E1587">
        <v>50</v>
      </c>
      <c r="F1587">
        <v>54.119514465000002</v>
      </c>
      <c r="G1587">
        <v>1326.5887451000001</v>
      </c>
      <c r="H1587">
        <v>1324.0192870999999</v>
      </c>
      <c r="I1587">
        <v>1347.9952393000001</v>
      </c>
      <c r="J1587">
        <v>1342.5269774999999</v>
      </c>
      <c r="K1587">
        <v>0</v>
      </c>
      <c r="L1587">
        <v>2750</v>
      </c>
      <c r="M1587">
        <v>2750</v>
      </c>
      <c r="N1587">
        <v>0</v>
      </c>
    </row>
    <row r="1588" spans="1:14" x14ac:dyDescent="0.25">
      <c r="A1588">
        <v>915.14986699999997</v>
      </c>
      <c r="B1588" s="1">
        <f>DATE(2012,11,1) + TIME(3,35,48)</f>
        <v>41214.149861111109</v>
      </c>
      <c r="C1588">
        <v>80</v>
      </c>
      <c r="D1588">
        <v>79.937835692999997</v>
      </c>
      <c r="E1588">
        <v>50</v>
      </c>
      <c r="F1588">
        <v>53.830348968999999</v>
      </c>
      <c r="G1588">
        <v>1326.5872803</v>
      </c>
      <c r="H1588">
        <v>1324.0177002</v>
      </c>
      <c r="I1588">
        <v>1347.9445800999999</v>
      </c>
      <c r="J1588">
        <v>1342.4884033000001</v>
      </c>
      <c r="K1588">
        <v>0</v>
      </c>
      <c r="L1588">
        <v>2750</v>
      </c>
      <c r="M1588">
        <v>2750</v>
      </c>
      <c r="N1588">
        <v>0</v>
      </c>
    </row>
    <row r="1589" spans="1:14" x14ac:dyDescent="0.25">
      <c r="A1589">
        <v>915.19247800000005</v>
      </c>
      <c r="B1589" s="1">
        <f>DATE(2012,11,1) + TIME(4,37,10)</f>
        <v>41214.192476851851</v>
      </c>
      <c r="C1589">
        <v>80</v>
      </c>
      <c r="D1589">
        <v>79.930740356000001</v>
      </c>
      <c r="E1589">
        <v>50</v>
      </c>
      <c r="F1589">
        <v>53.555137633999998</v>
      </c>
      <c r="G1589">
        <v>1326.5861815999999</v>
      </c>
      <c r="H1589">
        <v>1324.0163574000001</v>
      </c>
      <c r="I1589">
        <v>1347.8956298999999</v>
      </c>
      <c r="J1589">
        <v>1342.4512939000001</v>
      </c>
      <c r="K1589">
        <v>0</v>
      </c>
      <c r="L1589">
        <v>2750</v>
      </c>
      <c r="M1589">
        <v>2750</v>
      </c>
      <c r="N1589">
        <v>0</v>
      </c>
    </row>
    <row r="1590" spans="1:14" x14ac:dyDescent="0.25">
      <c r="A1590">
        <v>915.23651099999995</v>
      </c>
      <c r="B1590" s="1">
        <f>DATE(2012,11,1) + TIME(5,40,34)</f>
        <v>41214.236504629633</v>
      </c>
      <c r="C1590">
        <v>80</v>
      </c>
      <c r="D1590">
        <v>79.923515320000007</v>
      </c>
      <c r="E1590">
        <v>50</v>
      </c>
      <c r="F1590">
        <v>53.293289184999999</v>
      </c>
      <c r="G1590">
        <v>1326.5850829999999</v>
      </c>
      <c r="H1590">
        <v>1324.0151367000001</v>
      </c>
      <c r="I1590">
        <v>1347.8486327999999</v>
      </c>
      <c r="J1590">
        <v>1342.4157714999999</v>
      </c>
      <c r="K1590">
        <v>0</v>
      </c>
      <c r="L1590">
        <v>2750</v>
      </c>
      <c r="M1590">
        <v>2750</v>
      </c>
      <c r="N1590">
        <v>0</v>
      </c>
    </row>
    <row r="1591" spans="1:14" x14ac:dyDescent="0.25">
      <c r="A1591">
        <v>915.28210200000001</v>
      </c>
      <c r="B1591" s="1">
        <f>DATE(2012,11,1) + TIME(6,46,13)</f>
        <v>41214.282094907408</v>
      </c>
      <c r="C1591">
        <v>80</v>
      </c>
      <c r="D1591">
        <v>79.916137695000003</v>
      </c>
      <c r="E1591">
        <v>50</v>
      </c>
      <c r="F1591">
        <v>53.044143677000001</v>
      </c>
      <c r="G1591">
        <v>1326.5839844</v>
      </c>
      <c r="H1591">
        <v>1324.0139160000001</v>
      </c>
      <c r="I1591">
        <v>1347.8033447</v>
      </c>
      <c r="J1591">
        <v>1342.3817139</v>
      </c>
      <c r="K1591">
        <v>0</v>
      </c>
      <c r="L1591">
        <v>2750</v>
      </c>
      <c r="M1591">
        <v>2750</v>
      </c>
      <c r="N1591">
        <v>0</v>
      </c>
    </row>
    <row r="1592" spans="1:14" x14ac:dyDescent="0.25">
      <c r="A1592">
        <v>915.32941100000005</v>
      </c>
      <c r="B1592" s="1">
        <f>DATE(2012,11,1) + TIME(7,54,21)</f>
        <v>41214.329409722224</v>
      </c>
      <c r="C1592">
        <v>80</v>
      </c>
      <c r="D1592">
        <v>79.908607482999997</v>
      </c>
      <c r="E1592">
        <v>50</v>
      </c>
      <c r="F1592">
        <v>52.807067871000001</v>
      </c>
      <c r="G1592">
        <v>1326.5828856999999</v>
      </c>
      <c r="H1592">
        <v>1324.0125731999999</v>
      </c>
      <c r="I1592">
        <v>1347.7597656</v>
      </c>
      <c r="J1592">
        <v>1342.3491211</v>
      </c>
      <c r="K1592">
        <v>0</v>
      </c>
      <c r="L1592">
        <v>2750</v>
      </c>
      <c r="M1592">
        <v>2750</v>
      </c>
      <c r="N1592">
        <v>0</v>
      </c>
    </row>
    <row r="1593" spans="1:14" x14ac:dyDescent="0.25">
      <c r="A1593">
        <v>915.378602</v>
      </c>
      <c r="B1593" s="1">
        <f>DATE(2012,11,1) + TIME(9,5,11)</f>
        <v>41214.378599537034</v>
      </c>
      <c r="C1593">
        <v>80</v>
      </c>
      <c r="D1593">
        <v>79.900886536000002</v>
      </c>
      <c r="E1593">
        <v>50</v>
      </c>
      <c r="F1593">
        <v>52.581542968999997</v>
      </c>
      <c r="G1593">
        <v>1326.5816649999999</v>
      </c>
      <c r="H1593">
        <v>1324.0111084</v>
      </c>
      <c r="I1593">
        <v>1347.7177733999999</v>
      </c>
      <c r="J1593">
        <v>1342.3178711</v>
      </c>
      <c r="K1593">
        <v>0</v>
      </c>
      <c r="L1593">
        <v>2750</v>
      </c>
      <c r="M1593">
        <v>2750</v>
      </c>
      <c r="N1593">
        <v>0</v>
      </c>
    </row>
    <row r="1594" spans="1:14" x14ac:dyDescent="0.25">
      <c r="A1594">
        <v>915.42986499999995</v>
      </c>
      <c r="B1594" s="1">
        <f>DATE(2012,11,1) + TIME(10,19,0)</f>
        <v>41214.429861111108</v>
      </c>
      <c r="C1594">
        <v>80</v>
      </c>
      <c r="D1594">
        <v>79.892959594999994</v>
      </c>
      <c r="E1594">
        <v>50</v>
      </c>
      <c r="F1594">
        <v>52.367115020999996</v>
      </c>
      <c r="G1594">
        <v>1326.5804443</v>
      </c>
      <c r="H1594">
        <v>1324.0096435999999</v>
      </c>
      <c r="I1594">
        <v>1347.6772461</v>
      </c>
      <c r="J1594">
        <v>1342.2877197</v>
      </c>
      <c r="K1594">
        <v>0</v>
      </c>
      <c r="L1594">
        <v>2750</v>
      </c>
      <c r="M1594">
        <v>2750</v>
      </c>
      <c r="N1594">
        <v>0</v>
      </c>
    </row>
    <row r="1595" spans="1:14" x14ac:dyDescent="0.25">
      <c r="A1595">
        <v>915.48340800000005</v>
      </c>
      <c r="B1595" s="1">
        <f>DATE(2012,11,1) + TIME(11,36,6)</f>
        <v>41214.483402777776</v>
      </c>
      <c r="C1595">
        <v>80</v>
      </c>
      <c r="D1595">
        <v>79.884811400999993</v>
      </c>
      <c r="E1595">
        <v>50</v>
      </c>
      <c r="F1595">
        <v>52.163379669000001</v>
      </c>
      <c r="G1595">
        <v>1326.5791016000001</v>
      </c>
      <c r="H1595">
        <v>1324.0081786999999</v>
      </c>
      <c r="I1595">
        <v>1347.6381836</v>
      </c>
      <c r="J1595">
        <v>1342.2589111</v>
      </c>
      <c r="K1595">
        <v>0</v>
      </c>
      <c r="L1595">
        <v>2750</v>
      </c>
      <c r="M1595">
        <v>2750</v>
      </c>
      <c r="N1595">
        <v>0</v>
      </c>
    </row>
    <row r="1596" spans="1:14" x14ac:dyDescent="0.25">
      <c r="A1596">
        <v>915.53947000000005</v>
      </c>
      <c r="B1596" s="1">
        <f>DATE(2012,11,1) + TIME(12,56,50)</f>
        <v>41214.539467592593</v>
      </c>
      <c r="C1596">
        <v>80</v>
      </c>
      <c r="D1596">
        <v>79.876403808999996</v>
      </c>
      <c r="E1596">
        <v>50</v>
      </c>
      <c r="F1596">
        <v>51.969974518000001</v>
      </c>
      <c r="G1596">
        <v>1326.5777588000001</v>
      </c>
      <c r="H1596">
        <v>1324.0064697</v>
      </c>
      <c r="I1596">
        <v>1347.6004639</v>
      </c>
      <c r="J1596">
        <v>1342.2313231999999</v>
      </c>
      <c r="K1596">
        <v>0</v>
      </c>
      <c r="L1596">
        <v>2750</v>
      </c>
      <c r="M1596">
        <v>2750</v>
      </c>
      <c r="N1596">
        <v>0</v>
      </c>
    </row>
    <row r="1597" spans="1:14" x14ac:dyDescent="0.25">
      <c r="A1597">
        <v>915.59834000000001</v>
      </c>
      <c r="B1597" s="1">
        <f>DATE(2012,11,1) + TIME(14,21,36)</f>
        <v>41214.598333333335</v>
      </c>
      <c r="C1597">
        <v>80</v>
      </c>
      <c r="D1597">
        <v>79.867713928000001</v>
      </c>
      <c r="E1597">
        <v>50</v>
      </c>
      <c r="F1597">
        <v>51.786540985000002</v>
      </c>
      <c r="G1597">
        <v>1326.5764160000001</v>
      </c>
      <c r="H1597">
        <v>1324.0048827999999</v>
      </c>
      <c r="I1597">
        <v>1347.5640868999999</v>
      </c>
      <c r="J1597">
        <v>1342.2047118999999</v>
      </c>
      <c r="K1597">
        <v>0</v>
      </c>
      <c r="L1597">
        <v>2750</v>
      </c>
      <c r="M1597">
        <v>2750</v>
      </c>
      <c r="N1597">
        <v>0</v>
      </c>
    </row>
    <row r="1598" spans="1:14" x14ac:dyDescent="0.25">
      <c r="A1598">
        <v>915.66034200000001</v>
      </c>
      <c r="B1598" s="1">
        <f>DATE(2012,11,1) + TIME(15,50,53)</f>
        <v>41214.66033564815</v>
      </c>
      <c r="C1598">
        <v>80</v>
      </c>
      <c r="D1598">
        <v>79.858711243000002</v>
      </c>
      <c r="E1598">
        <v>50</v>
      </c>
      <c r="F1598">
        <v>51.612785338999998</v>
      </c>
      <c r="G1598">
        <v>1326.5748291</v>
      </c>
      <c r="H1598">
        <v>1324.0030518000001</v>
      </c>
      <c r="I1598">
        <v>1347.5289307</v>
      </c>
      <c r="J1598">
        <v>1342.1791992000001</v>
      </c>
      <c r="K1598">
        <v>0</v>
      </c>
      <c r="L1598">
        <v>2750</v>
      </c>
      <c r="M1598">
        <v>2750</v>
      </c>
      <c r="N1598">
        <v>0</v>
      </c>
    </row>
    <row r="1599" spans="1:14" x14ac:dyDescent="0.25">
      <c r="A1599">
        <v>915.72585700000002</v>
      </c>
      <c r="B1599" s="1">
        <f>DATE(2012,11,1) + TIME(17,25,14)</f>
        <v>41214.725856481484</v>
      </c>
      <c r="C1599">
        <v>80</v>
      </c>
      <c r="D1599">
        <v>79.849349975999999</v>
      </c>
      <c r="E1599">
        <v>50</v>
      </c>
      <c r="F1599">
        <v>51.448448181000003</v>
      </c>
      <c r="G1599">
        <v>1326.5732422000001</v>
      </c>
      <c r="H1599">
        <v>1324.0010986</v>
      </c>
      <c r="I1599">
        <v>1347.4948730000001</v>
      </c>
      <c r="J1599">
        <v>1342.1546631000001</v>
      </c>
      <c r="K1599">
        <v>0</v>
      </c>
      <c r="L1599">
        <v>2750</v>
      </c>
      <c r="M1599">
        <v>2750</v>
      </c>
      <c r="N1599">
        <v>0</v>
      </c>
    </row>
    <row r="1600" spans="1:14" x14ac:dyDescent="0.25">
      <c r="A1600">
        <v>915.79533300000003</v>
      </c>
      <c r="B1600" s="1">
        <f>DATE(2012,11,1) + TIME(19,5,16)</f>
        <v>41214.795324074075</v>
      </c>
      <c r="C1600">
        <v>80</v>
      </c>
      <c r="D1600">
        <v>79.839576721</v>
      </c>
      <c r="E1600">
        <v>50</v>
      </c>
      <c r="F1600">
        <v>51.293304442999997</v>
      </c>
      <c r="G1600">
        <v>1326.5715332</v>
      </c>
      <c r="H1600">
        <v>1323.9990233999999</v>
      </c>
      <c r="I1600">
        <v>1347.4617920000001</v>
      </c>
      <c r="J1600">
        <v>1342.1309814000001</v>
      </c>
      <c r="K1600">
        <v>0</v>
      </c>
      <c r="L1600">
        <v>2750</v>
      </c>
      <c r="M1600">
        <v>2750</v>
      </c>
      <c r="N1600">
        <v>0</v>
      </c>
    </row>
    <row r="1601" spans="1:14" x14ac:dyDescent="0.25">
      <c r="A1601">
        <v>915.86930400000006</v>
      </c>
      <c r="B1601" s="1">
        <f>DATE(2012,11,1) + TIME(20,51,47)</f>
        <v>41214.869293981479</v>
      </c>
      <c r="C1601">
        <v>80</v>
      </c>
      <c r="D1601">
        <v>79.829353333</v>
      </c>
      <c r="E1601">
        <v>50</v>
      </c>
      <c r="F1601">
        <v>51.147159576</v>
      </c>
      <c r="G1601">
        <v>1326.5698242000001</v>
      </c>
      <c r="H1601">
        <v>1323.9968262</v>
      </c>
      <c r="I1601">
        <v>1347.4298096</v>
      </c>
      <c r="J1601">
        <v>1342.1082764</v>
      </c>
      <c r="K1601">
        <v>0</v>
      </c>
      <c r="L1601">
        <v>2750</v>
      </c>
      <c r="M1601">
        <v>2750</v>
      </c>
      <c r="N1601">
        <v>0</v>
      </c>
    </row>
    <row r="1602" spans="1:14" x14ac:dyDescent="0.25">
      <c r="A1602">
        <v>915.94841199999996</v>
      </c>
      <c r="B1602" s="1">
        <f>DATE(2012,11,1) + TIME(22,45,42)</f>
        <v>41214.94840277778</v>
      </c>
      <c r="C1602">
        <v>80</v>
      </c>
      <c r="D1602">
        <v>79.818603515999996</v>
      </c>
      <c r="E1602">
        <v>50</v>
      </c>
      <c r="F1602">
        <v>51.009849547999998</v>
      </c>
      <c r="G1602">
        <v>1326.5678711</v>
      </c>
      <c r="H1602">
        <v>1323.9945068</v>
      </c>
      <c r="I1602">
        <v>1347.3986815999999</v>
      </c>
      <c r="J1602">
        <v>1342.0864257999999</v>
      </c>
      <c r="K1602">
        <v>0</v>
      </c>
      <c r="L1602">
        <v>2750</v>
      </c>
      <c r="M1602">
        <v>2750</v>
      </c>
      <c r="N1602">
        <v>0</v>
      </c>
    </row>
    <row r="1603" spans="1:14" x14ac:dyDescent="0.25">
      <c r="A1603">
        <v>916.03343600000005</v>
      </c>
      <c r="B1603" s="1">
        <f>DATE(2012,11,2) + TIME(0,48,8)</f>
        <v>41215.033425925925</v>
      </c>
      <c r="C1603">
        <v>80</v>
      </c>
      <c r="D1603">
        <v>79.807250976999995</v>
      </c>
      <c r="E1603">
        <v>50</v>
      </c>
      <c r="F1603">
        <v>50.881240845000001</v>
      </c>
      <c r="G1603">
        <v>1326.5657959</v>
      </c>
      <c r="H1603">
        <v>1323.9919434000001</v>
      </c>
      <c r="I1603">
        <v>1347.3682861</v>
      </c>
      <c r="J1603">
        <v>1342.0651855000001</v>
      </c>
      <c r="K1603">
        <v>0</v>
      </c>
      <c r="L1603">
        <v>2750</v>
      </c>
      <c r="M1603">
        <v>2750</v>
      </c>
      <c r="N1603">
        <v>0</v>
      </c>
    </row>
    <row r="1604" spans="1:14" x14ac:dyDescent="0.25">
      <c r="A1604">
        <v>916.12534100000005</v>
      </c>
      <c r="B1604" s="1">
        <f>DATE(2012,11,2) + TIME(3,0,29)</f>
        <v>41215.125335648147</v>
      </c>
      <c r="C1604">
        <v>80</v>
      </c>
      <c r="D1604">
        <v>79.795204162999994</v>
      </c>
      <c r="E1604">
        <v>50</v>
      </c>
      <c r="F1604">
        <v>50.761234283</v>
      </c>
      <c r="G1604">
        <v>1326.5635986</v>
      </c>
      <c r="H1604">
        <v>1323.9892577999999</v>
      </c>
      <c r="I1604">
        <v>1347.3386230000001</v>
      </c>
      <c r="J1604">
        <v>1342.0447998</v>
      </c>
      <c r="K1604">
        <v>0</v>
      </c>
      <c r="L1604">
        <v>2750</v>
      </c>
      <c r="M1604">
        <v>2750</v>
      </c>
      <c r="N1604">
        <v>0</v>
      </c>
    </row>
    <row r="1605" spans="1:14" x14ac:dyDescent="0.25">
      <c r="A1605">
        <v>916.22533099999998</v>
      </c>
      <c r="B1605" s="1">
        <f>DATE(2012,11,2) + TIME(5,24,28)</f>
        <v>41215.225324074076</v>
      </c>
      <c r="C1605">
        <v>80</v>
      </c>
      <c r="D1605">
        <v>79.782348632999998</v>
      </c>
      <c r="E1605">
        <v>50</v>
      </c>
      <c r="F1605">
        <v>50.649745940999999</v>
      </c>
      <c r="G1605">
        <v>1326.5611572</v>
      </c>
      <c r="H1605">
        <v>1323.9862060999999</v>
      </c>
      <c r="I1605">
        <v>1347.3095702999999</v>
      </c>
      <c r="J1605">
        <v>1342.0250243999999</v>
      </c>
      <c r="K1605">
        <v>0</v>
      </c>
      <c r="L1605">
        <v>2750</v>
      </c>
      <c r="M1605">
        <v>2750</v>
      </c>
      <c r="N1605">
        <v>0</v>
      </c>
    </row>
    <row r="1606" spans="1:14" x14ac:dyDescent="0.25">
      <c r="A1606">
        <v>916.33492100000001</v>
      </c>
      <c r="B1606" s="1">
        <f>DATE(2012,11,2) + TIME(8,2,17)</f>
        <v>41215.334918981483</v>
      </c>
      <c r="C1606">
        <v>80</v>
      </c>
      <c r="D1606">
        <v>79.768531799000002</v>
      </c>
      <c r="E1606">
        <v>50</v>
      </c>
      <c r="F1606">
        <v>50.546756744</v>
      </c>
      <c r="G1606">
        <v>1326.5583495999999</v>
      </c>
      <c r="H1606">
        <v>1323.9827881000001</v>
      </c>
      <c r="I1606">
        <v>1347.2811279</v>
      </c>
      <c r="J1606">
        <v>1342.0057373</v>
      </c>
      <c r="K1606">
        <v>0</v>
      </c>
      <c r="L1606">
        <v>2750</v>
      </c>
      <c r="M1606">
        <v>2750</v>
      </c>
      <c r="N1606">
        <v>0</v>
      </c>
    </row>
    <row r="1607" spans="1:14" x14ac:dyDescent="0.25">
      <c r="A1607">
        <v>916.45610899999997</v>
      </c>
      <c r="B1607" s="1">
        <f>DATE(2012,11,2) + TIME(10,56,47)</f>
        <v>41215.456099537034</v>
      </c>
      <c r="C1607">
        <v>80</v>
      </c>
      <c r="D1607">
        <v>79.753570557000003</v>
      </c>
      <c r="E1607">
        <v>50</v>
      </c>
      <c r="F1607">
        <v>50.452224731000001</v>
      </c>
      <c r="G1607">
        <v>1326.5554199000001</v>
      </c>
      <c r="H1607">
        <v>1323.9790039</v>
      </c>
      <c r="I1607">
        <v>1347.2529297000001</v>
      </c>
      <c r="J1607">
        <v>1341.9870605000001</v>
      </c>
      <c r="K1607">
        <v>0</v>
      </c>
      <c r="L1607">
        <v>2750</v>
      </c>
      <c r="M1607">
        <v>2750</v>
      </c>
      <c r="N1607">
        <v>0</v>
      </c>
    </row>
    <row r="1608" spans="1:14" x14ac:dyDescent="0.25">
      <c r="A1608">
        <v>916.59154999999998</v>
      </c>
      <c r="B1608" s="1">
        <f>DATE(2012,11,2) + TIME(14,11,49)</f>
        <v>41215.591539351852</v>
      </c>
      <c r="C1608">
        <v>80</v>
      </c>
      <c r="D1608">
        <v>79.737220764</v>
      </c>
      <c r="E1608">
        <v>50</v>
      </c>
      <c r="F1608">
        <v>50.366165160999998</v>
      </c>
      <c r="G1608">
        <v>1326.552124</v>
      </c>
      <c r="H1608">
        <v>1323.9748535000001</v>
      </c>
      <c r="I1608">
        <v>1347.2249756000001</v>
      </c>
      <c r="J1608">
        <v>1341.96875</v>
      </c>
      <c r="K1608">
        <v>0</v>
      </c>
      <c r="L1608">
        <v>2750</v>
      </c>
      <c r="M1608">
        <v>2750</v>
      </c>
      <c r="N1608">
        <v>0</v>
      </c>
    </row>
    <row r="1609" spans="1:14" x14ac:dyDescent="0.25">
      <c r="A1609">
        <v>916.74485700000002</v>
      </c>
      <c r="B1609" s="1">
        <f>DATE(2012,11,2) + TIME(17,52,35)</f>
        <v>41215.744849537034</v>
      </c>
      <c r="C1609">
        <v>80</v>
      </c>
      <c r="D1609">
        <v>79.719169617000006</v>
      </c>
      <c r="E1609">
        <v>50</v>
      </c>
      <c r="F1609">
        <v>50.288608551000003</v>
      </c>
      <c r="G1609">
        <v>1326.5482178</v>
      </c>
      <c r="H1609">
        <v>1323.9700928</v>
      </c>
      <c r="I1609">
        <v>1347.1970214999999</v>
      </c>
      <c r="J1609">
        <v>1341.9508057</v>
      </c>
      <c r="K1609">
        <v>0</v>
      </c>
      <c r="L1609">
        <v>2750</v>
      </c>
      <c r="M1609">
        <v>2750</v>
      </c>
      <c r="N1609">
        <v>0</v>
      </c>
    </row>
    <row r="1610" spans="1:14" x14ac:dyDescent="0.25">
      <c r="A1610">
        <v>916.90654800000004</v>
      </c>
      <c r="B1610" s="1">
        <f>DATE(2012,11,2) + TIME(21,45,25)</f>
        <v>41215.906539351854</v>
      </c>
      <c r="C1610">
        <v>80</v>
      </c>
      <c r="D1610">
        <v>79.700355529999996</v>
      </c>
      <c r="E1610">
        <v>50</v>
      </c>
      <c r="F1610">
        <v>50.224128723</v>
      </c>
      <c r="G1610">
        <v>1326.5439452999999</v>
      </c>
      <c r="H1610">
        <v>1323.9645995999999</v>
      </c>
      <c r="I1610">
        <v>1347.1710204999999</v>
      </c>
      <c r="J1610">
        <v>1341.9344481999999</v>
      </c>
      <c r="K1610">
        <v>0</v>
      </c>
      <c r="L1610">
        <v>2750</v>
      </c>
      <c r="M1610">
        <v>2750</v>
      </c>
      <c r="N1610">
        <v>0</v>
      </c>
    </row>
    <row r="1611" spans="1:14" x14ac:dyDescent="0.25">
      <c r="A1611">
        <v>917.06994199999997</v>
      </c>
      <c r="B1611" s="1">
        <f>DATE(2012,11,3) + TIME(1,40,42)</f>
        <v>41216.069930555554</v>
      </c>
      <c r="C1611">
        <v>80</v>
      </c>
      <c r="D1611">
        <v>79.681419372999997</v>
      </c>
      <c r="E1611">
        <v>50</v>
      </c>
      <c r="F1611">
        <v>50.172828674000002</v>
      </c>
      <c r="G1611">
        <v>1326.5393065999999</v>
      </c>
      <c r="H1611">
        <v>1323.9586182</v>
      </c>
      <c r="I1611">
        <v>1347.1473389</v>
      </c>
      <c r="J1611">
        <v>1341.9197998</v>
      </c>
      <c r="K1611">
        <v>0</v>
      </c>
      <c r="L1611">
        <v>2750</v>
      </c>
      <c r="M1611">
        <v>2750</v>
      </c>
      <c r="N1611">
        <v>0</v>
      </c>
    </row>
    <row r="1612" spans="1:14" x14ac:dyDescent="0.25">
      <c r="A1612">
        <v>917.23663999999997</v>
      </c>
      <c r="B1612" s="1">
        <f>DATE(2012,11,3) + TIME(5,40,45)</f>
        <v>41216.236631944441</v>
      </c>
      <c r="C1612">
        <v>80</v>
      </c>
      <c r="D1612">
        <v>79.662231445000003</v>
      </c>
      <c r="E1612">
        <v>50</v>
      </c>
      <c r="F1612">
        <v>50.131755828999999</v>
      </c>
      <c r="G1612">
        <v>1326.5344238</v>
      </c>
      <c r="H1612">
        <v>1323.9525146000001</v>
      </c>
      <c r="I1612">
        <v>1347.1254882999999</v>
      </c>
      <c r="J1612">
        <v>1341.9064940999999</v>
      </c>
      <c r="K1612">
        <v>0</v>
      </c>
      <c r="L1612">
        <v>2750</v>
      </c>
      <c r="M1612">
        <v>2750</v>
      </c>
      <c r="N1612">
        <v>0</v>
      </c>
    </row>
    <row r="1613" spans="1:14" x14ac:dyDescent="0.25">
      <c r="A1613">
        <v>917.40765799999997</v>
      </c>
      <c r="B1613" s="1">
        <f>DATE(2012,11,3) + TIME(9,47,1)</f>
        <v>41216.407650462963</v>
      </c>
      <c r="C1613">
        <v>80</v>
      </c>
      <c r="D1613">
        <v>79.642692565999994</v>
      </c>
      <c r="E1613">
        <v>50</v>
      </c>
      <c r="F1613">
        <v>50.098838806000003</v>
      </c>
      <c r="G1613">
        <v>1326.5294189000001</v>
      </c>
      <c r="H1613">
        <v>1323.9460449000001</v>
      </c>
      <c r="I1613">
        <v>1347.1048584</v>
      </c>
      <c r="J1613">
        <v>1341.8941649999999</v>
      </c>
      <c r="K1613">
        <v>0</v>
      </c>
      <c r="L1613">
        <v>2750</v>
      </c>
      <c r="M1613">
        <v>2750</v>
      </c>
      <c r="N1613">
        <v>0</v>
      </c>
    </row>
    <row r="1614" spans="1:14" x14ac:dyDescent="0.25">
      <c r="A1614">
        <v>917.58316200000002</v>
      </c>
      <c r="B1614" s="1">
        <f>DATE(2012,11,3) + TIME(13,59,45)</f>
        <v>41216.58315972222</v>
      </c>
      <c r="C1614">
        <v>80</v>
      </c>
      <c r="D1614">
        <v>79.622795104999994</v>
      </c>
      <c r="E1614">
        <v>50</v>
      </c>
      <c r="F1614">
        <v>50.072574615000001</v>
      </c>
      <c r="G1614">
        <v>1326.5241699000001</v>
      </c>
      <c r="H1614">
        <v>1323.9393310999999</v>
      </c>
      <c r="I1614">
        <v>1347.0854492000001</v>
      </c>
      <c r="J1614">
        <v>1341.8826904</v>
      </c>
      <c r="K1614">
        <v>0</v>
      </c>
      <c r="L1614">
        <v>2750</v>
      </c>
      <c r="M1614">
        <v>2750</v>
      </c>
      <c r="N1614">
        <v>0</v>
      </c>
    </row>
    <row r="1615" spans="1:14" x14ac:dyDescent="0.25">
      <c r="A1615">
        <v>917.76410999999996</v>
      </c>
      <c r="B1615" s="1">
        <f>DATE(2012,11,3) + TIME(18,20,19)</f>
        <v>41216.764108796298</v>
      </c>
      <c r="C1615">
        <v>80</v>
      </c>
      <c r="D1615">
        <v>79.602455139</v>
      </c>
      <c r="E1615">
        <v>50</v>
      </c>
      <c r="F1615">
        <v>50.051651001000003</v>
      </c>
      <c r="G1615">
        <v>1326.5187988</v>
      </c>
      <c r="H1615">
        <v>1323.932251</v>
      </c>
      <c r="I1615">
        <v>1347.0668945</v>
      </c>
      <c r="J1615">
        <v>1341.8718262</v>
      </c>
      <c r="K1615">
        <v>0</v>
      </c>
      <c r="L1615">
        <v>2750</v>
      </c>
      <c r="M1615">
        <v>2750</v>
      </c>
      <c r="N1615">
        <v>0</v>
      </c>
    </row>
    <row r="1616" spans="1:14" x14ac:dyDescent="0.25">
      <c r="A1616">
        <v>917.95155399999999</v>
      </c>
      <c r="B1616" s="1">
        <f>DATE(2012,11,3) + TIME(22,50,14)</f>
        <v>41216.951550925929</v>
      </c>
      <c r="C1616">
        <v>80</v>
      </c>
      <c r="D1616">
        <v>79.581581115999995</v>
      </c>
      <c r="E1616">
        <v>50</v>
      </c>
      <c r="F1616">
        <v>50.035018921000002</v>
      </c>
      <c r="G1616">
        <v>1326.5130615</v>
      </c>
      <c r="H1616">
        <v>1323.9246826000001</v>
      </c>
      <c r="I1616">
        <v>1347.0491943</v>
      </c>
      <c r="J1616">
        <v>1341.8615723</v>
      </c>
      <c r="K1616">
        <v>0</v>
      </c>
      <c r="L1616">
        <v>2750</v>
      </c>
      <c r="M1616">
        <v>2750</v>
      </c>
      <c r="N1616">
        <v>0</v>
      </c>
    </row>
    <row r="1617" spans="1:14" x14ac:dyDescent="0.25">
      <c r="A1617">
        <v>918.14664600000003</v>
      </c>
      <c r="B1617" s="1">
        <f>DATE(2012,11,4) + TIME(3,31,10)</f>
        <v>41217.146643518521</v>
      </c>
      <c r="C1617">
        <v>80</v>
      </c>
      <c r="D1617">
        <v>79.560073853000006</v>
      </c>
      <c r="E1617">
        <v>50</v>
      </c>
      <c r="F1617">
        <v>50.021850585999999</v>
      </c>
      <c r="G1617">
        <v>1326.5069579999999</v>
      </c>
      <c r="H1617">
        <v>1323.9167480000001</v>
      </c>
      <c r="I1617">
        <v>1347.0321045000001</v>
      </c>
      <c r="J1617">
        <v>1341.8516846</v>
      </c>
      <c r="K1617">
        <v>0</v>
      </c>
      <c r="L1617">
        <v>2750</v>
      </c>
      <c r="M1617">
        <v>2750</v>
      </c>
      <c r="N1617">
        <v>0</v>
      </c>
    </row>
    <row r="1618" spans="1:14" x14ac:dyDescent="0.25">
      <c r="A1618">
        <v>918.35069199999998</v>
      </c>
      <c r="B1618" s="1">
        <f>DATE(2012,11,4) + TIME(8,24,59)</f>
        <v>41217.350682870368</v>
      </c>
      <c r="C1618">
        <v>80</v>
      </c>
      <c r="D1618">
        <v>79.537818908999995</v>
      </c>
      <c r="E1618">
        <v>50</v>
      </c>
      <c r="F1618">
        <v>50.011470795000001</v>
      </c>
      <c r="G1618">
        <v>1326.5006103999999</v>
      </c>
      <c r="H1618">
        <v>1323.9083252</v>
      </c>
      <c r="I1618">
        <v>1347.0153809000001</v>
      </c>
      <c r="J1618">
        <v>1341.8421631000001</v>
      </c>
      <c r="K1618">
        <v>0</v>
      </c>
      <c r="L1618">
        <v>2750</v>
      </c>
      <c r="M1618">
        <v>2750</v>
      </c>
      <c r="N1618">
        <v>0</v>
      </c>
    </row>
    <row r="1619" spans="1:14" x14ac:dyDescent="0.25">
      <c r="A1619">
        <v>918.56519500000002</v>
      </c>
      <c r="B1619" s="1">
        <f>DATE(2012,11,4) + TIME(13,33,52)</f>
        <v>41217.565185185187</v>
      </c>
      <c r="C1619">
        <v>80</v>
      </c>
      <c r="D1619">
        <v>79.514694214000002</v>
      </c>
      <c r="E1619">
        <v>50</v>
      </c>
      <c r="F1619">
        <v>50.003341675000001</v>
      </c>
      <c r="G1619">
        <v>1326.4937743999999</v>
      </c>
      <c r="H1619">
        <v>1323.8994141000001</v>
      </c>
      <c r="I1619">
        <v>1346.9991454999999</v>
      </c>
      <c r="J1619">
        <v>1341.8328856999999</v>
      </c>
      <c r="K1619">
        <v>0</v>
      </c>
      <c r="L1619">
        <v>2750</v>
      </c>
      <c r="M1619">
        <v>2750</v>
      </c>
      <c r="N1619">
        <v>0</v>
      </c>
    </row>
    <row r="1620" spans="1:14" x14ac:dyDescent="0.25">
      <c r="A1620">
        <v>918.79192599999999</v>
      </c>
      <c r="B1620" s="1">
        <f>DATE(2012,11,4) + TIME(19,0,22)</f>
        <v>41217.791921296295</v>
      </c>
      <c r="C1620">
        <v>80</v>
      </c>
      <c r="D1620">
        <v>79.490547179999993</v>
      </c>
      <c r="E1620">
        <v>50</v>
      </c>
      <c r="F1620">
        <v>49.997020720999998</v>
      </c>
      <c r="G1620">
        <v>1326.4865723</v>
      </c>
      <c r="H1620">
        <v>1323.8897704999999</v>
      </c>
      <c r="I1620">
        <v>1346.9830322</v>
      </c>
      <c r="J1620">
        <v>1341.8238524999999</v>
      </c>
      <c r="K1620">
        <v>0</v>
      </c>
      <c r="L1620">
        <v>2750</v>
      </c>
      <c r="M1620">
        <v>2750</v>
      </c>
      <c r="N1620">
        <v>0</v>
      </c>
    </row>
    <row r="1621" spans="1:14" x14ac:dyDescent="0.25">
      <c r="A1621">
        <v>919.02931899999999</v>
      </c>
      <c r="B1621" s="1">
        <f>DATE(2012,11,5) + TIME(0,42,13)</f>
        <v>41218.029317129629</v>
      </c>
      <c r="C1621">
        <v>80</v>
      </c>
      <c r="D1621">
        <v>79.465499878000003</v>
      </c>
      <c r="E1621">
        <v>50</v>
      </c>
      <c r="F1621">
        <v>49.992198944000002</v>
      </c>
      <c r="G1621">
        <v>1326.4787598</v>
      </c>
      <c r="H1621">
        <v>1323.8793945</v>
      </c>
      <c r="I1621">
        <v>1346.9670410000001</v>
      </c>
      <c r="J1621">
        <v>1341.8149414</v>
      </c>
      <c r="K1621">
        <v>0</v>
      </c>
      <c r="L1621">
        <v>2750</v>
      </c>
      <c r="M1621">
        <v>2750</v>
      </c>
      <c r="N1621">
        <v>0</v>
      </c>
    </row>
    <row r="1622" spans="1:14" x14ac:dyDescent="0.25">
      <c r="A1622">
        <v>919.27194499999996</v>
      </c>
      <c r="B1622" s="1">
        <f>DATE(2012,11,5) + TIME(6,31,36)</f>
        <v>41218.271944444445</v>
      </c>
      <c r="C1622">
        <v>80</v>
      </c>
      <c r="D1622">
        <v>79.440002441000004</v>
      </c>
      <c r="E1622">
        <v>50</v>
      </c>
      <c r="F1622">
        <v>49.988624573000003</v>
      </c>
      <c r="G1622">
        <v>1326.4704589999999</v>
      </c>
      <c r="H1622">
        <v>1323.8684082</v>
      </c>
      <c r="I1622">
        <v>1346.9514160000001</v>
      </c>
      <c r="J1622">
        <v>1341.8061522999999</v>
      </c>
      <c r="K1622">
        <v>0</v>
      </c>
      <c r="L1622">
        <v>2750</v>
      </c>
      <c r="M1622">
        <v>2750</v>
      </c>
      <c r="N1622">
        <v>0</v>
      </c>
    </row>
    <row r="1623" spans="1:14" x14ac:dyDescent="0.25">
      <c r="A1623">
        <v>919.52043300000003</v>
      </c>
      <c r="B1623" s="1">
        <f>DATE(2012,11,5) + TIME(12,29,25)</f>
        <v>41218.520428240743</v>
      </c>
      <c r="C1623">
        <v>80</v>
      </c>
      <c r="D1623">
        <v>79.414016724000007</v>
      </c>
      <c r="E1623">
        <v>50</v>
      </c>
      <c r="F1623">
        <v>49.985984801999997</v>
      </c>
      <c r="G1623">
        <v>1326.4619141000001</v>
      </c>
      <c r="H1623">
        <v>1323.8568115</v>
      </c>
      <c r="I1623">
        <v>1346.9364014</v>
      </c>
      <c r="J1623">
        <v>1341.7976074000001</v>
      </c>
      <c r="K1623">
        <v>0</v>
      </c>
      <c r="L1623">
        <v>2750</v>
      </c>
      <c r="M1623">
        <v>2750</v>
      </c>
      <c r="N1623">
        <v>0</v>
      </c>
    </row>
    <row r="1624" spans="1:14" x14ac:dyDescent="0.25">
      <c r="A1624">
        <v>919.77523599999995</v>
      </c>
      <c r="B1624" s="1">
        <f>DATE(2012,11,5) + TIME(18,36,20)</f>
        <v>41218.775231481479</v>
      </c>
      <c r="C1624">
        <v>80</v>
      </c>
      <c r="D1624">
        <v>79.387542725000003</v>
      </c>
      <c r="E1624">
        <v>50</v>
      </c>
      <c r="F1624">
        <v>49.984031676999997</v>
      </c>
      <c r="G1624">
        <v>1326.4530029</v>
      </c>
      <c r="H1624">
        <v>1323.8448486</v>
      </c>
      <c r="I1624">
        <v>1346.9217529</v>
      </c>
      <c r="J1624">
        <v>1341.7894286999999</v>
      </c>
      <c r="K1624">
        <v>0</v>
      </c>
      <c r="L1624">
        <v>2750</v>
      </c>
      <c r="M1624">
        <v>2750</v>
      </c>
      <c r="N1624">
        <v>0</v>
      </c>
    </row>
    <row r="1625" spans="1:14" x14ac:dyDescent="0.25">
      <c r="A1625">
        <v>920.03610900000001</v>
      </c>
      <c r="B1625" s="1">
        <f>DATE(2012,11,6) + TIME(0,51,59)</f>
        <v>41219.036099537036</v>
      </c>
      <c r="C1625">
        <v>80</v>
      </c>
      <c r="D1625">
        <v>79.360595703000001</v>
      </c>
      <c r="E1625">
        <v>50</v>
      </c>
      <c r="F1625">
        <v>49.982601166000002</v>
      </c>
      <c r="G1625">
        <v>1326.4437256000001</v>
      </c>
      <c r="H1625">
        <v>1323.8323975000001</v>
      </c>
      <c r="I1625">
        <v>1346.9074707</v>
      </c>
      <c r="J1625">
        <v>1341.7814940999999</v>
      </c>
      <c r="K1625">
        <v>0</v>
      </c>
      <c r="L1625">
        <v>2750</v>
      </c>
      <c r="M1625">
        <v>2750</v>
      </c>
      <c r="N1625">
        <v>0</v>
      </c>
    </row>
    <row r="1626" spans="1:14" x14ac:dyDescent="0.25">
      <c r="A1626">
        <v>920.301288</v>
      </c>
      <c r="B1626" s="1">
        <f>DATE(2012,11,6) + TIME(7,13,51)</f>
        <v>41219.30128472222</v>
      </c>
      <c r="C1626">
        <v>80</v>
      </c>
      <c r="D1626">
        <v>79.333343506000006</v>
      </c>
      <c r="E1626">
        <v>50</v>
      </c>
      <c r="F1626">
        <v>49.981555939000003</v>
      </c>
      <c r="G1626">
        <v>1326.434082</v>
      </c>
      <c r="H1626">
        <v>1323.8194579999999</v>
      </c>
      <c r="I1626">
        <v>1346.8936768000001</v>
      </c>
      <c r="J1626">
        <v>1341.7736815999999</v>
      </c>
      <c r="K1626">
        <v>0</v>
      </c>
      <c r="L1626">
        <v>2750</v>
      </c>
      <c r="M1626">
        <v>2750</v>
      </c>
      <c r="N1626">
        <v>0</v>
      </c>
    </row>
    <row r="1627" spans="1:14" x14ac:dyDescent="0.25">
      <c r="A1627">
        <v>920.571147</v>
      </c>
      <c r="B1627" s="1">
        <f>DATE(2012,11,6) + TIME(13,42,27)</f>
        <v>41219.571145833332</v>
      </c>
      <c r="C1627">
        <v>80</v>
      </c>
      <c r="D1627">
        <v>79.305770874000004</v>
      </c>
      <c r="E1627">
        <v>50</v>
      </c>
      <c r="F1627">
        <v>49.980792999000002</v>
      </c>
      <c r="G1627">
        <v>1326.4240723</v>
      </c>
      <c r="H1627">
        <v>1323.8060303</v>
      </c>
      <c r="I1627">
        <v>1346.880249</v>
      </c>
      <c r="J1627">
        <v>1341.7662353999999</v>
      </c>
      <c r="K1627">
        <v>0</v>
      </c>
      <c r="L1627">
        <v>2750</v>
      </c>
      <c r="M1627">
        <v>2750</v>
      </c>
      <c r="N1627">
        <v>0</v>
      </c>
    </row>
    <row r="1628" spans="1:14" x14ac:dyDescent="0.25">
      <c r="A1628">
        <v>920.846318</v>
      </c>
      <c r="B1628" s="1">
        <f>DATE(2012,11,6) + TIME(20,18,41)</f>
        <v>41219.846307870372</v>
      </c>
      <c r="C1628">
        <v>80</v>
      </c>
      <c r="D1628">
        <v>79.277854919000006</v>
      </c>
      <c r="E1628">
        <v>50</v>
      </c>
      <c r="F1628">
        <v>49.980236052999999</v>
      </c>
      <c r="G1628">
        <v>1326.4139404</v>
      </c>
      <c r="H1628">
        <v>1323.7921143000001</v>
      </c>
      <c r="I1628">
        <v>1346.8671875</v>
      </c>
      <c r="J1628">
        <v>1341.7589111</v>
      </c>
      <c r="K1628">
        <v>0</v>
      </c>
      <c r="L1628">
        <v>2750</v>
      </c>
      <c r="M1628">
        <v>2750</v>
      </c>
      <c r="N1628">
        <v>0</v>
      </c>
    </row>
    <row r="1629" spans="1:14" x14ac:dyDescent="0.25">
      <c r="A1629">
        <v>921.127341</v>
      </c>
      <c r="B1629" s="1">
        <f>DATE(2012,11,7) + TIME(3,3,22)</f>
        <v>41220.127337962964</v>
      </c>
      <c r="C1629">
        <v>80</v>
      </c>
      <c r="D1629">
        <v>79.249557495000005</v>
      </c>
      <c r="E1629">
        <v>50</v>
      </c>
      <c r="F1629">
        <v>49.979824065999999</v>
      </c>
      <c r="G1629">
        <v>1326.4033202999999</v>
      </c>
      <c r="H1629">
        <v>1323.777832</v>
      </c>
      <c r="I1629">
        <v>1346.8544922000001</v>
      </c>
      <c r="J1629">
        <v>1341.7517089999999</v>
      </c>
      <c r="K1629">
        <v>0</v>
      </c>
      <c r="L1629">
        <v>2750</v>
      </c>
      <c r="M1629">
        <v>2750</v>
      </c>
      <c r="N1629">
        <v>0</v>
      </c>
    </row>
    <row r="1630" spans="1:14" x14ac:dyDescent="0.25">
      <c r="A1630">
        <v>921.41473199999996</v>
      </c>
      <c r="B1630" s="1">
        <f>DATE(2012,11,7) + TIME(9,57,12)</f>
        <v>41220.414722222224</v>
      </c>
      <c r="C1630">
        <v>80</v>
      </c>
      <c r="D1630">
        <v>79.220848083000007</v>
      </c>
      <c r="E1630">
        <v>50</v>
      </c>
      <c r="F1630">
        <v>49.979518890000001</v>
      </c>
      <c r="G1630">
        <v>1326.3924560999999</v>
      </c>
      <c r="H1630">
        <v>1323.7629394999999</v>
      </c>
      <c r="I1630">
        <v>1346.8420410000001</v>
      </c>
      <c r="J1630">
        <v>1341.744751</v>
      </c>
      <c r="K1630">
        <v>0</v>
      </c>
      <c r="L1630">
        <v>2750</v>
      </c>
      <c r="M1630">
        <v>2750</v>
      </c>
      <c r="N1630">
        <v>0</v>
      </c>
    </row>
    <row r="1631" spans="1:14" x14ac:dyDescent="0.25">
      <c r="A1631">
        <v>921.70885699999997</v>
      </c>
      <c r="B1631" s="1">
        <f>DATE(2012,11,7) + TIME(17,0,45)</f>
        <v>41220.708854166667</v>
      </c>
      <c r="C1631">
        <v>80</v>
      </c>
      <c r="D1631">
        <v>79.191703795999999</v>
      </c>
      <c r="E1631">
        <v>50</v>
      </c>
      <c r="F1631">
        <v>49.979293822999999</v>
      </c>
      <c r="G1631">
        <v>1326.3812256000001</v>
      </c>
      <c r="H1631">
        <v>1323.7476807</v>
      </c>
      <c r="I1631">
        <v>1346.8298339999999</v>
      </c>
      <c r="J1631">
        <v>1341.7379149999999</v>
      </c>
      <c r="K1631">
        <v>0</v>
      </c>
      <c r="L1631">
        <v>2750</v>
      </c>
      <c r="M1631">
        <v>2750</v>
      </c>
      <c r="N1631">
        <v>0</v>
      </c>
    </row>
    <row r="1632" spans="1:14" x14ac:dyDescent="0.25">
      <c r="A1632">
        <v>922.00757199999998</v>
      </c>
      <c r="B1632" s="1">
        <f>DATE(2012,11,8) + TIME(0,10,54)</f>
        <v>41221.007569444446</v>
      </c>
      <c r="C1632">
        <v>80</v>
      </c>
      <c r="D1632">
        <v>79.162284850999995</v>
      </c>
      <c r="E1632">
        <v>50</v>
      </c>
      <c r="F1632">
        <v>49.979125977000002</v>
      </c>
      <c r="G1632">
        <v>1326.3696289</v>
      </c>
      <c r="H1632">
        <v>1323.7318115</v>
      </c>
      <c r="I1632">
        <v>1346.8178711</v>
      </c>
      <c r="J1632">
        <v>1341.7312012</v>
      </c>
      <c r="K1632">
        <v>0</v>
      </c>
      <c r="L1632">
        <v>2750</v>
      </c>
      <c r="M1632">
        <v>2750</v>
      </c>
      <c r="N1632">
        <v>0</v>
      </c>
    </row>
    <row r="1633" spans="1:14" x14ac:dyDescent="0.25">
      <c r="A1633">
        <v>922.311373</v>
      </c>
      <c r="B1633" s="1">
        <f>DATE(2012,11,8) + TIME(7,28,22)</f>
        <v>41221.311365740738</v>
      </c>
      <c r="C1633">
        <v>80</v>
      </c>
      <c r="D1633">
        <v>79.132568359000004</v>
      </c>
      <c r="E1633">
        <v>50</v>
      </c>
      <c r="F1633">
        <v>49.978996277</v>
      </c>
      <c r="G1633">
        <v>1326.3577881000001</v>
      </c>
      <c r="H1633">
        <v>1323.7154541</v>
      </c>
      <c r="I1633">
        <v>1346.8061522999999</v>
      </c>
      <c r="J1633">
        <v>1341.7246094</v>
      </c>
      <c r="K1633">
        <v>0</v>
      </c>
      <c r="L1633">
        <v>2750</v>
      </c>
      <c r="M1633">
        <v>2750</v>
      </c>
      <c r="N1633">
        <v>0</v>
      </c>
    </row>
    <row r="1634" spans="1:14" x14ac:dyDescent="0.25">
      <c r="A1634">
        <v>922.620994</v>
      </c>
      <c r="B1634" s="1">
        <f>DATE(2012,11,8) + TIME(14,54,13)</f>
        <v>41221.620983796296</v>
      </c>
      <c r="C1634">
        <v>80</v>
      </c>
      <c r="D1634">
        <v>79.102516174000002</v>
      </c>
      <c r="E1634">
        <v>50</v>
      </c>
      <c r="F1634">
        <v>49.978900908999996</v>
      </c>
      <c r="G1634">
        <v>1326.3455810999999</v>
      </c>
      <c r="H1634">
        <v>1323.6987305</v>
      </c>
      <c r="I1634">
        <v>1346.7947998</v>
      </c>
      <c r="J1634">
        <v>1341.7181396000001</v>
      </c>
      <c r="K1634">
        <v>0</v>
      </c>
      <c r="L1634">
        <v>2750</v>
      </c>
      <c r="M1634">
        <v>2750</v>
      </c>
      <c r="N1634">
        <v>0</v>
      </c>
    </row>
    <row r="1635" spans="1:14" x14ac:dyDescent="0.25">
      <c r="A1635">
        <v>922.93703000000005</v>
      </c>
      <c r="B1635" s="1">
        <f>DATE(2012,11,8) + TIME(22,29,19)</f>
        <v>41221.937025462961</v>
      </c>
      <c r="C1635">
        <v>80</v>
      </c>
      <c r="D1635">
        <v>79.072090149000005</v>
      </c>
      <c r="E1635">
        <v>50</v>
      </c>
      <c r="F1635">
        <v>49.978824615000001</v>
      </c>
      <c r="G1635">
        <v>1326.3330077999999</v>
      </c>
      <c r="H1635">
        <v>1323.6815185999999</v>
      </c>
      <c r="I1635">
        <v>1346.7835693</v>
      </c>
      <c r="J1635">
        <v>1341.7119141000001</v>
      </c>
      <c r="K1635">
        <v>0</v>
      </c>
      <c r="L1635">
        <v>2750</v>
      </c>
      <c r="M1635">
        <v>2750</v>
      </c>
      <c r="N1635">
        <v>0</v>
      </c>
    </row>
    <row r="1636" spans="1:14" x14ac:dyDescent="0.25">
      <c r="A1636">
        <v>923.26008400000001</v>
      </c>
      <c r="B1636" s="1">
        <f>DATE(2012,11,9) + TIME(6,14,31)</f>
        <v>41222.260081018518</v>
      </c>
      <c r="C1636">
        <v>80</v>
      </c>
      <c r="D1636">
        <v>79.041252135999997</v>
      </c>
      <c r="E1636">
        <v>50</v>
      </c>
      <c r="F1636">
        <v>49.978763579999999</v>
      </c>
      <c r="G1636">
        <v>1326.3200684000001</v>
      </c>
      <c r="H1636">
        <v>1323.6636963000001</v>
      </c>
      <c r="I1636">
        <v>1346.7725829999999</v>
      </c>
      <c r="J1636">
        <v>1341.7056885</v>
      </c>
      <c r="K1636">
        <v>0</v>
      </c>
      <c r="L1636">
        <v>2750</v>
      </c>
      <c r="M1636">
        <v>2750</v>
      </c>
      <c r="N1636">
        <v>0</v>
      </c>
    </row>
    <row r="1637" spans="1:14" x14ac:dyDescent="0.25">
      <c r="A1637">
        <v>923.59078199999999</v>
      </c>
      <c r="B1637" s="1">
        <f>DATE(2012,11,9) + TIME(14,10,43)</f>
        <v>41222.590775462966</v>
      </c>
      <c r="C1637">
        <v>80</v>
      </c>
      <c r="D1637">
        <v>79.009956360000004</v>
      </c>
      <c r="E1637">
        <v>50</v>
      </c>
      <c r="F1637">
        <v>49.978713988999999</v>
      </c>
      <c r="G1637">
        <v>1326.3067627</v>
      </c>
      <c r="H1637">
        <v>1323.6453856999999</v>
      </c>
      <c r="I1637">
        <v>1346.7618408000001</v>
      </c>
      <c r="J1637">
        <v>1341.6995850000001</v>
      </c>
      <c r="K1637">
        <v>0</v>
      </c>
      <c r="L1637">
        <v>2750</v>
      </c>
      <c r="M1637">
        <v>2750</v>
      </c>
      <c r="N1637">
        <v>0</v>
      </c>
    </row>
    <row r="1638" spans="1:14" x14ac:dyDescent="0.25">
      <c r="A1638">
        <v>923.92977299999995</v>
      </c>
      <c r="B1638" s="1">
        <f>DATE(2012,11,9) + TIME(22,18,52)</f>
        <v>41222.929768518516</v>
      </c>
      <c r="C1638">
        <v>80</v>
      </c>
      <c r="D1638">
        <v>78.978164672999995</v>
      </c>
      <c r="E1638">
        <v>50</v>
      </c>
      <c r="F1638">
        <v>49.978672027999998</v>
      </c>
      <c r="G1638">
        <v>1326.2930908000001</v>
      </c>
      <c r="H1638">
        <v>1323.6264647999999</v>
      </c>
      <c r="I1638">
        <v>1346.7510986</v>
      </c>
      <c r="J1638">
        <v>1341.6936035000001</v>
      </c>
      <c r="K1638">
        <v>0</v>
      </c>
      <c r="L1638">
        <v>2750</v>
      </c>
      <c r="M1638">
        <v>2750</v>
      </c>
      <c r="N1638">
        <v>0</v>
      </c>
    </row>
    <row r="1639" spans="1:14" x14ac:dyDescent="0.25">
      <c r="A1639">
        <v>924.277737</v>
      </c>
      <c r="B1639" s="1">
        <f>DATE(2012,11,10) + TIME(6,39,56)</f>
        <v>41223.277731481481</v>
      </c>
      <c r="C1639">
        <v>80</v>
      </c>
      <c r="D1639">
        <v>78.945823669000006</v>
      </c>
      <c r="E1639">
        <v>50</v>
      </c>
      <c r="F1639">
        <v>49.978637695000003</v>
      </c>
      <c r="G1639">
        <v>1326.2789307</v>
      </c>
      <c r="H1639">
        <v>1323.6069336</v>
      </c>
      <c r="I1639">
        <v>1346.7406006000001</v>
      </c>
      <c r="J1639">
        <v>1341.6876221</v>
      </c>
      <c r="K1639">
        <v>0</v>
      </c>
      <c r="L1639">
        <v>2750</v>
      </c>
      <c r="M1639">
        <v>2750</v>
      </c>
      <c r="N1639">
        <v>0</v>
      </c>
    </row>
    <row r="1640" spans="1:14" x14ac:dyDescent="0.25">
      <c r="A1640">
        <v>924.63538900000003</v>
      </c>
      <c r="B1640" s="1">
        <f>DATE(2012,11,10) + TIME(15,14,57)</f>
        <v>41223.635381944441</v>
      </c>
      <c r="C1640">
        <v>80</v>
      </c>
      <c r="D1640">
        <v>78.912887573000006</v>
      </c>
      <c r="E1640">
        <v>50</v>
      </c>
      <c r="F1640">
        <v>49.978607177999997</v>
      </c>
      <c r="G1640">
        <v>1326.2642822</v>
      </c>
      <c r="H1640">
        <v>1323.5867920000001</v>
      </c>
      <c r="I1640">
        <v>1346.7301024999999</v>
      </c>
      <c r="J1640">
        <v>1341.6816406</v>
      </c>
      <c r="K1640">
        <v>0</v>
      </c>
      <c r="L1640">
        <v>2750</v>
      </c>
      <c r="M1640">
        <v>2750</v>
      </c>
      <c r="N1640">
        <v>0</v>
      </c>
    </row>
    <row r="1641" spans="1:14" x14ac:dyDescent="0.25">
      <c r="A1641">
        <v>925.00349600000004</v>
      </c>
      <c r="B1641" s="1">
        <f>DATE(2012,11,11) + TIME(0,5,2)</f>
        <v>41224.003495370373</v>
      </c>
      <c r="C1641">
        <v>80</v>
      </c>
      <c r="D1641">
        <v>78.879302979000002</v>
      </c>
      <c r="E1641">
        <v>50</v>
      </c>
      <c r="F1641">
        <v>49.978580475000001</v>
      </c>
      <c r="G1641">
        <v>1326.2491454999999</v>
      </c>
      <c r="H1641">
        <v>1323.565918</v>
      </c>
      <c r="I1641">
        <v>1346.7197266000001</v>
      </c>
      <c r="J1641">
        <v>1341.6759033000001</v>
      </c>
      <c r="K1641">
        <v>0</v>
      </c>
      <c r="L1641">
        <v>2750</v>
      </c>
      <c r="M1641">
        <v>2750</v>
      </c>
      <c r="N1641">
        <v>0</v>
      </c>
    </row>
    <row r="1642" spans="1:14" x14ac:dyDescent="0.25">
      <c r="A1642">
        <v>925.382881</v>
      </c>
      <c r="B1642" s="1">
        <f>DATE(2012,11,11) + TIME(9,11,20)</f>
        <v>41224.382870370369</v>
      </c>
      <c r="C1642">
        <v>80</v>
      </c>
      <c r="D1642">
        <v>78.845016478999995</v>
      </c>
      <c r="E1642">
        <v>50</v>
      </c>
      <c r="F1642">
        <v>49.978557586999997</v>
      </c>
      <c r="G1642">
        <v>1326.2335204999999</v>
      </c>
      <c r="H1642">
        <v>1323.5441894999999</v>
      </c>
      <c r="I1642">
        <v>1346.7093506000001</v>
      </c>
      <c r="J1642">
        <v>1341.6700439000001</v>
      </c>
      <c r="K1642">
        <v>0</v>
      </c>
      <c r="L1642">
        <v>2750</v>
      </c>
      <c r="M1642">
        <v>2750</v>
      </c>
      <c r="N1642">
        <v>0</v>
      </c>
    </row>
    <row r="1643" spans="1:14" x14ac:dyDescent="0.25">
      <c r="A1643">
        <v>925.77425700000003</v>
      </c>
      <c r="B1643" s="1">
        <f>DATE(2012,11,11) + TIME(18,34,55)</f>
        <v>41224.774247685185</v>
      </c>
      <c r="C1643">
        <v>80</v>
      </c>
      <c r="D1643">
        <v>78.809974670000003</v>
      </c>
      <c r="E1643">
        <v>50</v>
      </c>
      <c r="F1643">
        <v>49.978538512999997</v>
      </c>
      <c r="G1643">
        <v>1326.2172852000001</v>
      </c>
      <c r="H1643">
        <v>1323.5217285000001</v>
      </c>
      <c r="I1643">
        <v>1346.6990966999999</v>
      </c>
      <c r="J1643">
        <v>1341.6643065999999</v>
      </c>
      <c r="K1643">
        <v>0</v>
      </c>
      <c r="L1643">
        <v>2750</v>
      </c>
      <c r="M1643">
        <v>2750</v>
      </c>
      <c r="N1643">
        <v>0</v>
      </c>
    </row>
    <row r="1644" spans="1:14" x14ac:dyDescent="0.25">
      <c r="A1644">
        <v>926.17872599999998</v>
      </c>
      <c r="B1644" s="1">
        <f>DATE(2012,11,12) + TIME(4,17,21)</f>
        <v>41225.178715277776</v>
      </c>
      <c r="C1644">
        <v>80</v>
      </c>
      <c r="D1644">
        <v>78.774116516000007</v>
      </c>
      <c r="E1644">
        <v>50</v>
      </c>
      <c r="F1644">
        <v>49.978519439999999</v>
      </c>
      <c r="G1644">
        <v>1326.2004394999999</v>
      </c>
      <c r="H1644">
        <v>1323.4984131000001</v>
      </c>
      <c r="I1644">
        <v>1346.6889647999999</v>
      </c>
      <c r="J1644">
        <v>1341.6584473</v>
      </c>
      <c r="K1644">
        <v>0</v>
      </c>
      <c r="L1644">
        <v>2750</v>
      </c>
      <c r="M1644">
        <v>2750</v>
      </c>
      <c r="N1644">
        <v>0</v>
      </c>
    </row>
    <row r="1645" spans="1:14" x14ac:dyDescent="0.25">
      <c r="A1645">
        <v>926.59733400000005</v>
      </c>
      <c r="B1645" s="1">
        <f>DATE(2012,11,12) + TIME(14,20,9)</f>
        <v>41225.597326388888</v>
      </c>
      <c r="C1645">
        <v>80</v>
      </c>
      <c r="D1645">
        <v>78.737365722999996</v>
      </c>
      <c r="E1645">
        <v>50</v>
      </c>
      <c r="F1645">
        <v>49.978500365999999</v>
      </c>
      <c r="G1645">
        <v>1326.1829834</v>
      </c>
      <c r="H1645">
        <v>1323.4742432</v>
      </c>
      <c r="I1645">
        <v>1346.6787108999999</v>
      </c>
      <c r="J1645">
        <v>1341.6527100000001</v>
      </c>
      <c r="K1645">
        <v>0</v>
      </c>
      <c r="L1645">
        <v>2750</v>
      </c>
      <c r="M1645">
        <v>2750</v>
      </c>
      <c r="N1645">
        <v>0</v>
      </c>
    </row>
    <row r="1646" spans="1:14" x14ac:dyDescent="0.25">
      <c r="A1646">
        <v>927.03122399999995</v>
      </c>
      <c r="B1646" s="1">
        <f>DATE(2012,11,13) + TIME(0,44,57)</f>
        <v>41226.031215277777</v>
      </c>
      <c r="C1646">
        <v>80</v>
      </c>
      <c r="D1646">
        <v>78.699661254999995</v>
      </c>
      <c r="E1646">
        <v>50</v>
      </c>
      <c r="F1646">
        <v>49.978485106999997</v>
      </c>
      <c r="G1646">
        <v>1326.1647949000001</v>
      </c>
      <c r="H1646">
        <v>1323.4489745999999</v>
      </c>
      <c r="I1646">
        <v>1346.6685791</v>
      </c>
      <c r="J1646">
        <v>1341.6469727000001</v>
      </c>
      <c r="K1646">
        <v>0</v>
      </c>
      <c r="L1646">
        <v>2750</v>
      </c>
      <c r="M1646">
        <v>2750</v>
      </c>
      <c r="N1646">
        <v>0</v>
      </c>
    </row>
    <row r="1647" spans="1:14" x14ac:dyDescent="0.25">
      <c r="A1647">
        <v>927.48165500000005</v>
      </c>
      <c r="B1647" s="1">
        <f>DATE(2012,11,13) + TIME(11,33,34)</f>
        <v>41226.48164351852</v>
      </c>
      <c r="C1647">
        <v>80</v>
      </c>
      <c r="D1647">
        <v>78.660911560000002</v>
      </c>
      <c r="E1647">
        <v>50</v>
      </c>
      <c r="F1647">
        <v>49.978469849</v>
      </c>
      <c r="G1647">
        <v>1326.145874</v>
      </c>
      <c r="H1647">
        <v>1323.4227295000001</v>
      </c>
      <c r="I1647">
        <v>1346.6583252</v>
      </c>
      <c r="J1647">
        <v>1341.6412353999999</v>
      </c>
      <c r="K1647">
        <v>0</v>
      </c>
      <c r="L1647">
        <v>2750</v>
      </c>
      <c r="M1647">
        <v>2750</v>
      </c>
      <c r="N1647">
        <v>0</v>
      </c>
    </row>
    <row r="1648" spans="1:14" x14ac:dyDescent="0.25">
      <c r="A1648">
        <v>927.95001400000001</v>
      </c>
      <c r="B1648" s="1">
        <f>DATE(2012,11,13) + TIME(22,48,1)</f>
        <v>41226.950011574074</v>
      </c>
      <c r="C1648">
        <v>80</v>
      </c>
      <c r="D1648">
        <v>78.621055603000002</v>
      </c>
      <c r="E1648">
        <v>50</v>
      </c>
      <c r="F1648">
        <v>49.978454589999998</v>
      </c>
      <c r="G1648">
        <v>1326.1260986</v>
      </c>
      <c r="H1648">
        <v>1323.3952637</v>
      </c>
      <c r="I1648">
        <v>1346.6480713000001</v>
      </c>
      <c r="J1648">
        <v>1341.6354980000001</v>
      </c>
      <c r="K1648">
        <v>0</v>
      </c>
      <c r="L1648">
        <v>2750</v>
      </c>
      <c r="M1648">
        <v>2750</v>
      </c>
      <c r="N1648">
        <v>0</v>
      </c>
    </row>
    <row r="1649" spans="1:14" x14ac:dyDescent="0.25">
      <c r="A1649">
        <v>928.43783699999994</v>
      </c>
      <c r="B1649" s="1">
        <f>DATE(2012,11,14) + TIME(10,30,29)</f>
        <v>41227.437835648147</v>
      </c>
      <c r="C1649">
        <v>80</v>
      </c>
      <c r="D1649">
        <v>78.579978943</v>
      </c>
      <c r="E1649">
        <v>50</v>
      </c>
      <c r="F1649">
        <v>49.978439330999997</v>
      </c>
      <c r="G1649">
        <v>1326.1055908000001</v>
      </c>
      <c r="H1649">
        <v>1323.3666992000001</v>
      </c>
      <c r="I1649">
        <v>1346.6378173999999</v>
      </c>
      <c r="J1649">
        <v>1341.6297606999999</v>
      </c>
      <c r="K1649">
        <v>0</v>
      </c>
      <c r="L1649">
        <v>2750</v>
      </c>
      <c r="M1649">
        <v>2750</v>
      </c>
      <c r="N1649">
        <v>0</v>
      </c>
    </row>
    <row r="1650" spans="1:14" x14ac:dyDescent="0.25">
      <c r="A1650">
        <v>928.94670699999995</v>
      </c>
      <c r="B1650" s="1">
        <f>DATE(2012,11,14) + TIME(22,43,15)</f>
        <v>41227.946701388886</v>
      </c>
      <c r="C1650">
        <v>80</v>
      </c>
      <c r="D1650">
        <v>78.537605286000002</v>
      </c>
      <c r="E1650">
        <v>50</v>
      </c>
      <c r="F1650">
        <v>49.978424072000003</v>
      </c>
      <c r="G1650">
        <v>1326.0839844</v>
      </c>
      <c r="H1650">
        <v>1323.3366699000001</v>
      </c>
      <c r="I1650">
        <v>1346.6274414</v>
      </c>
      <c r="J1650">
        <v>1341.6239014</v>
      </c>
      <c r="K1650">
        <v>0</v>
      </c>
      <c r="L1650">
        <v>2750</v>
      </c>
      <c r="M1650">
        <v>2750</v>
      </c>
      <c r="N1650">
        <v>0</v>
      </c>
    </row>
    <row r="1651" spans="1:14" x14ac:dyDescent="0.25">
      <c r="A1651">
        <v>929.47337500000003</v>
      </c>
      <c r="B1651" s="1">
        <f>DATE(2012,11,15) + TIME(11,21,39)</f>
        <v>41228.473368055558</v>
      </c>
      <c r="C1651">
        <v>80</v>
      </c>
      <c r="D1651">
        <v>78.494071959999999</v>
      </c>
      <c r="E1651">
        <v>50</v>
      </c>
      <c r="F1651">
        <v>49.978412628000001</v>
      </c>
      <c r="G1651">
        <v>1326.0615233999999</v>
      </c>
      <c r="H1651">
        <v>1323.3054199000001</v>
      </c>
      <c r="I1651">
        <v>1346.6170654</v>
      </c>
      <c r="J1651">
        <v>1341.6181641000001</v>
      </c>
      <c r="K1651">
        <v>0</v>
      </c>
      <c r="L1651">
        <v>2750</v>
      </c>
      <c r="M1651">
        <v>2750</v>
      </c>
      <c r="N1651">
        <v>0</v>
      </c>
    </row>
    <row r="1652" spans="1:14" x14ac:dyDescent="0.25">
      <c r="A1652">
        <v>930.01950599999998</v>
      </c>
      <c r="B1652" s="1">
        <f>DATE(2012,11,16) + TIME(0,28,5)</f>
        <v>41229.019502314812</v>
      </c>
      <c r="C1652">
        <v>80</v>
      </c>
      <c r="D1652">
        <v>78.449340820000003</v>
      </c>
      <c r="E1652">
        <v>50</v>
      </c>
      <c r="F1652">
        <v>49.978397369</v>
      </c>
      <c r="G1652">
        <v>1326.0380858999999</v>
      </c>
      <c r="H1652">
        <v>1323.2728271000001</v>
      </c>
      <c r="I1652">
        <v>1346.6066894999999</v>
      </c>
      <c r="J1652">
        <v>1341.6123047000001</v>
      </c>
      <c r="K1652">
        <v>0</v>
      </c>
      <c r="L1652">
        <v>2750</v>
      </c>
      <c r="M1652">
        <v>2750</v>
      </c>
      <c r="N1652">
        <v>0</v>
      </c>
    </row>
    <row r="1653" spans="1:14" x14ac:dyDescent="0.25">
      <c r="A1653">
        <v>930.58615499999996</v>
      </c>
      <c r="B1653" s="1">
        <f>DATE(2012,11,16) + TIME(14,4,3)</f>
        <v>41229.586145833331</v>
      </c>
      <c r="C1653">
        <v>80</v>
      </c>
      <c r="D1653">
        <v>78.403388977000006</v>
      </c>
      <c r="E1653">
        <v>50</v>
      </c>
      <c r="F1653">
        <v>49.978385924999998</v>
      </c>
      <c r="G1653">
        <v>1326.0136719</v>
      </c>
      <c r="H1653">
        <v>1323.2387695</v>
      </c>
      <c r="I1653">
        <v>1346.5963135</v>
      </c>
      <c r="J1653">
        <v>1341.6064452999999</v>
      </c>
      <c r="K1653">
        <v>0</v>
      </c>
      <c r="L1653">
        <v>2750</v>
      </c>
      <c r="M1653">
        <v>2750</v>
      </c>
      <c r="N1653">
        <v>0</v>
      </c>
    </row>
    <row r="1654" spans="1:14" x14ac:dyDescent="0.25">
      <c r="A1654">
        <v>931.15978700000005</v>
      </c>
      <c r="B1654" s="1">
        <f>DATE(2012,11,17) + TIME(3,50,5)</f>
        <v>41230.159780092596</v>
      </c>
      <c r="C1654">
        <v>80</v>
      </c>
      <c r="D1654">
        <v>78.356842040999993</v>
      </c>
      <c r="E1654">
        <v>50</v>
      </c>
      <c r="F1654">
        <v>49.978374481000003</v>
      </c>
      <c r="G1654">
        <v>1325.9884033000001</v>
      </c>
      <c r="H1654">
        <v>1323.2036132999999</v>
      </c>
      <c r="I1654">
        <v>1346.5859375</v>
      </c>
      <c r="J1654">
        <v>1341.6007079999999</v>
      </c>
      <c r="K1654">
        <v>0</v>
      </c>
      <c r="L1654">
        <v>2750</v>
      </c>
      <c r="M1654">
        <v>2750</v>
      </c>
      <c r="N1654">
        <v>0</v>
      </c>
    </row>
    <row r="1655" spans="1:14" x14ac:dyDescent="0.25">
      <c r="A1655">
        <v>931.74173599999995</v>
      </c>
      <c r="B1655" s="1">
        <f>DATE(2012,11,17) + TIME(17,48,5)</f>
        <v>41230.741724537038</v>
      </c>
      <c r="C1655">
        <v>80</v>
      </c>
      <c r="D1655">
        <v>78.309860228999995</v>
      </c>
      <c r="E1655">
        <v>50</v>
      </c>
      <c r="F1655">
        <v>49.978363037000001</v>
      </c>
      <c r="G1655">
        <v>1325.9625243999999</v>
      </c>
      <c r="H1655">
        <v>1323.1676024999999</v>
      </c>
      <c r="I1655">
        <v>1346.5756836</v>
      </c>
      <c r="J1655">
        <v>1341.5949707</v>
      </c>
      <c r="K1655">
        <v>0</v>
      </c>
      <c r="L1655">
        <v>2750</v>
      </c>
      <c r="M1655">
        <v>2750</v>
      </c>
      <c r="N1655">
        <v>0</v>
      </c>
    </row>
    <row r="1656" spans="1:14" x14ac:dyDescent="0.25">
      <c r="A1656">
        <v>932.33318899999995</v>
      </c>
      <c r="B1656" s="1">
        <f>DATE(2012,11,18) + TIME(7,59,47)</f>
        <v>41231.333182870374</v>
      </c>
      <c r="C1656">
        <v>80</v>
      </c>
      <c r="D1656">
        <v>78.262496948000006</v>
      </c>
      <c r="E1656">
        <v>50</v>
      </c>
      <c r="F1656">
        <v>49.978351592999999</v>
      </c>
      <c r="G1656">
        <v>1325.9362793</v>
      </c>
      <c r="H1656">
        <v>1323.1309814000001</v>
      </c>
      <c r="I1656">
        <v>1346.5657959</v>
      </c>
      <c r="J1656">
        <v>1341.5894774999999</v>
      </c>
      <c r="K1656">
        <v>0</v>
      </c>
      <c r="L1656">
        <v>2750</v>
      </c>
      <c r="M1656">
        <v>2750</v>
      </c>
      <c r="N1656">
        <v>0</v>
      </c>
    </row>
    <row r="1657" spans="1:14" x14ac:dyDescent="0.25">
      <c r="A1657">
        <v>932.93535999999995</v>
      </c>
      <c r="B1657" s="1">
        <f>DATE(2012,11,18) + TIME(22,26,55)</f>
        <v>41231.935358796298</v>
      </c>
      <c r="C1657">
        <v>80</v>
      </c>
      <c r="D1657">
        <v>78.214744568</v>
      </c>
      <c r="E1657">
        <v>50</v>
      </c>
      <c r="F1657">
        <v>49.978340148999997</v>
      </c>
      <c r="G1657">
        <v>1325.9095459</v>
      </c>
      <c r="H1657">
        <v>1323.0936279</v>
      </c>
      <c r="I1657">
        <v>1346.5560303</v>
      </c>
      <c r="J1657">
        <v>1341.5839844</v>
      </c>
      <c r="K1657">
        <v>0</v>
      </c>
      <c r="L1657">
        <v>2750</v>
      </c>
      <c r="M1657">
        <v>2750</v>
      </c>
      <c r="N1657">
        <v>0</v>
      </c>
    </row>
    <row r="1658" spans="1:14" x14ac:dyDescent="0.25">
      <c r="A1658">
        <v>933.54951700000004</v>
      </c>
      <c r="B1658" s="1">
        <f>DATE(2012,11,19) + TIME(13,11,18)</f>
        <v>41232.549513888887</v>
      </c>
      <c r="C1658">
        <v>80</v>
      </c>
      <c r="D1658">
        <v>78.166564941000004</v>
      </c>
      <c r="E1658">
        <v>50</v>
      </c>
      <c r="F1658">
        <v>49.978332520000002</v>
      </c>
      <c r="G1658">
        <v>1325.8822021000001</v>
      </c>
      <c r="H1658">
        <v>1323.0554199000001</v>
      </c>
      <c r="I1658">
        <v>1346.5463867000001</v>
      </c>
      <c r="J1658">
        <v>1341.5786132999999</v>
      </c>
      <c r="K1658">
        <v>0</v>
      </c>
      <c r="L1658">
        <v>2750</v>
      </c>
      <c r="M1658">
        <v>2750</v>
      </c>
      <c r="N1658">
        <v>0</v>
      </c>
    </row>
    <row r="1659" spans="1:14" x14ac:dyDescent="0.25">
      <c r="A1659">
        <v>934.176963</v>
      </c>
      <c r="B1659" s="1">
        <f>DATE(2012,11,20) + TIME(4,14,49)</f>
        <v>41233.17695601852</v>
      </c>
      <c r="C1659">
        <v>80</v>
      </c>
      <c r="D1659">
        <v>78.117912292</v>
      </c>
      <c r="E1659">
        <v>50</v>
      </c>
      <c r="F1659">
        <v>49.978321074999997</v>
      </c>
      <c r="G1659">
        <v>1325.8542480000001</v>
      </c>
      <c r="H1659">
        <v>1323.0164795000001</v>
      </c>
      <c r="I1659">
        <v>1346.5368652</v>
      </c>
      <c r="J1659">
        <v>1341.5733643000001</v>
      </c>
      <c r="K1659">
        <v>0</v>
      </c>
      <c r="L1659">
        <v>2750</v>
      </c>
      <c r="M1659">
        <v>2750</v>
      </c>
      <c r="N1659">
        <v>0</v>
      </c>
    </row>
    <row r="1660" spans="1:14" x14ac:dyDescent="0.25">
      <c r="A1660">
        <v>934.81903999999997</v>
      </c>
      <c r="B1660" s="1">
        <f>DATE(2012,11,20) + TIME(19,39,25)</f>
        <v>41233.819039351853</v>
      </c>
      <c r="C1660">
        <v>80</v>
      </c>
      <c r="D1660">
        <v>78.068702697999996</v>
      </c>
      <c r="E1660">
        <v>50</v>
      </c>
      <c r="F1660">
        <v>49.978313446000001</v>
      </c>
      <c r="G1660">
        <v>1325.8256836</v>
      </c>
      <c r="H1660">
        <v>1322.9765625</v>
      </c>
      <c r="I1660">
        <v>1346.5274658000001</v>
      </c>
      <c r="J1660">
        <v>1341.5682373</v>
      </c>
      <c r="K1660">
        <v>0</v>
      </c>
      <c r="L1660">
        <v>2750</v>
      </c>
      <c r="M1660">
        <v>2750</v>
      </c>
      <c r="N1660">
        <v>0</v>
      </c>
    </row>
    <row r="1661" spans="1:14" x14ac:dyDescent="0.25">
      <c r="A1661">
        <v>935.47719300000006</v>
      </c>
      <c r="B1661" s="1">
        <f>DATE(2012,11,21) + TIME(11,27,9)</f>
        <v>41234.477187500001</v>
      </c>
      <c r="C1661">
        <v>80</v>
      </c>
      <c r="D1661">
        <v>78.018875121999997</v>
      </c>
      <c r="E1661">
        <v>50</v>
      </c>
      <c r="F1661">
        <v>49.978305816999999</v>
      </c>
      <c r="G1661">
        <v>1325.7963867000001</v>
      </c>
      <c r="H1661">
        <v>1322.9356689000001</v>
      </c>
      <c r="I1661">
        <v>1346.5180664</v>
      </c>
      <c r="J1661">
        <v>1341.5629882999999</v>
      </c>
      <c r="K1661">
        <v>0</v>
      </c>
      <c r="L1661">
        <v>2750</v>
      </c>
      <c r="M1661">
        <v>2750</v>
      </c>
      <c r="N1661">
        <v>0</v>
      </c>
    </row>
    <row r="1662" spans="1:14" x14ac:dyDescent="0.25">
      <c r="A1662">
        <v>936.15284199999996</v>
      </c>
      <c r="B1662" s="1">
        <f>DATE(2012,11,22) + TIME(3,40,5)</f>
        <v>41235.15283564815</v>
      </c>
      <c r="C1662">
        <v>80</v>
      </c>
      <c r="D1662">
        <v>77.968345642000003</v>
      </c>
      <c r="E1662">
        <v>50</v>
      </c>
      <c r="F1662">
        <v>49.978294372999997</v>
      </c>
      <c r="G1662">
        <v>1325.7663574000001</v>
      </c>
      <c r="H1662">
        <v>1322.8936768000001</v>
      </c>
      <c r="I1662">
        <v>1346.5089111</v>
      </c>
      <c r="J1662">
        <v>1341.5579834</v>
      </c>
      <c r="K1662">
        <v>0</v>
      </c>
      <c r="L1662">
        <v>2750</v>
      </c>
      <c r="M1662">
        <v>2750</v>
      </c>
      <c r="N1662">
        <v>0</v>
      </c>
    </row>
    <row r="1663" spans="1:14" x14ac:dyDescent="0.25">
      <c r="A1663">
        <v>936.84738900000002</v>
      </c>
      <c r="B1663" s="1">
        <f>DATE(2012,11,22) + TIME(20,20,14)</f>
        <v>41235.847384259258</v>
      </c>
      <c r="C1663">
        <v>80</v>
      </c>
      <c r="D1663">
        <v>77.917037964000002</v>
      </c>
      <c r="E1663">
        <v>50</v>
      </c>
      <c r="F1663">
        <v>49.978286742999998</v>
      </c>
      <c r="G1663">
        <v>1325.7355957</v>
      </c>
      <c r="H1663">
        <v>1322.8505858999999</v>
      </c>
      <c r="I1663">
        <v>1346.4996338000001</v>
      </c>
      <c r="J1663">
        <v>1341.5528564000001</v>
      </c>
      <c r="K1663">
        <v>0</v>
      </c>
      <c r="L1663">
        <v>2750</v>
      </c>
      <c r="M1663">
        <v>2750</v>
      </c>
      <c r="N1663">
        <v>0</v>
      </c>
    </row>
    <row r="1664" spans="1:14" x14ac:dyDescent="0.25">
      <c r="A1664">
        <v>937.562726</v>
      </c>
      <c r="B1664" s="1">
        <f>DATE(2012,11,23) + TIME(13,30,19)</f>
        <v>41236.562719907408</v>
      </c>
      <c r="C1664">
        <v>80</v>
      </c>
      <c r="D1664">
        <v>77.864860535000005</v>
      </c>
      <c r="E1664">
        <v>50</v>
      </c>
      <c r="F1664">
        <v>49.978279114000003</v>
      </c>
      <c r="G1664">
        <v>1325.7038574000001</v>
      </c>
      <c r="H1664">
        <v>1322.8063964999999</v>
      </c>
      <c r="I1664">
        <v>1346.4904785000001</v>
      </c>
      <c r="J1664">
        <v>1341.5478516000001</v>
      </c>
      <c r="K1664">
        <v>0</v>
      </c>
      <c r="L1664">
        <v>2750</v>
      </c>
      <c r="M1664">
        <v>2750</v>
      </c>
      <c r="N1664">
        <v>0</v>
      </c>
    </row>
    <row r="1665" spans="1:14" x14ac:dyDescent="0.25">
      <c r="A1665">
        <v>938.30071699999996</v>
      </c>
      <c r="B1665" s="1">
        <f>DATE(2012,11,24) + TIME(7,13,1)</f>
        <v>41237.300706018519</v>
      </c>
      <c r="C1665">
        <v>80</v>
      </c>
      <c r="D1665">
        <v>77.811714171999995</v>
      </c>
      <c r="E1665">
        <v>50</v>
      </c>
      <c r="F1665">
        <v>49.978271483999997</v>
      </c>
      <c r="G1665">
        <v>1325.6712646000001</v>
      </c>
      <c r="H1665">
        <v>1322.7607422000001</v>
      </c>
      <c r="I1665">
        <v>1346.4814452999999</v>
      </c>
      <c r="J1665">
        <v>1341.5428466999999</v>
      </c>
      <c r="K1665">
        <v>0</v>
      </c>
      <c r="L1665">
        <v>2750</v>
      </c>
      <c r="M1665">
        <v>2750</v>
      </c>
      <c r="N1665">
        <v>0</v>
      </c>
    </row>
    <row r="1666" spans="1:14" x14ac:dyDescent="0.25">
      <c r="A1666">
        <v>939.06338500000004</v>
      </c>
      <c r="B1666" s="1">
        <f>DATE(2012,11,25) + TIME(1,31,16)</f>
        <v>41238.063379629632</v>
      </c>
      <c r="C1666">
        <v>80</v>
      </c>
      <c r="D1666">
        <v>77.757507324000002</v>
      </c>
      <c r="E1666">
        <v>50</v>
      </c>
      <c r="F1666">
        <v>49.978263855000002</v>
      </c>
      <c r="G1666">
        <v>1325.6375731999999</v>
      </c>
      <c r="H1666">
        <v>1322.7137451000001</v>
      </c>
      <c r="I1666">
        <v>1346.4722899999999</v>
      </c>
      <c r="J1666">
        <v>1341.5378418</v>
      </c>
      <c r="K1666">
        <v>0</v>
      </c>
      <c r="L1666">
        <v>2750</v>
      </c>
      <c r="M1666">
        <v>2750</v>
      </c>
      <c r="N1666">
        <v>0</v>
      </c>
    </row>
    <row r="1667" spans="1:14" x14ac:dyDescent="0.25">
      <c r="A1667">
        <v>939.85293899999999</v>
      </c>
      <c r="B1667" s="1">
        <f>DATE(2012,11,25) + TIME(20,28,13)</f>
        <v>41238.85292824074</v>
      </c>
      <c r="C1667">
        <v>80</v>
      </c>
      <c r="D1667">
        <v>77.702125549000002</v>
      </c>
      <c r="E1667">
        <v>50</v>
      </c>
      <c r="F1667">
        <v>49.978260040000002</v>
      </c>
      <c r="G1667">
        <v>1325.6027832</v>
      </c>
      <c r="H1667">
        <v>1322.6651611</v>
      </c>
      <c r="I1667">
        <v>1346.4631348</v>
      </c>
      <c r="J1667">
        <v>1341.5328368999999</v>
      </c>
      <c r="K1667">
        <v>0</v>
      </c>
      <c r="L1667">
        <v>2750</v>
      </c>
      <c r="M1667">
        <v>2750</v>
      </c>
      <c r="N1667">
        <v>0</v>
      </c>
    </row>
    <row r="1668" spans="1:14" x14ac:dyDescent="0.25">
      <c r="A1668">
        <v>940.67180099999996</v>
      </c>
      <c r="B1668" s="1">
        <f>DATE(2012,11,26) + TIME(16,7,23)</f>
        <v>41239.671793981484</v>
      </c>
      <c r="C1668">
        <v>80</v>
      </c>
      <c r="D1668">
        <v>77.645454407000003</v>
      </c>
      <c r="E1668">
        <v>50</v>
      </c>
      <c r="F1668">
        <v>49.978252411</v>
      </c>
      <c r="G1668">
        <v>1325.5667725000001</v>
      </c>
      <c r="H1668">
        <v>1322.6148682</v>
      </c>
      <c r="I1668">
        <v>1346.4539795000001</v>
      </c>
      <c r="J1668">
        <v>1341.527832</v>
      </c>
      <c r="K1668">
        <v>0</v>
      </c>
      <c r="L1668">
        <v>2750</v>
      </c>
      <c r="M1668">
        <v>2750</v>
      </c>
      <c r="N1668">
        <v>0</v>
      </c>
    </row>
    <row r="1669" spans="1:14" x14ac:dyDescent="0.25">
      <c r="A1669">
        <v>941.52262800000005</v>
      </c>
      <c r="B1669" s="1">
        <f>DATE(2012,11,27) + TIME(12,32,35)</f>
        <v>41240.522627314815</v>
      </c>
      <c r="C1669">
        <v>80</v>
      </c>
      <c r="D1669">
        <v>77.587387085000003</v>
      </c>
      <c r="E1669">
        <v>50</v>
      </c>
      <c r="F1669">
        <v>49.978244781000001</v>
      </c>
      <c r="G1669">
        <v>1325.5295410000001</v>
      </c>
      <c r="H1669">
        <v>1322.5628661999999</v>
      </c>
      <c r="I1669">
        <v>1346.4447021000001</v>
      </c>
      <c r="J1669">
        <v>1341.5228271000001</v>
      </c>
      <c r="K1669">
        <v>0</v>
      </c>
      <c r="L1669">
        <v>2750</v>
      </c>
      <c r="M1669">
        <v>2750</v>
      </c>
      <c r="N1669">
        <v>0</v>
      </c>
    </row>
    <row r="1670" spans="1:14" x14ac:dyDescent="0.25">
      <c r="A1670">
        <v>942.40834800000005</v>
      </c>
      <c r="B1670" s="1">
        <f>DATE(2012,11,28) + TIME(9,48,1)</f>
        <v>41241.40834490741</v>
      </c>
      <c r="C1670">
        <v>80</v>
      </c>
      <c r="D1670">
        <v>77.527778624999996</v>
      </c>
      <c r="E1670">
        <v>50</v>
      </c>
      <c r="F1670">
        <v>49.978240966999998</v>
      </c>
      <c r="G1670">
        <v>1325.4909668</v>
      </c>
      <c r="H1670">
        <v>1322.5089111</v>
      </c>
      <c r="I1670">
        <v>1346.4354248</v>
      </c>
      <c r="J1670">
        <v>1341.5178223</v>
      </c>
      <c r="K1670">
        <v>0</v>
      </c>
      <c r="L1670">
        <v>2750</v>
      </c>
      <c r="M1670">
        <v>2750</v>
      </c>
      <c r="N1670">
        <v>0</v>
      </c>
    </row>
    <row r="1671" spans="1:14" x14ac:dyDescent="0.25">
      <c r="A1671">
        <v>943.32611999999995</v>
      </c>
      <c r="B1671" s="1">
        <f>DATE(2012,11,29) + TIME(7,49,36)</f>
        <v>41242.326111111113</v>
      </c>
      <c r="C1671">
        <v>80</v>
      </c>
      <c r="D1671">
        <v>77.466667174999998</v>
      </c>
      <c r="E1671">
        <v>50</v>
      </c>
      <c r="F1671">
        <v>49.978233336999999</v>
      </c>
      <c r="G1671">
        <v>1325.4508057</v>
      </c>
      <c r="H1671">
        <v>1322.4528809000001</v>
      </c>
      <c r="I1671">
        <v>1346.4261475000001</v>
      </c>
      <c r="J1671">
        <v>1341.5126952999999</v>
      </c>
      <c r="K1671">
        <v>0</v>
      </c>
      <c r="L1671">
        <v>2750</v>
      </c>
      <c r="M1671">
        <v>2750</v>
      </c>
      <c r="N1671">
        <v>0</v>
      </c>
    </row>
    <row r="1672" spans="1:14" x14ac:dyDescent="0.25">
      <c r="A1672">
        <v>944.25883499999998</v>
      </c>
      <c r="B1672" s="1">
        <f>DATE(2012,11,30) + TIME(6,12,43)</f>
        <v>41243.258831018517</v>
      </c>
      <c r="C1672">
        <v>80</v>
      </c>
      <c r="D1672">
        <v>77.404609679999993</v>
      </c>
      <c r="E1672">
        <v>50</v>
      </c>
      <c r="F1672">
        <v>49.978229523000003</v>
      </c>
      <c r="G1672">
        <v>1325.4093018000001</v>
      </c>
      <c r="H1672">
        <v>1322.3950195</v>
      </c>
      <c r="I1672">
        <v>1346.4167480000001</v>
      </c>
      <c r="J1672">
        <v>1341.5076904</v>
      </c>
      <c r="K1672">
        <v>0</v>
      </c>
      <c r="L1672">
        <v>2750</v>
      </c>
      <c r="M1672">
        <v>2750</v>
      </c>
      <c r="N1672">
        <v>0</v>
      </c>
    </row>
    <row r="1673" spans="1:14" x14ac:dyDescent="0.25">
      <c r="A1673">
        <v>945</v>
      </c>
      <c r="B1673" s="1">
        <f>DATE(2012,12,1) + TIME(0,0,0)</f>
        <v>41244</v>
      </c>
      <c r="C1673">
        <v>80</v>
      </c>
      <c r="D1673">
        <v>77.348655700999998</v>
      </c>
      <c r="E1673">
        <v>50</v>
      </c>
      <c r="F1673">
        <v>49.978221892999997</v>
      </c>
      <c r="G1673">
        <v>1325.3680420000001</v>
      </c>
      <c r="H1673">
        <v>1322.3377685999999</v>
      </c>
      <c r="I1673">
        <v>1346.4074707</v>
      </c>
      <c r="J1673">
        <v>1341.5025635</v>
      </c>
      <c r="K1673">
        <v>0</v>
      </c>
      <c r="L1673">
        <v>2750</v>
      </c>
      <c r="M1673">
        <v>2750</v>
      </c>
      <c r="N1673">
        <v>0</v>
      </c>
    </row>
    <row r="1674" spans="1:14" x14ac:dyDescent="0.25">
      <c r="A1674">
        <v>945.94726300000002</v>
      </c>
      <c r="B1674" s="1">
        <f>DATE(2012,12,1) + TIME(22,44,3)</f>
        <v>41244.947256944448</v>
      </c>
      <c r="C1674">
        <v>80</v>
      </c>
      <c r="D1674">
        <v>77.290138244999994</v>
      </c>
      <c r="E1674">
        <v>50</v>
      </c>
      <c r="F1674">
        <v>49.978218079000001</v>
      </c>
      <c r="G1674">
        <v>1325.3320312000001</v>
      </c>
      <c r="H1674">
        <v>1322.286499</v>
      </c>
      <c r="I1674">
        <v>1346.4003906</v>
      </c>
      <c r="J1674">
        <v>1341.4987793</v>
      </c>
      <c r="K1674">
        <v>0</v>
      </c>
      <c r="L1674">
        <v>2750</v>
      </c>
      <c r="M1674">
        <v>2750</v>
      </c>
      <c r="N1674">
        <v>0</v>
      </c>
    </row>
    <row r="1675" spans="1:14" x14ac:dyDescent="0.25">
      <c r="A1675">
        <v>946.92555700000003</v>
      </c>
      <c r="B1675" s="1">
        <f>DATE(2012,12,2) + TIME(22,12,48)</f>
        <v>41245.925555555557</v>
      </c>
      <c r="C1675">
        <v>80</v>
      </c>
      <c r="D1675">
        <v>77.228881835999999</v>
      </c>
      <c r="E1675">
        <v>50</v>
      </c>
      <c r="F1675">
        <v>49.978214264000002</v>
      </c>
      <c r="G1675">
        <v>1325.2899170000001</v>
      </c>
      <c r="H1675">
        <v>1322.2279053</v>
      </c>
      <c r="I1675">
        <v>1346.3914795000001</v>
      </c>
      <c r="J1675">
        <v>1341.4940185999999</v>
      </c>
      <c r="K1675">
        <v>0</v>
      </c>
      <c r="L1675">
        <v>2750</v>
      </c>
      <c r="M1675">
        <v>2750</v>
      </c>
      <c r="N1675">
        <v>0</v>
      </c>
    </row>
    <row r="1676" spans="1:14" x14ac:dyDescent="0.25">
      <c r="A1676">
        <v>947.924308</v>
      </c>
      <c r="B1676" s="1">
        <f>DATE(2012,12,3) + TIME(22,11,0)</f>
        <v>41246.924305555556</v>
      </c>
      <c r="C1676">
        <v>80</v>
      </c>
      <c r="D1676">
        <v>77.166015625</v>
      </c>
      <c r="E1676">
        <v>50</v>
      </c>
      <c r="F1676">
        <v>49.978210449000002</v>
      </c>
      <c r="G1676">
        <v>1325.2460937999999</v>
      </c>
      <c r="H1676">
        <v>1322.1669922000001</v>
      </c>
      <c r="I1676">
        <v>1346.3825684000001</v>
      </c>
      <c r="J1676">
        <v>1341.4892577999999</v>
      </c>
      <c r="K1676">
        <v>0</v>
      </c>
      <c r="L1676">
        <v>2750</v>
      </c>
      <c r="M1676">
        <v>2750</v>
      </c>
      <c r="N1676">
        <v>0</v>
      </c>
    </row>
    <row r="1677" spans="1:14" x14ac:dyDescent="0.25">
      <c r="A1677">
        <v>948.94609100000002</v>
      </c>
      <c r="B1677" s="1">
        <f>DATE(2012,12,4) + TIME(22,42,22)</f>
        <v>41247.946087962962</v>
      </c>
      <c r="C1677">
        <v>80</v>
      </c>
      <c r="D1677">
        <v>77.102111816000004</v>
      </c>
      <c r="E1677">
        <v>50</v>
      </c>
      <c r="F1677">
        <v>49.978206634999999</v>
      </c>
      <c r="G1677">
        <v>1325.2014160000001</v>
      </c>
      <c r="H1677">
        <v>1322.1044922000001</v>
      </c>
      <c r="I1677">
        <v>1346.3737793</v>
      </c>
      <c r="J1677">
        <v>1341.4846190999999</v>
      </c>
      <c r="K1677">
        <v>0</v>
      </c>
      <c r="L1677">
        <v>2750</v>
      </c>
      <c r="M1677">
        <v>2750</v>
      </c>
      <c r="N1677">
        <v>0</v>
      </c>
    </row>
    <row r="1678" spans="1:14" x14ac:dyDescent="0.25">
      <c r="A1678">
        <v>949.99330999999995</v>
      </c>
      <c r="B1678" s="1">
        <f>DATE(2012,12,5) + TIME(23,50,22)</f>
        <v>41248.993310185186</v>
      </c>
      <c r="C1678">
        <v>80</v>
      </c>
      <c r="D1678">
        <v>77.037330627000003</v>
      </c>
      <c r="E1678">
        <v>50</v>
      </c>
      <c r="F1678">
        <v>49.978206634999999</v>
      </c>
      <c r="G1678">
        <v>1325.1555175999999</v>
      </c>
      <c r="H1678">
        <v>1322.0406493999999</v>
      </c>
      <c r="I1678">
        <v>1346.3651123</v>
      </c>
      <c r="J1678">
        <v>1341.4798584</v>
      </c>
      <c r="K1678">
        <v>0</v>
      </c>
      <c r="L1678">
        <v>2750</v>
      </c>
      <c r="M1678">
        <v>2750</v>
      </c>
      <c r="N1678">
        <v>0</v>
      </c>
    </row>
    <row r="1679" spans="1:14" x14ac:dyDescent="0.25">
      <c r="A1679">
        <v>951.06822199999999</v>
      </c>
      <c r="B1679" s="1">
        <f>DATE(2012,12,7) + TIME(1,38,14)</f>
        <v>41250.06821759259</v>
      </c>
      <c r="C1679">
        <v>80</v>
      </c>
      <c r="D1679">
        <v>76.971679687999995</v>
      </c>
      <c r="E1679">
        <v>50</v>
      </c>
      <c r="F1679">
        <v>49.97820282</v>
      </c>
      <c r="G1679">
        <v>1325.1087646000001</v>
      </c>
      <c r="H1679">
        <v>1321.9752197</v>
      </c>
      <c r="I1679">
        <v>1346.3563231999999</v>
      </c>
      <c r="J1679">
        <v>1341.4753418</v>
      </c>
      <c r="K1679">
        <v>0</v>
      </c>
      <c r="L1679">
        <v>2750</v>
      </c>
      <c r="M1679">
        <v>2750</v>
      </c>
      <c r="N1679">
        <v>0</v>
      </c>
    </row>
    <row r="1680" spans="1:14" x14ac:dyDescent="0.25">
      <c r="A1680">
        <v>952.17347299999994</v>
      </c>
      <c r="B1680" s="1">
        <f>DATE(2012,12,8) + TIME(4,9,48)</f>
        <v>41251.173472222225</v>
      </c>
      <c r="C1680">
        <v>80</v>
      </c>
      <c r="D1680">
        <v>76.905082703000005</v>
      </c>
      <c r="E1680">
        <v>50</v>
      </c>
      <c r="F1680">
        <v>49.978199005</v>
      </c>
      <c r="G1680">
        <v>1325.0607910000001</v>
      </c>
      <c r="H1680">
        <v>1321.9084473</v>
      </c>
      <c r="I1680">
        <v>1346.3476562000001</v>
      </c>
      <c r="J1680">
        <v>1341.4707031</v>
      </c>
      <c r="K1680">
        <v>0</v>
      </c>
      <c r="L1680">
        <v>2750</v>
      </c>
      <c r="M1680">
        <v>2750</v>
      </c>
      <c r="N1680">
        <v>0</v>
      </c>
    </row>
    <row r="1681" spans="1:14" x14ac:dyDescent="0.25">
      <c r="A1681">
        <v>953.31212600000003</v>
      </c>
      <c r="B1681" s="1">
        <f>DATE(2012,12,9) + TIME(7,29,27)</f>
        <v>41252.312118055554</v>
      </c>
      <c r="C1681">
        <v>80</v>
      </c>
      <c r="D1681">
        <v>76.837425232000001</v>
      </c>
      <c r="E1681">
        <v>50</v>
      </c>
      <c r="F1681">
        <v>49.978199005</v>
      </c>
      <c r="G1681">
        <v>1325.0117187999999</v>
      </c>
      <c r="H1681">
        <v>1321.8399658000001</v>
      </c>
      <c r="I1681">
        <v>1346.3391113</v>
      </c>
      <c r="J1681">
        <v>1341.4660644999999</v>
      </c>
      <c r="K1681">
        <v>0</v>
      </c>
      <c r="L1681">
        <v>2750</v>
      </c>
      <c r="M1681">
        <v>2750</v>
      </c>
      <c r="N1681">
        <v>0</v>
      </c>
    </row>
    <row r="1682" spans="1:14" x14ac:dyDescent="0.25">
      <c r="A1682">
        <v>954.48741500000006</v>
      </c>
      <c r="B1682" s="1">
        <f>DATE(2012,12,10) + TIME(11,41,52)</f>
        <v>41253.487407407411</v>
      </c>
      <c r="C1682">
        <v>80</v>
      </c>
      <c r="D1682">
        <v>76.768569946</v>
      </c>
      <c r="E1682">
        <v>50</v>
      </c>
      <c r="F1682">
        <v>49.978199005</v>
      </c>
      <c r="G1682">
        <v>1324.9614257999999</v>
      </c>
      <c r="H1682">
        <v>1321.7696533000001</v>
      </c>
      <c r="I1682">
        <v>1346.3304443</v>
      </c>
      <c r="J1682">
        <v>1341.4615478999999</v>
      </c>
      <c r="K1682">
        <v>0</v>
      </c>
      <c r="L1682">
        <v>2750</v>
      </c>
      <c r="M1682">
        <v>2750</v>
      </c>
      <c r="N1682">
        <v>0</v>
      </c>
    </row>
    <row r="1683" spans="1:14" x14ac:dyDescent="0.25">
      <c r="A1683">
        <v>955.70284900000001</v>
      </c>
      <c r="B1683" s="1">
        <f>DATE(2012,12,11) + TIME(16,52,6)</f>
        <v>41254.702847222223</v>
      </c>
      <c r="C1683">
        <v>80</v>
      </c>
      <c r="D1683">
        <v>76.698364257999998</v>
      </c>
      <c r="E1683">
        <v>50</v>
      </c>
      <c r="F1683">
        <v>49.978195190000001</v>
      </c>
      <c r="G1683">
        <v>1324.909668</v>
      </c>
      <c r="H1683">
        <v>1321.6975098</v>
      </c>
      <c r="I1683">
        <v>1346.3216553</v>
      </c>
      <c r="J1683">
        <v>1341.4569091999999</v>
      </c>
      <c r="K1683">
        <v>0</v>
      </c>
      <c r="L1683">
        <v>2750</v>
      </c>
      <c r="M1683">
        <v>2750</v>
      </c>
      <c r="N1683">
        <v>0</v>
      </c>
    </row>
    <row r="1684" spans="1:14" x14ac:dyDescent="0.25">
      <c r="A1684">
        <v>956.962266</v>
      </c>
      <c r="B1684" s="1">
        <f>DATE(2012,12,12) + TIME(23,5,39)</f>
        <v>41255.962256944447</v>
      </c>
      <c r="C1684">
        <v>80</v>
      </c>
      <c r="D1684">
        <v>76.626625060999999</v>
      </c>
      <c r="E1684">
        <v>50</v>
      </c>
      <c r="F1684">
        <v>49.978195190000001</v>
      </c>
      <c r="G1684">
        <v>1324.8564452999999</v>
      </c>
      <c r="H1684">
        <v>1321.6232910000001</v>
      </c>
      <c r="I1684">
        <v>1346.3129882999999</v>
      </c>
      <c r="J1684">
        <v>1341.4522704999999</v>
      </c>
      <c r="K1684">
        <v>0</v>
      </c>
      <c r="L1684">
        <v>2750</v>
      </c>
      <c r="M1684">
        <v>2750</v>
      </c>
      <c r="N1684">
        <v>0</v>
      </c>
    </row>
    <row r="1685" spans="1:14" x14ac:dyDescent="0.25">
      <c r="A1685">
        <v>958.26987299999996</v>
      </c>
      <c r="B1685" s="1">
        <f>DATE(2012,12,14) + TIME(6,28,37)</f>
        <v>41257.269872685189</v>
      </c>
      <c r="C1685">
        <v>80</v>
      </c>
      <c r="D1685">
        <v>76.553176879999995</v>
      </c>
      <c r="E1685">
        <v>50</v>
      </c>
      <c r="F1685">
        <v>49.978195190000001</v>
      </c>
      <c r="G1685">
        <v>1324.8015137</v>
      </c>
      <c r="H1685">
        <v>1321.5467529</v>
      </c>
      <c r="I1685">
        <v>1346.3041992000001</v>
      </c>
      <c r="J1685">
        <v>1341.4476318</v>
      </c>
      <c r="K1685">
        <v>0</v>
      </c>
      <c r="L1685">
        <v>2750</v>
      </c>
      <c r="M1685">
        <v>2750</v>
      </c>
      <c r="N1685">
        <v>0</v>
      </c>
    </row>
    <row r="1686" spans="1:14" x14ac:dyDescent="0.25">
      <c r="A1686">
        <v>959.63032299999998</v>
      </c>
      <c r="B1686" s="1">
        <f>DATE(2012,12,15) + TIME(15,7,39)</f>
        <v>41258.630312499998</v>
      </c>
      <c r="C1686">
        <v>80</v>
      </c>
      <c r="D1686">
        <v>76.477821349999999</v>
      </c>
      <c r="E1686">
        <v>50</v>
      </c>
      <c r="F1686">
        <v>49.978199005</v>
      </c>
      <c r="G1686">
        <v>1324.744751</v>
      </c>
      <c r="H1686">
        <v>1321.4677733999999</v>
      </c>
      <c r="I1686">
        <v>1346.2954102000001</v>
      </c>
      <c r="J1686">
        <v>1341.4429932</v>
      </c>
      <c r="K1686">
        <v>0</v>
      </c>
      <c r="L1686">
        <v>2750</v>
      </c>
      <c r="M1686">
        <v>2750</v>
      </c>
      <c r="N1686">
        <v>0</v>
      </c>
    </row>
    <row r="1687" spans="1:14" x14ac:dyDescent="0.25">
      <c r="A1687">
        <v>961.02788999999996</v>
      </c>
      <c r="B1687" s="1">
        <f>DATE(2012,12,17) + TIME(0,40,9)</f>
        <v>41260.027881944443</v>
      </c>
      <c r="C1687">
        <v>80</v>
      </c>
      <c r="D1687">
        <v>76.400695800999998</v>
      </c>
      <c r="E1687">
        <v>50</v>
      </c>
      <c r="F1687">
        <v>49.978199005</v>
      </c>
      <c r="G1687">
        <v>1324.6860352000001</v>
      </c>
      <c r="H1687">
        <v>1321.3861084</v>
      </c>
      <c r="I1687">
        <v>1346.2863769999999</v>
      </c>
      <c r="J1687">
        <v>1341.4383545000001</v>
      </c>
      <c r="K1687">
        <v>0</v>
      </c>
      <c r="L1687">
        <v>2750</v>
      </c>
      <c r="M1687">
        <v>2750</v>
      </c>
      <c r="N1687">
        <v>0</v>
      </c>
    </row>
    <row r="1688" spans="1:14" x14ac:dyDescent="0.25">
      <c r="A1688">
        <v>962.449029</v>
      </c>
      <c r="B1688" s="1">
        <f>DATE(2012,12,18) + TIME(10,46,36)</f>
        <v>41261.44902777778</v>
      </c>
      <c r="C1688">
        <v>80</v>
      </c>
      <c r="D1688">
        <v>76.322395325000002</v>
      </c>
      <c r="E1688">
        <v>50</v>
      </c>
      <c r="F1688">
        <v>49.978199005</v>
      </c>
      <c r="G1688">
        <v>1324.6259766000001</v>
      </c>
      <c r="H1688">
        <v>1321.3026123</v>
      </c>
      <c r="I1688">
        <v>1346.2774658000001</v>
      </c>
      <c r="J1688">
        <v>1341.4335937999999</v>
      </c>
      <c r="K1688">
        <v>0</v>
      </c>
      <c r="L1688">
        <v>2750</v>
      </c>
      <c r="M1688">
        <v>2750</v>
      </c>
      <c r="N1688">
        <v>0</v>
      </c>
    </row>
    <row r="1689" spans="1:14" x14ac:dyDescent="0.25">
      <c r="A1689">
        <v>963.89734499999997</v>
      </c>
      <c r="B1689" s="1">
        <f>DATE(2012,12,19) + TIME(21,32,10)</f>
        <v>41262.897337962961</v>
      </c>
      <c r="C1689">
        <v>80</v>
      </c>
      <c r="D1689">
        <v>76.243347168</v>
      </c>
      <c r="E1689">
        <v>50</v>
      </c>
      <c r="F1689">
        <v>49.97820282</v>
      </c>
      <c r="G1689">
        <v>1324.5650635</v>
      </c>
      <c r="H1689">
        <v>1321.2177733999999</v>
      </c>
      <c r="I1689">
        <v>1346.2686768000001</v>
      </c>
      <c r="J1689">
        <v>1341.4290771000001</v>
      </c>
      <c r="K1689">
        <v>0</v>
      </c>
      <c r="L1689">
        <v>2750</v>
      </c>
      <c r="M1689">
        <v>2750</v>
      </c>
      <c r="N1689">
        <v>0</v>
      </c>
    </row>
    <row r="1690" spans="1:14" x14ac:dyDescent="0.25">
      <c r="A1690">
        <v>965.37634600000001</v>
      </c>
      <c r="B1690" s="1">
        <f>DATE(2012,12,21) + TIME(9,1,56)</f>
        <v>41264.376342592594</v>
      </c>
      <c r="C1690">
        <v>80</v>
      </c>
      <c r="D1690">
        <v>76.163520813000005</v>
      </c>
      <c r="E1690">
        <v>50</v>
      </c>
      <c r="F1690">
        <v>49.97820282</v>
      </c>
      <c r="G1690">
        <v>1324.5032959</v>
      </c>
      <c r="H1690">
        <v>1321.1317139</v>
      </c>
      <c r="I1690">
        <v>1346.2598877</v>
      </c>
      <c r="J1690">
        <v>1341.4244385</v>
      </c>
      <c r="K1690">
        <v>0</v>
      </c>
      <c r="L1690">
        <v>2750</v>
      </c>
      <c r="M1690">
        <v>2750</v>
      </c>
      <c r="N1690">
        <v>0</v>
      </c>
    </row>
    <row r="1691" spans="1:14" x14ac:dyDescent="0.25">
      <c r="A1691">
        <v>966.88982299999998</v>
      </c>
      <c r="B1691" s="1">
        <f>DATE(2012,12,22) + TIME(21,21,20)</f>
        <v>41265.889814814815</v>
      </c>
      <c r="C1691">
        <v>80</v>
      </c>
      <c r="D1691">
        <v>76.082756042</v>
      </c>
      <c r="E1691">
        <v>50</v>
      </c>
      <c r="F1691">
        <v>49.978206634999999</v>
      </c>
      <c r="G1691">
        <v>1324.4405518000001</v>
      </c>
      <c r="H1691">
        <v>1321.0444336</v>
      </c>
      <c r="I1691">
        <v>1346.2512207</v>
      </c>
      <c r="J1691">
        <v>1341.4199219</v>
      </c>
      <c r="K1691">
        <v>0</v>
      </c>
      <c r="L1691">
        <v>2750</v>
      </c>
      <c r="M1691">
        <v>2750</v>
      </c>
      <c r="N1691">
        <v>0</v>
      </c>
    </row>
    <row r="1692" spans="1:14" x14ac:dyDescent="0.25">
      <c r="A1692">
        <v>968.44181900000001</v>
      </c>
      <c r="B1692" s="1">
        <f>DATE(2012,12,24) + TIME(10,36,13)</f>
        <v>41267.441817129627</v>
      </c>
      <c r="C1692">
        <v>80</v>
      </c>
      <c r="D1692">
        <v>76.000854492000002</v>
      </c>
      <c r="E1692">
        <v>50</v>
      </c>
      <c r="F1692">
        <v>49.978210449000002</v>
      </c>
      <c r="G1692">
        <v>1324.3768310999999</v>
      </c>
      <c r="H1692">
        <v>1320.9556885</v>
      </c>
      <c r="I1692">
        <v>1346.2425536999999</v>
      </c>
      <c r="J1692">
        <v>1341.4154053</v>
      </c>
      <c r="K1692">
        <v>0</v>
      </c>
      <c r="L1692">
        <v>2750</v>
      </c>
      <c r="M1692">
        <v>2750</v>
      </c>
      <c r="N1692">
        <v>0</v>
      </c>
    </row>
    <row r="1693" spans="1:14" x14ac:dyDescent="0.25">
      <c r="A1693">
        <v>970.03656999999998</v>
      </c>
      <c r="B1693" s="1">
        <f>DATE(2012,12,26) + TIME(0,52,39)</f>
        <v>41269.036562499998</v>
      </c>
      <c r="C1693">
        <v>80</v>
      </c>
      <c r="D1693">
        <v>75.917564392000003</v>
      </c>
      <c r="E1693">
        <v>50</v>
      </c>
      <c r="F1693">
        <v>49.978214264000002</v>
      </c>
      <c r="G1693">
        <v>1324.3118896000001</v>
      </c>
      <c r="H1693">
        <v>1320.8653564000001</v>
      </c>
      <c r="I1693">
        <v>1346.2338867000001</v>
      </c>
      <c r="J1693">
        <v>1341.4108887</v>
      </c>
      <c r="K1693">
        <v>0</v>
      </c>
      <c r="L1693">
        <v>2750</v>
      </c>
      <c r="M1693">
        <v>2750</v>
      </c>
      <c r="N1693">
        <v>0</v>
      </c>
    </row>
    <row r="1694" spans="1:14" x14ac:dyDescent="0.25">
      <c r="A1694">
        <v>971.67795000000001</v>
      </c>
      <c r="B1694" s="1">
        <f>DATE(2012,12,27) + TIME(16,16,14)</f>
        <v>41270.677939814814</v>
      </c>
      <c r="C1694">
        <v>80</v>
      </c>
      <c r="D1694">
        <v>75.832641601999995</v>
      </c>
      <c r="E1694">
        <v>50</v>
      </c>
      <c r="F1694">
        <v>49.978218079000001</v>
      </c>
      <c r="G1694">
        <v>1324.2456055</v>
      </c>
      <c r="H1694">
        <v>1320.7733154</v>
      </c>
      <c r="I1694">
        <v>1346.2252197</v>
      </c>
      <c r="J1694">
        <v>1341.4063721</v>
      </c>
      <c r="K1694">
        <v>0</v>
      </c>
      <c r="L1694">
        <v>2750</v>
      </c>
      <c r="M1694">
        <v>2750</v>
      </c>
      <c r="N1694">
        <v>0</v>
      </c>
    </row>
    <row r="1695" spans="1:14" x14ac:dyDescent="0.25">
      <c r="A1695">
        <v>973.37079200000005</v>
      </c>
      <c r="B1695" s="1">
        <f>DATE(2012,12,29) + TIME(8,53,56)</f>
        <v>41272.370787037034</v>
      </c>
      <c r="C1695">
        <v>80</v>
      </c>
      <c r="D1695">
        <v>75.745826721</v>
      </c>
      <c r="E1695">
        <v>50</v>
      </c>
      <c r="F1695">
        <v>49.978221892999997</v>
      </c>
      <c r="G1695">
        <v>1324.1779785000001</v>
      </c>
      <c r="H1695">
        <v>1320.6791992000001</v>
      </c>
      <c r="I1695">
        <v>1346.2165527</v>
      </c>
      <c r="J1695">
        <v>1341.4018555</v>
      </c>
      <c r="K1695">
        <v>0</v>
      </c>
      <c r="L1695">
        <v>2750</v>
      </c>
      <c r="M1695">
        <v>2750</v>
      </c>
      <c r="N1695">
        <v>0</v>
      </c>
    </row>
    <row r="1696" spans="1:14" x14ac:dyDescent="0.25">
      <c r="A1696">
        <v>975.12053000000003</v>
      </c>
      <c r="B1696" s="1">
        <f>DATE(2012,12,31) + TIME(2,53,33)</f>
        <v>41274.120520833334</v>
      </c>
      <c r="C1696">
        <v>80</v>
      </c>
      <c r="D1696">
        <v>75.656837463000002</v>
      </c>
      <c r="E1696">
        <v>50</v>
      </c>
      <c r="F1696">
        <v>49.978229523000003</v>
      </c>
      <c r="G1696">
        <v>1324.1087646000001</v>
      </c>
      <c r="H1696">
        <v>1320.5830077999999</v>
      </c>
      <c r="I1696">
        <v>1346.2078856999999</v>
      </c>
      <c r="J1696">
        <v>1341.3973389</v>
      </c>
      <c r="K1696">
        <v>0</v>
      </c>
      <c r="L1696">
        <v>2750</v>
      </c>
      <c r="M1696">
        <v>2750</v>
      </c>
      <c r="N1696">
        <v>0</v>
      </c>
    </row>
    <row r="1697" spans="1:14" x14ac:dyDescent="0.25">
      <c r="A1697">
        <v>976</v>
      </c>
      <c r="B1697" s="1">
        <f>DATE(2013,1,1) + TIME(0,0,0)</f>
        <v>41275</v>
      </c>
      <c r="C1697">
        <v>80</v>
      </c>
      <c r="D1697">
        <v>75.584732056000007</v>
      </c>
      <c r="E1697">
        <v>50</v>
      </c>
      <c r="F1697">
        <v>49.978225707999997</v>
      </c>
      <c r="G1697">
        <v>1324.0408935999999</v>
      </c>
      <c r="H1697">
        <v>1320.4904785000001</v>
      </c>
      <c r="I1697">
        <v>1346.1989745999999</v>
      </c>
      <c r="J1697">
        <v>1341.3925781</v>
      </c>
      <c r="K1697">
        <v>0</v>
      </c>
      <c r="L1697">
        <v>2750</v>
      </c>
      <c r="M1697">
        <v>2750</v>
      </c>
      <c r="N1697">
        <v>0</v>
      </c>
    </row>
    <row r="1698" spans="1:14" x14ac:dyDescent="0.25">
      <c r="A1698">
        <v>977.81248900000003</v>
      </c>
      <c r="B1698" s="1">
        <f>DATE(2013,1,2) + TIME(19,29,59)</f>
        <v>41276.812488425923</v>
      </c>
      <c r="C1698">
        <v>80</v>
      </c>
      <c r="D1698">
        <v>75.512893676999994</v>
      </c>
      <c r="E1698">
        <v>50</v>
      </c>
      <c r="F1698">
        <v>49.978237151999998</v>
      </c>
      <c r="G1698">
        <v>1323.9958495999999</v>
      </c>
      <c r="H1698">
        <v>1320.4240723</v>
      </c>
      <c r="I1698">
        <v>1346.1948242000001</v>
      </c>
      <c r="J1698">
        <v>1341.3905029</v>
      </c>
      <c r="K1698">
        <v>0</v>
      </c>
      <c r="L1698">
        <v>2750</v>
      </c>
      <c r="M1698">
        <v>2750</v>
      </c>
      <c r="N1698">
        <v>0</v>
      </c>
    </row>
    <row r="1699" spans="1:14" x14ac:dyDescent="0.25">
      <c r="A1699">
        <v>979.72902999999997</v>
      </c>
      <c r="B1699" s="1">
        <f>DATE(2013,1,4) + TIME(17,29,48)</f>
        <v>41278.729027777779</v>
      </c>
      <c r="C1699">
        <v>80</v>
      </c>
      <c r="D1699">
        <v>75.423271178999997</v>
      </c>
      <c r="E1699">
        <v>50</v>
      </c>
      <c r="F1699">
        <v>49.978244781000001</v>
      </c>
      <c r="G1699">
        <v>1323.9277344</v>
      </c>
      <c r="H1699">
        <v>1320.3309326000001</v>
      </c>
      <c r="I1699">
        <v>1346.1860352000001</v>
      </c>
      <c r="J1699">
        <v>1341.3859863</v>
      </c>
      <c r="K1699">
        <v>0</v>
      </c>
      <c r="L1699">
        <v>2750</v>
      </c>
      <c r="M1699">
        <v>2750</v>
      </c>
      <c r="N1699">
        <v>0</v>
      </c>
    </row>
    <row r="1700" spans="1:14" x14ac:dyDescent="0.25">
      <c r="A1700">
        <v>981.72396800000001</v>
      </c>
      <c r="B1700" s="1">
        <f>DATE(2013,1,6) + TIME(17,22,30)</f>
        <v>41280.723958333336</v>
      </c>
      <c r="C1700">
        <v>80</v>
      </c>
      <c r="D1700">
        <v>75.325424193999993</v>
      </c>
      <c r="E1700">
        <v>50</v>
      </c>
      <c r="F1700">
        <v>49.978256225999999</v>
      </c>
      <c r="G1700">
        <v>1323.8531493999999</v>
      </c>
      <c r="H1700">
        <v>1320.2280272999999</v>
      </c>
      <c r="I1700">
        <v>1346.1770019999999</v>
      </c>
      <c r="J1700">
        <v>1341.3812256000001</v>
      </c>
      <c r="K1700">
        <v>0</v>
      </c>
      <c r="L1700">
        <v>2750</v>
      </c>
      <c r="M1700">
        <v>2750</v>
      </c>
      <c r="N1700">
        <v>0</v>
      </c>
    </row>
    <row r="1701" spans="1:14" x14ac:dyDescent="0.25">
      <c r="A1701">
        <v>983.75825099999997</v>
      </c>
      <c r="B1701" s="1">
        <f>DATE(2013,1,8) + TIME(18,11,52)</f>
        <v>41282.758240740739</v>
      </c>
      <c r="C1701">
        <v>80</v>
      </c>
      <c r="D1701">
        <v>75.223022460999999</v>
      </c>
      <c r="E1701">
        <v>50</v>
      </c>
      <c r="F1701">
        <v>49.978263855000002</v>
      </c>
      <c r="G1701">
        <v>1323.7751464999999</v>
      </c>
      <c r="H1701">
        <v>1320.1201172000001</v>
      </c>
      <c r="I1701">
        <v>1346.1678466999999</v>
      </c>
      <c r="J1701">
        <v>1341.3764647999999</v>
      </c>
      <c r="K1701">
        <v>0</v>
      </c>
      <c r="L1701">
        <v>2750</v>
      </c>
      <c r="M1701">
        <v>2750</v>
      </c>
      <c r="N1701">
        <v>0</v>
      </c>
    </row>
    <row r="1702" spans="1:14" x14ac:dyDescent="0.25">
      <c r="A1702">
        <v>985.84575099999995</v>
      </c>
      <c r="B1702" s="1">
        <f>DATE(2013,1,10) + TIME(20,17,52)</f>
        <v>41284.84574074074</v>
      </c>
      <c r="C1702">
        <v>80</v>
      </c>
      <c r="D1702">
        <v>75.117858886999997</v>
      </c>
      <c r="E1702">
        <v>50</v>
      </c>
      <c r="F1702">
        <v>49.978271483999997</v>
      </c>
      <c r="G1702">
        <v>1323.6958007999999</v>
      </c>
      <c r="H1702">
        <v>1320.0100098</v>
      </c>
      <c r="I1702">
        <v>1346.1586914</v>
      </c>
      <c r="J1702">
        <v>1341.371582</v>
      </c>
      <c r="K1702">
        <v>0</v>
      </c>
      <c r="L1702">
        <v>2750</v>
      </c>
      <c r="M1702">
        <v>2750</v>
      </c>
      <c r="N1702">
        <v>0</v>
      </c>
    </row>
    <row r="1703" spans="1:14" x14ac:dyDescent="0.25">
      <c r="A1703">
        <v>987.98809700000004</v>
      </c>
      <c r="B1703" s="1">
        <f>DATE(2013,1,12) + TIME(23,42,51)</f>
        <v>41286.98809027778</v>
      </c>
      <c r="C1703">
        <v>80</v>
      </c>
      <c r="D1703">
        <v>75.009857178000004</v>
      </c>
      <c r="E1703">
        <v>50</v>
      </c>
      <c r="F1703">
        <v>49.978282927999999</v>
      </c>
      <c r="G1703">
        <v>1323.6149902</v>
      </c>
      <c r="H1703">
        <v>1319.8978271000001</v>
      </c>
      <c r="I1703">
        <v>1346.1495361</v>
      </c>
      <c r="J1703">
        <v>1341.3668213000001</v>
      </c>
      <c r="K1703">
        <v>0</v>
      </c>
      <c r="L1703">
        <v>2750</v>
      </c>
      <c r="M1703">
        <v>2750</v>
      </c>
      <c r="N1703">
        <v>0</v>
      </c>
    </row>
    <row r="1704" spans="1:14" x14ac:dyDescent="0.25">
      <c r="A1704">
        <v>990.18237299999998</v>
      </c>
      <c r="B1704" s="1">
        <f>DATE(2013,1,15) + TIME(4,22,37)</f>
        <v>41289.182372685187</v>
      </c>
      <c r="C1704">
        <v>80</v>
      </c>
      <c r="D1704">
        <v>74.898727417000003</v>
      </c>
      <c r="E1704">
        <v>50</v>
      </c>
      <c r="F1704">
        <v>49.978294372999997</v>
      </c>
      <c r="G1704">
        <v>1323.5328368999999</v>
      </c>
      <c r="H1704">
        <v>1319.7840576000001</v>
      </c>
      <c r="I1704">
        <v>1346.1403809000001</v>
      </c>
      <c r="J1704">
        <v>1341.3620605000001</v>
      </c>
      <c r="K1704">
        <v>0</v>
      </c>
      <c r="L1704">
        <v>2750</v>
      </c>
      <c r="M1704">
        <v>2750</v>
      </c>
      <c r="N1704">
        <v>0</v>
      </c>
    </row>
    <row r="1705" spans="1:14" x14ac:dyDescent="0.25">
      <c r="A1705">
        <v>992.43532500000003</v>
      </c>
      <c r="B1705" s="1">
        <f>DATE(2013,1,17) + TIME(10,26,52)</f>
        <v>41291.435324074075</v>
      </c>
      <c r="C1705">
        <v>80</v>
      </c>
      <c r="D1705">
        <v>74.784378051999994</v>
      </c>
      <c r="E1705">
        <v>50</v>
      </c>
      <c r="F1705">
        <v>49.978305816999999</v>
      </c>
      <c r="G1705">
        <v>1323.4495850000001</v>
      </c>
      <c r="H1705">
        <v>1319.668457</v>
      </c>
      <c r="I1705">
        <v>1346.1312256000001</v>
      </c>
      <c r="J1705">
        <v>1341.3571777</v>
      </c>
      <c r="K1705">
        <v>0</v>
      </c>
      <c r="L1705">
        <v>2750</v>
      </c>
      <c r="M1705">
        <v>2750</v>
      </c>
      <c r="N1705">
        <v>0</v>
      </c>
    </row>
    <row r="1706" spans="1:14" x14ac:dyDescent="0.25">
      <c r="A1706">
        <v>994.74739899999997</v>
      </c>
      <c r="B1706" s="1">
        <f>DATE(2013,1,19) + TIME(17,56,15)</f>
        <v>41293.747395833336</v>
      </c>
      <c r="C1706">
        <v>80</v>
      </c>
      <c r="D1706">
        <v>74.666496276999993</v>
      </c>
      <c r="E1706">
        <v>50</v>
      </c>
      <c r="F1706">
        <v>49.978317261000001</v>
      </c>
      <c r="G1706">
        <v>1323.3649902</v>
      </c>
      <c r="H1706">
        <v>1319.5512695</v>
      </c>
      <c r="I1706">
        <v>1346.1220702999999</v>
      </c>
      <c r="J1706">
        <v>1341.3522949000001</v>
      </c>
      <c r="K1706">
        <v>0</v>
      </c>
      <c r="L1706">
        <v>2750</v>
      </c>
      <c r="M1706">
        <v>2750</v>
      </c>
      <c r="N1706">
        <v>0</v>
      </c>
    </row>
    <row r="1707" spans="1:14" x14ac:dyDescent="0.25">
      <c r="A1707">
        <v>997.09819200000004</v>
      </c>
      <c r="B1707" s="1">
        <f>DATE(2013,1,22) + TIME(2,21,23)</f>
        <v>41296.098182870373</v>
      </c>
      <c r="C1707">
        <v>80</v>
      </c>
      <c r="D1707">
        <v>74.545036315999994</v>
      </c>
      <c r="E1707">
        <v>50</v>
      </c>
      <c r="F1707">
        <v>49.978328705000003</v>
      </c>
      <c r="G1707">
        <v>1323.2791748</v>
      </c>
      <c r="H1707">
        <v>1319.4323730000001</v>
      </c>
      <c r="I1707">
        <v>1346.112793</v>
      </c>
      <c r="J1707">
        <v>1341.3474120999999</v>
      </c>
      <c r="K1707">
        <v>0</v>
      </c>
      <c r="L1707">
        <v>2750</v>
      </c>
      <c r="M1707">
        <v>2750</v>
      </c>
      <c r="N1707">
        <v>0</v>
      </c>
    </row>
    <row r="1708" spans="1:14" x14ac:dyDescent="0.25">
      <c r="A1708">
        <v>999.50870699999996</v>
      </c>
      <c r="B1708" s="1">
        <f>DATE(2013,1,24) + TIME(12,12,32)</f>
        <v>41298.508703703701</v>
      </c>
      <c r="C1708">
        <v>80</v>
      </c>
      <c r="D1708">
        <v>74.420249939000001</v>
      </c>
      <c r="E1708">
        <v>50</v>
      </c>
      <c r="F1708">
        <v>49.978340148999997</v>
      </c>
      <c r="G1708">
        <v>1323.1926269999999</v>
      </c>
      <c r="H1708">
        <v>1319.3125</v>
      </c>
      <c r="I1708">
        <v>1346.1035156</v>
      </c>
      <c r="J1708">
        <v>1341.3424072</v>
      </c>
      <c r="K1708">
        <v>0</v>
      </c>
      <c r="L1708">
        <v>2750</v>
      </c>
      <c r="M1708">
        <v>2750</v>
      </c>
      <c r="N1708">
        <v>0</v>
      </c>
    </row>
    <row r="1709" spans="1:14" x14ac:dyDescent="0.25">
      <c r="A1709">
        <v>1001.980578</v>
      </c>
      <c r="B1709" s="1">
        <f>DATE(2013,1,26) + TIME(23,32,1)</f>
        <v>41300.980567129627</v>
      </c>
      <c r="C1709">
        <v>80</v>
      </c>
      <c r="D1709">
        <v>74.291351317999997</v>
      </c>
      <c r="E1709">
        <v>50</v>
      </c>
      <c r="F1709">
        <v>49.978355407999999</v>
      </c>
      <c r="G1709">
        <v>1323.1051024999999</v>
      </c>
      <c r="H1709">
        <v>1319.1911620999999</v>
      </c>
      <c r="I1709">
        <v>1346.0943603999999</v>
      </c>
      <c r="J1709">
        <v>1341.3375243999999</v>
      </c>
      <c r="K1709">
        <v>0</v>
      </c>
      <c r="L1709">
        <v>2750</v>
      </c>
      <c r="M1709">
        <v>2750</v>
      </c>
      <c r="N1709">
        <v>0</v>
      </c>
    </row>
    <row r="1710" spans="1:14" x14ac:dyDescent="0.25">
      <c r="A1710">
        <v>1004.521626</v>
      </c>
      <c r="B1710" s="1">
        <f>DATE(2013,1,29) + TIME(12,31,8)</f>
        <v>41303.521620370368</v>
      </c>
      <c r="C1710">
        <v>80</v>
      </c>
      <c r="D1710">
        <v>74.157859802000004</v>
      </c>
      <c r="E1710">
        <v>50</v>
      </c>
      <c r="F1710">
        <v>49.978370667</v>
      </c>
      <c r="G1710">
        <v>1323.0164795000001</v>
      </c>
      <c r="H1710">
        <v>1319.0683594</v>
      </c>
      <c r="I1710">
        <v>1346.0850829999999</v>
      </c>
      <c r="J1710">
        <v>1341.3325195</v>
      </c>
      <c r="K1710">
        <v>0</v>
      </c>
      <c r="L1710">
        <v>2750</v>
      </c>
      <c r="M1710">
        <v>2750</v>
      </c>
      <c r="N1710">
        <v>0</v>
      </c>
    </row>
    <row r="1711" spans="1:14" x14ac:dyDescent="0.25">
      <c r="A1711">
        <v>1007</v>
      </c>
      <c r="B1711" s="1">
        <f>DATE(2013,2,1) + TIME(0,0,0)</f>
        <v>41306</v>
      </c>
      <c r="C1711">
        <v>80</v>
      </c>
      <c r="D1711">
        <v>74.020538329999994</v>
      </c>
      <c r="E1711">
        <v>50</v>
      </c>
      <c r="F1711">
        <v>49.978385924999998</v>
      </c>
      <c r="G1711">
        <v>1322.9266356999999</v>
      </c>
      <c r="H1711">
        <v>1318.9440918</v>
      </c>
      <c r="I1711">
        <v>1346.0756836</v>
      </c>
      <c r="J1711">
        <v>1341.3273925999999</v>
      </c>
      <c r="K1711">
        <v>0</v>
      </c>
      <c r="L1711">
        <v>2750</v>
      </c>
      <c r="M1711">
        <v>2750</v>
      </c>
      <c r="N1711">
        <v>0</v>
      </c>
    </row>
    <row r="1712" spans="1:14" x14ac:dyDescent="0.25">
      <c r="A1712">
        <v>1009.570431</v>
      </c>
      <c r="B1712" s="1">
        <f>DATE(2013,2,3) + TIME(13,41,25)</f>
        <v>41308.570428240739</v>
      </c>
      <c r="C1712">
        <v>80</v>
      </c>
      <c r="D1712">
        <v>73.882415770999998</v>
      </c>
      <c r="E1712">
        <v>50</v>
      </c>
      <c r="F1712">
        <v>49.978401183999999</v>
      </c>
      <c r="G1712">
        <v>1322.8388672000001</v>
      </c>
      <c r="H1712">
        <v>1318.8221435999999</v>
      </c>
      <c r="I1712">
        <v>1346.0666504000001</v>
      </c>
      <c r="J1712">
        <v>1341.3225098</v>
      </c>
      <c r="K1712">
        <v>0</v>
      </c>
      <c r="L1712">
        <v>2750</v>
      </c>
      <c r="M1712">
        <v>2750</v>
      </c>
      <c r="N1712">
        <v>0</v>
      </c>
    </row>
    <row r="1713" spans="1:14" x14ac:dyDescent="0.25">
      <c r="A1713">
        <v>1012.259293</v>
      </c>
      <c r="B1713" s="1">
        <f>DATE(2013,2,6) + TIME(6,13,22)</f>
        <v>41311.259282407409</v>
      </c>
      <c r="C1713">
        <v>80</v>
      </c>
      <c r="D1713">
        <v>73.738349915000001</v>
      </c>
      <c r="E1713">
        <v>50</v>
      </c>
      <c r="F1713">
        <v>49.978416443</v>
      </c>
      <c r="G1713">
        <v>1322.75</v>
      </c>
      <c r="H1713">
        <v>1318.6990966999999</v>
      </c>
      <c r="I1713">
        <v>1346.0576172000001</v>
      </c>
      <c r="J1713">
        <v>1341.3173827999999</v>
      </c>
      <c r="K1713">
        <v>0</v>
      </c>
      <c r="L1713">
        <v>2750</v>
      </c>
      <c r="M1713">
        <v>2750</v>
      </c>
      <c r="N1713">
        <v>0</v>
      </c>
    </row>
    <row r="1714" spans="1:14" x14ac:dyDescent="0.25">
      <c r="A1714">
        <v>1015.0201970000001</v>
      </c>
      <c r="B1714" s="1">
        <f>DATE(2013,2,9) + TIME(0,29,5)</f>
        <v>41314.020196759258</v>
      </c>
      <c r="C1714">
        <v>80</v>
      </c>
      <c r="D1714">
        <v>73.586502074999999</v>
      </c>
      <c r="E1714">
        <v>50</v>
      </c>
      <c r="F1714">
        <v>49.978435515999998</v>
      </c>
      <c r="G1714">
        <v>1322.6586914</v>
      </c>
      <c r="H1714">
        <v>1318.572876</v>
      </c>
      <c r="I1714">
        <v>1346.0482178</v>
      </c>
      <c r="J1714">
        <v>1341.3122559000001</v>
      </c>
      <c r="K1714">
        <v>0</v>
      </c>
      <c r="L1714">
        <v>2750</v>
      </c>
      <c r="M1714">
        <v>2750</v>
      </c>
      <c r="N1714">
        <v>0</v>
      </c>
    </row>
    <row r="1715" spans="1:14" x14ac:dyDescent="0.25">
      <c r="A1715">
        <v>1017.842038</v>
      </c>
      <c r="B1715" s="1">
        <f>DATE(2013,2,11) + TIME(20,12,32)</f>
        <v>41316.842037037037</v>
      </c>
      <c r="C1715">
        <v>80</v>
      </c>
      <c r="D1715">
        <v>73.428123474000003</v>
      </c>
      <c r="E1715">
        <v>50</v>
      </c>
      <c r="F1715">
        <v>49.978454589999998</v>
      </c>
      <c r="G1715">
        <v>1322.565918</v>
      </c>
      <c r="H1715">
        <v>1318.4445800999999</v>
      </c>
      <c r="I1715">
        <v>1346.0386963000001</v>
      </c>
      <c r="J1715">
        <v>1341.3068848</v>
      </c>
      <c r="K1715">
        <v>0</v>
      </c>
      <c r="L1715">
        <v>2750</v>
      </c>
      <c r="M1715">
        <v>2750</v>
      </c>
      <c r="N1715">
        <v>0</v>
      </c>
    </row>
    <row r="1716" spans="1:14" x14ac:dyDescent="0.25">
      <c r="A1716">
        <v>1020.750528</v>
      </c>
      <c r="B1716" s="1">
        <f>DATE(2013,2,14) + TIME(18,0,45)</f>
        <v>41319.750520833331</v>
      </c>
      <c r="C1716">
        <v>80</v>
      </c>
      <c r="D1716">
        <v>73.263412475999999</v>
      </c>
      <c r="E1716">
        <v>50</v>
      </c>
      <c r="F1716">
        <v>49.978473663000003</v>
      </c>
      <c r="G1716">
        <v>1322.472168</v>
      </c>
      <c r="H1716">
        <v>1318.3148193</v>
      </c>
      <c r="I1716">
        <v>1346.0291748</v>
      </c>
      <c r="J1716">
        <v>1341.3015137</v>
      </c>
      <c r="K1716">
        <v>0</v>
      </c>
      <c r="L1716">
        <v>2750</v>
      </c>
      <c r="M1716">
        <v>2750</v>
      </c>
      <c r="N1716">
        <v>0</v>
      </c>
    </row>
    <row r="1717" spans="1:14" x14ac:dyDescent="0.25">
      <c r="A1717">
        <v>1023.750174</v>
      </c>
      <c r="B1717" s="1">
        <f>DATE(2013,2,17) + TIME(18,0,15)</f>
        <v>41322.750173611108</v>
      </c>
      <c r="C1717">
        <v>80</v>
      </c>
      <c r="D1717">
        <v>73.091102599999999</v>
      </c>
      <c r="E1717">
        <v>50</v>
      </c>
      <c r="F1717">
        <v>49.978492737000003</v>
      </c>
      <c r="G1717">
        <v>1322.3770752</v>
      </c>
      <c r="H1717">
        <v>1318.1832274999999</v>
      </c>
      <c r="I1717">
        <v>1346.0194091999999</v>
      </c>
      <c r="J1717">
        <v>1341.2960204999999</v>
      </c>
      <c r="K1717">
        <v>0</v>
      </c>
      <c r="L1717">
        <v>2750</v>
      </c>
      <c r="M1717">
        <v>2750</v>
      </c>
      <c r="N1717">
        <v>0</v>
      </c>
    </row>
    <row r="1718" spans="1:14" x14ac:dyDescent="0.25">
      <c r="A1718">
        <v>1026.7584750000001</v>
      </c>
      <c r="B1718" s="1">
        <f>DATE(2013,2,20) + TIME(18,12,12)</f>
        <v>41325.758472222224</v>
      </c>
      <c r="C1718">
        <v>80</v>
      </c>
      <c r="D1718">
        <v>72.911231994999994</v>
      </c>
      <c r="E1718">
        <v>50</v>
      </c>
      <c r="F1718">
        <v>49.978511810000001</v>
      </c>
      <c r="G1718">
        <v>1322.2806396000001</v>
      </c>
      <c r="H1718">
        <v>1318.0498047000001</v>
      </c>
      <c r="I1718">
        <v>1346.0096435999999</v>
      </c>
      <c r="J1718">
        <v>1341.2904053</v>
      </c>
      <c r="K1718">
        <v>0</v>
      </c>
      <c r="L1718">
        <v>2750</v>
      </c>
      <c r="M1718">
        <v>2750</v>
      </c>
      <c r="N1718">
        <v>0</v>
      </c>
    </row>
    <row r="1719" spans="1:14" x14ac:dyDescent="0.25">
      <c r="A1719">
        <v>1029.798031</v>
      </c>
      <c r="B1719" s="1">
        <f>DATE(2013,2,23) + TIME(19,9,9)</f>
        <v>41328.798020833332</v>
      </c>
      <c r="C1719">
        <v>80</v>
      </c>
      <c r="D1719">
        <v>72.726860045999999</v>
      </c>
      <c r="E1719">
        <v>50</v>
      </c>
      <c r="F1719">
        <v>49.978534697999997</v>
      </c>
      <c r="G1719">
        <v>1322.1845702999999</v>
      </c>
      <c r="H1719">
        <v>1317.9167480000001</v>
      </c>
      <c r="I1719">
        <v>1345.9998779</v>
      </c>
      <c r="J1719">
        <v>1341.2847899999999</v>
      </c>
      <c r="K1719">
        <v>0</v>
      </c>
      <c r="L1719">
        <v>2750</v>
      </c>
      <c r="M1719">
        <v>2750</v>
      </c>
      <c r="N1719">
        <v>0</v>
      </c>
    </row>
    <row r="1720" spans="1:14" x14ac:dyDescent="0.25">
      <c r="A1720">
        <v>1032.9083619999999</v>
      </c>
      <c r="B1720" s="1">
        <f>DATE(2013,2,26) + TIME(21,48,2)</f>
        <v>41331.908356481479</v>
      </c>
      <c r="C1720">
        <v>80</v>
      </c>
      <c r="D1720">
        <v>72.537040709999999</v>
      </c>
      <c r="E1720">
        <v>50</v>
      </c>
      <c r="F1720">
        <v>49.978553771999998</v>
      </c>
      <c r="G1720">
        <v>1322.0891113</v>
      </c>
      <c r="H1720">
        <v>1317.7844238</v>
      </c>
      <c r="I1720">
        <v>1345.9902344</v>
      </c>
      <c r="J1720">
        <v>1341.2791748</v>
      </c>
      <c r="K1720">
        <v>0</v>
      </c>
      <c r="L1720">
        <v>2750</v>
      </c>
      <c r="M1720">
        <v>2750</v>
      </c>
      <c r="N1720">
        <v>0</v>
      </c>
    </row>
    <row r="1721" spans="1:14" x14ac:dyDescent="0.25">
      <c r="A1721">
        <v>1035</v>
      </c>
      <c r="B1721" s="1">
        <f>DATE(2013,3,1) + TIME(0,0,0)</f>
        <v>41334</v>
      </c>
      <c r="C1721">
        <v>80</v>
      </c>
      <c r="D1721">
        <v>72.353279114000003</v>
      </c>
      <c r="E1721">
        <v>50</v>
      </c>
      <c r="F1721">
        <v>49.978565216</v>
      </c>
      <c r="G1721">
        <v>1321.9945068</v>
      </c>
      <c r="H1721">
        <v>1317.6545410000001</v>
      </c>
      <c r="I1721">
        <v>1345.9803466999999</v>
      </c>
      <c r="J1721">
        <v>1341.2734375</v>
      </c>
      <c r="K1721">
        <v>0</v>
      </c>
      <c r="L1721">
        <v>2750</v>
      </c>
      <c r="M1721">
        <v>2750</v>
      </c>
      <c r="N1721">
        <v>0</v>
      </c>
    </row>
    <row r="1722" spans="1:14" x14ac:dyDescent="0.25">
      <c r="A1722">
        <v>1038.205735</v>
      </c>
      <c r="B1722" s="1">
        <f>DATE(2013,3,4) + TIME(4,56,15)</f>
        <v>41337.205729166664</v>
      </c>
      <c r="C1722">
        <v>80</v>
      </c>
      <c r="D1722">
        <v>72.196975707999997</v>
      </c>
      <c r="E1722">
        <v>50</v>
      </c>
      <c r="F1722">
        <v>49.978591919000003</v>
      </c>
      <c r="G1722">
        <v>1321.9226074000001</v>
      </c>
      <c r="H1722">
        <v>1317.5510254000001</v>
      </c>
      <c r="I1722">
        <v>1345.9738769999999</v>
      </c>
      <c r="J1722">
        <v>1341.2696533000001</v>
      </c>
      <c r="K1722">
        <v>0</v>
      </c>
      <c r="L1722">
        <v>2750</v>
      </c>
      <c r="M1722">
        <v>2750</v>
      </c>
      <c r="N1722">
        <v>0</v>
      </c>
    </row>
    <row r="1723" spans="1:14" x14ac:dyDescent="0.25">
      <c r="A1723">
        <v>1041.569074</v>
      </c>
      <c r="B1723" s="1">
        <f>DATE(2013,3,7) + TIME(13,39,28)</f>
        <v>41340.569074074076</v>
      </c>
      <c r="C1723">
        <v>80</v>
      </c>
      <c r="D1723">
        <v>71.993225097999996</v>
      </c>
      <c r="E1723">
        <v>50</v>
      </c>
      <c r="F1723">
        <v>49.978614807</v>
      </c>
      <c r="G1723">
        <v>1321.8321533000001</v>
      </c>
      <c r="H1723">
        <v>1317.4281006000001</v>
      </c>
      <c r="I1723">
        <v>1345.9639893000001</v>
      </c>
      <c r="J1723">
        <v>1341.2636719</v>
      </c>
      <c r="K1723">
        <v>0</v>
      </c>
      <c r="L1723">
        <v>2750</v>
      </c>
      <c r="M1723">
        <v>2750</v>
      </c>
      <c r="N1723">
        <v>0</v>
      </c>
    </row>
    <row r="1724" spans="1:14" x14ac:dyDescent="0.25">
      <c r="A1724">
        <v>1045.0197900000001</v>
      </c>
      <c r="B1724" s="1">
        <f>DATE(2013,3,11) + TIME(0,28,29)</f>
        <v>41344.019780092596</v>
      </c>
      <c r="C1724">
        <v>80</v>
      </c>
      <c r="D1724">
        <v>71.770080566000004</v>
      </c>
      <c r="E1724">
        <v>50</v>
      </c>
      <c r="F1724">
        <v>49.978641510000003</v>
      </c>
      <c r="G1724">
        <v>1321.7344971</v>
      </c>
      <c r="H1724">
        <v>1317.2933350000001</v>
      </c>
      <c r="I1724">
        <v>1345.9537353999999</v>
      </c>
      <c r="J1724">
        <v>1341.2575684000001</v>
      </c>
      <c r="K1724">
        <v>0</v>
      </c>
      <c r="L1724">
        <v>2750</v>
      </c>
      <c r="M1724">
        <v>2750</v>
      </c>
      <c r="N1724">
        <v>0</v>
      </c>
    </row>
    <row r="1725" spans="1:14" x14ac:dyDescent="0.25">
      <c r="A1725">
        <v>1048.5567679999999</v>
      </c>
      <c r="B1725" s="1">
        <f>DATE(2013,3,14) + TIME(13,21,44)</f>
        <v>41347.556759259256</v>
      </c>
      <c r="C1725">
        <v>80</v>
      </c>
      <c r="D1725">
        <v>71.535881042</v>
      </c>
      <c r="E1725">
        <v>50</v>
      </c>
      <c r="F1725">
        <v>49.978668212999999</v>
      </c>
      <c r="G1725">
        <v>1321.6347656</v>
      </c>
      <c r="H1725">
        <v>1317.1552733999999</v>
      </c>
      <c r="I1725">
        <v>1345.9433594</v>
      </c>
      <c r="J1725">
        <v>1341.2512207</v>
      </c>
      <c r="K1725">
        <v>0</v>
      </c>
      <c r="L1725">
        <v>2750</v>
      </c>
      <c r="M1725">
        <v>2750</v>
      </c>
      <c r="N1725">
        <v>0</v>
      </c>
    </row>
    <row r="1726" spans="1:14" x14ac:dyDescent="0.25">
      <c r="A1726">
        <v>1052.107066</v>
      </c>
      <c r="B1726" s="1">
        <f>DATE(2013,3,18) + TIME(2,34,10)</f>
        <v>41351.107060185182</v>
      </c>
      <c r="C1726">
        <v>80</v>
      </c>
      <c r="D1726">
        <v>71.290832519999995</v>
      </c>
      <c r="E1726">
        <v>50</v>
      </c>
      <c r="F1726">
        <v>49.978694916000002</v>
      </c>
      <c r="G1726">
        <v>1321.5341797000001</v>
      </c>
      <c r="H1726">
        <v>1317.0159911999999</v>
      </c>
      <c r="I1726">
        <v>1345.9328613</v>
      </c>
      <c r="J1726">
        <v>1341.244751</v>
      </c>
      <c r="K1726">
        <v>0</v>
      </c>
      <c r="L1726">
        <v>2750</v>
      </c>
      <c r="M1726">
        <v>2750</v>
      </c>
      <c r="N1726">
        <v>0</v>
      </c>
    </row>
    <row r="1727" spans="1:14" x14ac:dyDescent="0.25">
      <c r="A1727">
        <v>1055.6975629999999</v>
      </c>
      <c r="B1727" s="1">
        <f>DATE(2013,3,21) + TIME(16,44,29)</f>
        <v>41354.697557870371</v>
      </c>
      <c r="C1727">
        <v>80</v>
      </c>
      <c r="D1727">
        <v>71.039726256999998</v>
      </c>
      <c r="E1727">
        <v>50</v>
      </c>
      <c r="F1727">
        <v>49.978721618999998</v>
      </c>
      <c r="G1727">
        <v>1321.4344481999999</v>
      </c>
      <c r="H1727">
        <v>1316.8776855000001</v>
      </c>
      <c r="I1727">
        <v>1345.9223632999999</v>
      </c>
      <c r="J1727">
        <v>1341.2381591999999</v>
      </c>
      <c r="K1727">
        <v>0</v>
      </c>
      <c r="L1727">
        <v>2750</v>
      </c>
      <c r="M1727">
        <v>2750</v>
      </c>
      <c r="N1727">
        <v>0</v>
      </c>
    </row>
    <row r="1728" spans="1:14" x14ac:dyDescent="0.25">
      <c r="A1728">
        <v>1059.367829</v>
      </c>
      <c r="B1728" s="1">
        <f>DATE(2013,3,25) + TIME(8,49,40)</f>
        <v>41358.367824074077</v>
      </c>
      <c r="C1728">
        <v>80</v>
      </c>
      <c r="D1728">
        <v>70.779304503999995</v>
      </c>
      <c r="E1728">
        <v>50</v>
      </c>
      <c r="F1728">
        <v>49.978748322000001</v>
      </c>
      <c r="G1728">
        <v>1321.3356934000001</v>
      </c>
      <c r="H1728">
        <v>1316.7403564000001</v>
      </c>
      <c r="I1728">
        <v>1345.9118652</v>
      </c>
      <c r="J1728">
        <v>1341.2315673999999</v>
      </c>
      <c r="K1728">
        <v>0</v>
      </c>
      <c r="L1728">
        <v>2750</v>
      </c>
      <c r="M1728">
        <v>2750</v>
      </c>
      <c r="N1728">
        <v>0</v>
      </c>
    </row>
    <row r="1729" spans="1:14" x14ac:dyDescent="0.25">
      <c r="A1729">
        <v>1063.134963</v>
      </c>
      <c r="B1729" s="1">
        <f>DATE(2013,3,29) + TIME(3,14,20)</f>
        <v>41362.134953703702</v>
      </c>
      <c r="C1729">
        <v>80</v>
      </c>
      <c r="D1729">
        <v>70.509613036999994</v>
      </c>
      <c r="E1729">
        <v>50</v>
      </c>
      <c r="F1729">
        <v>49.978775024000001</v>
      </c>
      <c r="G1729">
        <v>1321.2368164</v>
      </c>
      <c r="H1729">
        <v>1316.6031493999999</v>
      </c>
      <c r="I1729">
        <v>1345.9012451000001</v>
      </c>
      <c r="J1729">
        <v>1341.2248535000001</v>
      </c>
      <c r="K1729">
        <v>0</v>
      </c>
      <c r="L1729">
        <v>2750</v>
      </c>
      <c r="M1729">
        <v>2750</v>
      </c>
      <c r="N1729">
        <v>0</v>
      </c>
    </row>
    <row r="1730" spans="1:14" x14ac:dyDescent="0.25">
      <c r="A1730">
        <v>1066</v>
      </c>
      <c r="B1730" s="1">
        <f>DATE(2013,4,1) + TIME(0,0,0)</f>
        <v>41365</v>
      </c>
      <c r="C1730">
        <v>80</v>
      </c>
      <c r="D1730">
        <v>70.235450744999994</v>
      </c>
      <c r="E1730">
        <v>50</v>
      </c>
      <c r="F1730">
        <v>49.978794098000002</v>
      </c>
      <c r="G1730">
        <v>1321.1380615</v>
      </c>
      <c r="H1730">
        <v>1316.4669189000001</v>
      </c>
      <c r="I1730">
        <v>1345.8903809000001</v>
      </c>
      <c r="J1730">
        <v>1341.2178954999999</v>
      </c>
      <c r="K1730">
        <v>0</v>
      </c>
      <c r="L1730">
        <v>2750</v>
      </c>
      <c r="M1730">
        <v>2750</v>
      </c>
      <c r="N1730">
        <v>0</v>
      </c>
    </row>
    <row r="1731" spans="1:14" x14ac:dyDescent="0.25">
      <c r="A1731">
        <v>1069.8510940000001</v>
      </c>
      <c r="B1731" s="1">
        <f>DATE(2013,4,4) + TIME(20,25,34)</f>
        <v>41368.851087962961</v>
      </c>
      <c r="C1731">
        <v>80</v>
      </c>
      <c r="D1731">
        <v>69.999397278000004</v>
      </c>
      <c r="E1731">
        <v>50</v>
      </c>
      <c r="F1731">
        <v>49.97882843</v>
      </c>
      <c r="G1731">
        <v>1321.0578613</v>
      </c>
      <c r="H1731">
        <v>1316.3520507999999</v>
      </c>
      <c r="I1731">
        <v>1345.8823242000001</v>
      </c>
      <c r="J1731">
        <v>1341.2126464999999</v>
      </c>
      <c r="K1731">
        <v>0</v>
      </c>
      <c r="L1731">
        <v>2750</v>
      </c>
      <c r="M1731">
        <v>2750</v>
      </c>
      <c r="N1731">
        <v>0</v>
      </c>
    </row>
    <row r="1732" spans="1:14" x14ac:dyDescent="0.25">
      <c r="A1732">
        <v>1073.932069</v>
      </c>
      <c r="B1732" s="1">
        <f>DATE(2013,4,8) + TIME(22,22,10)</f>
        <v>41372.932060185187</v>
      </c>
      <c r="C1732">
        <v>80</v>
      </c>
      <c r="D1732">
        <v>69.700698853000006</v>
      </c>
      <c r="E1732">
        <v>50</v>
      </c>
      <c r="F1732">
        <v>49.978858948000003</v>
      </c>
      <c r="G1732">
        <v>1320.9642334</v>
      </c>
      <c r="H1732">
        <v>1316.2238769999999</v>
      </c>
      <c r="I1732">
        <v>1345.8713379000001</v>
      </c>
      <c r="J1732">
        <v>1341.2054443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1078.103122</v>
      </c>
      <c r="B1733" s="1">
        <f>DATE(2013,4,13) + TIME(2,28,29)</f>
        <v>41377.103113425925</v>
      </c>
      <c r="C1733">
        <v>80</v>
      </c>
      <c r="D1733">
        <v>69.380409240999995</v>
      </c>
      <c r="E1733">
        <v>50</v>
      </c>
      <c r="F1733">
        <v>49.978893280000001</v>
      </c>
      <c r="G1733">
        <v>1320.8641356999999</v>
      </c>
      <c r="H1733">
        <v>1316.0852050999999</v>
      </c>
      <c r="I1733">
        <v>1345.8598632999999</v>
      </c>
      <c r="J1733">
        <v>1341.197876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1082.3030839999999</v>
      </c>
      <c r="B1734" s="1">
        <f>DATE(2013,4,17) + TIME(7,16,26)</f>
        <v>41381.303078703706</v>
      </c>
      <c r="C1734">
        <v>80</v>
      </c>
      <c r="D1734">
        <v>69.033546447999996</v>
      </c>
      <c r="E1734">
        <v>50</v>
      </c>
      <c r="F1734">
        <v>49.978923797999997</v>
      </c>
      <c r="G1734">
        <v>1320.7630615</v>
      </c>
      <c r="H1734">
        <v>1315.9444579999999</v>
      </c>
      <c r="I1734">
        <v>1345.8482666</v>
      </c>
      <c r="J1734">
        <v>1341.1900635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1086.54934</v>
      </c>
      <c r="B1735" s="1">
        <f>DATE(2013,4,21) + TIME(13,11,2)</f>
        <v>41385.549328703702</v>
      </c>
      <c r="C1735">
        <v>80</v>
      </c>
      <c r="D1735">
        <v>68.698020935000002</v>
      </c>
      <c r="E1735">
        <v>50</v>
      </c>
      <c r="F1735">
        <v>49.978958130000002</v>
      </c>
      <c r="G1735">
        <v>1320.6632079999999</v>
      </c>
      <c r="H1735">
        <v>1315.8052978999999</v>
      </c>
      <c r="I1735">
        <v>1345.8365478999999</v>
      </c>
      <c r="J1735">
        <v>1341.182251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1090.8344320000001</v>
      </c>
      <c r="B1736" s="1">
        <f>DATE(2013,4,25) + TIME(20,1,34)</f>
        <v>41389.834421296298</v>
      </c>
      <c r="C1736">
        <v>80</v>
      </c>
      <c r="D1736">
        <v>68.308952332000004</v>
      </c>
      <c r="E1736">
        <v>50</v>
      </c>
      <c r="F1736">
        <v>49.978992462000001</v>
      </c>
      <c r="G1736">
        <v>1320.5651855000001</v>
      </c>
      <c r="H1736">
        <v>1315.6678466999999</v>
      </c>
      <c r="I1736">
        <v>1345.8248291</v>
      </c>
      <c r="J1736">
        <v>1341.1741943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1095.2211</v>
      </c>
      <c r="B1737" s="1">
        <f>DATE(2013,4,30) + TIME(5,18,23)</f>
        <v>41394.221099537041</v>
      </c>
      <c r="C1737">
        <v>80</v>
      </c>
      <c r="D1737">
        <v>67.994857788000004</v>
      </c>
      <c r="E1737">
        <v>50</v>
      </c>
      <c r="F1737">
        <v>49.979026793999999</v>
      </c>
      <c r="G1737">
        <v>1320.4682617000001</v>
      </c>
      <c r="H1737">
        <v>1315.5330810999999</v>
      </c>
      <c r="I1737">
        <v>1345.8131103999999</v>
      </c>
      <c r="J1737">
        <v>1341.1661377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1096</v>
      </c>
      <c r="B1738" s="1">
        <f>DATE(2013,5,1) + TIME(0,0,0)</f>
        <v>41395</v>
      </c>
      <c r="C1738">
        <v>80</v>
      </c>
      <c r="D1738">
        <v>67.647926330999994</v>
      </c>
      <c r="E1738">
        <v>50</v>
      </c>
      <c r="F1738">
        <v>49.979026793999999</v>
      </c>
      <c r="G1738">
        <v>1320.3742675999999</v>
      </c>
      <c r="H1738">
        <v>1315.4112548999999</v>
      </c>
      <c r="I1738">
        <v>1345.8010254000001</v>
      </c>
      <c r="J1738">
        <v>1341.1575928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1096.0000010000001</v>
      </c>
      <c r="B1739" s="1">
        <f>DATE(2013,5,1) + TIME(0,0,0)</f>
        <v>41395</v>
      </c>
      <c r="C1739">
        <v>80</v>
      </c>
      <c r="D1739">
        <v>67.648117064999994</v>
      </c>
      <c r="E1739">
        <v>50</v>
      </c>
      <c r="F1739">
        <v>49.978916167999998</v>
      </c>
      <c r="G1739">
        <v>1326.5758057</v>
      </c>
      <c r="H1739">
        <v>1321.6013184000001</v>
      </c>
      <c r="I1739">
        <v>1340.2908935999999</v>
      </c>
      <c r="J1739">
        <v>1336.1468506000001</v>
      </c>
      <c r="K1739">
        <v>2750</v>
      </c>
      <c r="L1739">
        <v>0</v>
      </c>
      <c r="M1739">
        <v>0</v>
      </c>
      <c r="N1739">
        <v>2750</v>
      </c>
    </row>
    <row r="1740" spans="1:14" x14ac:dyDescent="0.25">
      <c r="A1740">
        <v>1096.000004</v>
      </c>
      <c r="B1740" s="1">
        <f>DATE(2013,5,1) + TIME(0,0,0)</f>
        <v>41395</v>
      </c>
      <c r="C1740">
        <v>80</v>
      </c>
      <c r="D1740">
        <v>67.648483275999993</v>
      </c>
      <c r="E1740">
        <v>50</v>
      </c>
      <c r="F1740">
        <v>49.978702544999997</v>
      </c>
      <c r="G1740">
        <v>1328.4465332</v>
      </c>
      <c r="H1740">
        <v>1323.7424315999999</v>
      </c>
      <c r="I1740">
        <v>1338.5927733999999</v>
      </c>
      <c r="J1740">
        <v>1334.4488524999999</v>
      </c>
      <c r="K1740">
        <v>2750</v>
      </c>
      <c r="L1740">
        <v>0</v>
      </c>
      <c r="M1740">
        <v>0</v>
      </c>
      <c r="N1740">
        <v>2750</v>
      </c>
    </row>
    <row r="1741" spans="1:14" x14ac:dyDescent="0.25">
      <c r="A1741">
        <v>1096.0000130000001</v>
      </c>
      <c r="B1741" s="1">
        <f>DATE(2013,5,1) + TIME(0,0,1)</f>
        <v>41395.000011574077</v>
      </c>
      <c r="C1741">
        <v>80</v>
      </c>
      <c r="D1741">
        <v>67.64906311</v>
      </c>
      <c r="E1741">
        <v>50</v>
      </c>
      <c r="F1741">
        <v>49.978401183999999</v>
      </c>
      <c r="G1741">
        <v>1331.1264647999999</v>
      </c>
      <c r="H1741">
        <v>1326.4748535000001</v>
      </c>
      <c r="I1741">
        <v>1336.2084961</v>
      </c>
      <c r="J1741">
        <v>1332.0650635</v>
      </c>
      <c r="K1741">
        <v>2750</v>
      </c>
      <c r="L1741">
        <v>0</v>
      </c>
      <c r="M1741">
        <v>0</v>
      </c>
      <c r="N1741">
        <v>2750</v>
      </c>
    </row>
    <row r="1742" spans="1:14" x14ac:dyDescent="0.25">
      <c r="A1742">
        <v>1096.0000399999999</v>
      </c>
      <c r="B1742" s="1">
        <f>DATE(2013,5,1) + TIME(0,0,3)</f>
        <v>41395.000034722223</v>
      </c>
      <c r="C1742">
        <v>80</v>
      </c>
      <c r="D1742">
        <v>67.650108337000006</v>
      </c>
      <c r="E1742">
        <v>50</v>
      </c>
      <c r="F1742">
        <v>49.978076934999997</v>
      </c>
      <c r="G1742">
        <v>1334.1066894999999</v>
      </c>
      <c r="H1742">
        <v>1329.3608397999999</v>
      </c>
      <c r="I1742">
        <v>1333.6401367000001</v>
      </c>
      <c r="J1742">
        <v>1329.4980469</v>
      </c>
      <c r="K1742">
        <v>2750</v>
      </c>
      <c r="L1742">
        <v>0</v>
      </c>
      <c r="M1742">
        <v>0</v>
      </c>
      <c r="N1742">
        <v>2750</v>
      </c>
    </row>
    <row r="1743" spans="1:14" x14ac:dyDescent="0.25">
      <c r="A1743">
        <v>1096.000121</v>
      </c>
      <c r="B1743" s="1">
        <f>DATE(2013,5,1) + TIME(0,0,10)</f>
        <v>41395.000115740739</v>
      </c>
      <c r="C1743">
        <v>80</v>
      </c>
      <c r="D1743">
        <v>67.652496338000006</v>
      </c>
      <c r="E1743">
        <v>50</v>
      </c>
      <c r="F1743">
        <v>49.977745056000003</v>
      </c>
      <c r="G1743">
        <v>1337.0942382999999</v>
      </c>
      <c r="H1743">
        <v>1332.2453613</v>
      </c>
      <c r="I1743">
        <v>1331.0998535000001</v>
      </c>
      <c r="J1743">
        <v>1326.9589844</v>
      </c>
      <c r="K1743">
        <v>2750</v>
      </c>
      <c r="L1743">
        <v>0</v>
      </c>
      <c r="M1743">
        <v>0</v>
      </c>
      <c r="N1743">
        <v>2750</v>
      </c>
    </row>
    <row r="1744" spans="1:14" x14ac:dyDescent="0.25">
      <c r="A1744">
        <v>1096.000364</v>
      </c>
      <c r="B1744" s="1">
        <f>DATE(2013,5,1) + TIME(0,0,31)</f>
        <v>41395.000358796293</v>
      </c>
      <c r="C1744">
        <v>80</v>
      </c>
      <c r="D1744">
        <v>67.659011840999995</v>
      </c>
      <c r="E1744">
        <v>50</v>
      </c>
      <c r="F1744">
        <v>49.977401733000001</v>
      </c>
      <c r="G1744">
        <v>1340.0745850000001</v>
      </c>
      <c r="H1744">
        <v>1335.1206055</v>
      </c>
      <c r="I1744">
        <v>1328.5681152</v>
      </c>
      <c r="J1744">
        <v>1324.4202881000001</v>
      </c>
      <c r="K1744">
        <v>2750</v>
      </c>
      <c r="L1744">
        <v>0</v>
      </c>
      <c r="M1744">
        <v>0</v>
      </c>
      <c r="N1744">
        <v>2750</v>
      </c>
    </row>
    <row r="1745" spans="1:14" x14ac:dyDescent="0.25">
      <c r="A1745">
        <v>1096.0010930000001</v>
      </c>
      <c r="B1745" s="1">
        <f>DATE(2013,5,1) + TIME(0,1,34)</f>
        <v>41395.001087962963</v>
      </c>
      <c r="C1745">
        <v>80</v>
      </c>
      <c r="D1745">
        <v>67.678138732999997</v>
      </c>
      <c r="E1745">
        <v>50</v>
      </c>
      <c r="F1745">
        <v>49.977001190000003</v>
      </c>
      <c r="G1745">
        <v>1343.0045166</v>
      </c>
      <c r="H1745">
        <v>1337.9388428</v>
      </c>
      <c r="I1745">
        <v>1326.0197754000001</v>
      </c>
      <c r="J1745">
        <v>1321.8369141000001</v>
      </c>
      <c r="K1745">
        <v>2750</v>
      </c>
      <c r="L1745">
        <v>0</v>
      </c>
      <c r="M1745">
        <v>0</v>
      </c>
      <c r="N1745">
        <v>2750</v>
      </c>
    </row>
    <row r="1746" spans="1:14" x14ac:dyDescent="0.25">
      <c r="A1746">
        <v>1096.0032799999999</v>
      </c>
      <c r="B1746" s="1">
        <f>DATE(2013,5,1) + TIME(0,4,43)</f>
        <v>41395.003275462965</v>
      </c>
      <c r="C1746">
        <v>80</v>
      </c>
      <c r="D1746">
        <v>67.735511779999996</v>
      </c>
      <c r="E1746">
        <v>50</v>
      </c>
      <c r="F1746">
        <v>49.976463318</v>
      </c>
      <c r="G1746">
        <v>1345.5385742000001</v>
      </c>
      <c r="H1746">
        <v>1340.3808594</v>
      </c>
      <c r="I1746">
        <v>1323.6716309000001</v>
      </c>
      <c r="J1746">
        <v>1319.440918</v>
      </c>
      <c r="K1746">
        <v>2750</v>
      </c>
      <c r="L1746">
        <v>0</v>
      </c>
      <c r="M1746">
        <v>0</v>
      </c>
      <c r="N1746">
        <v>2750</v>
      </c>
    </row>
    <row r="1747" spans="1:14" x14ac:dyDescent="0.25">
      <c r="A1747">
        <v>1096.0098410000001</v>
      </c>
      <c r="B1747" s="1">
        <f>DATE(2013,5,1) + TIME(0,14,10)</f>
        <v>41395.009837962964</v>
      </c>
      <c r="C1747">
        <v>80</v>
      </c>
      <c r="D1747">
        <v>67.905967712000006</v>
      </c>
      <c r="E1747">
        <v>50</v>
      </c>
      <c r="F1747">
        <v>49.975543975999997</v>
      </c>
      <c r="G1747">
        <v>1347.1317139</v>
      </c>
      <c r="H1747">
        <v>1341.9400635</v>
      </c>
      <c r="I1747">
        <v>1322.1545410000001</v>
      </c>
      <c r="J1747">
        <v>1317.8969727000001</v>
      </c>
      <c r="K1747">
        <v>2750</v>
      </c>
      <c r="L1747">
        <v>0</v>
      </c>
      <c r="M1747">
        <v>0</v>
      </c>
      <c r="N1747">
        <v>2750</v>
      </c>
    </row>
    <row r="1748" spans="1:14" x14ac:dyDescent="0.25">
      <c r="A1748">
        <v>1096.028804</v>
      </c>
      <c r="B1748" s="1">
        <f>DATE(2013,5,1) + TIME(0,41,28)</f>
        <v>41395.028796296298</v>
      </c>
      <c r="C1748">
        <v>80</v>
      </c>
      <c r="D1748">
        <v>68.378822326999995</v>
      </c>
      <c r="E1748">
        <v>50</v>
      </c>
      <c r="F1748">
        <v>49.973419188999998</v>
      </c>
      <c r="G1748">
        <v>1347.6442870999999</v>
      </c>
      <c r="H1748">
        <v>1342.4865723</v>
      </c>
      <c r="I1748">
        <v>1321.692749</v>
      </c>
      <c r="J1748">
        <v>1317.4278564000001</v>
      </c>
      <c r="K1748">
        <v>2750</v>
      </c>
      <c r="L1748">
        <v>0</v>
      </c>
      <c r="M1748">
        <v>0</v>
      </c>
      <c r="N1748">
        <v>2750</v>
      </c>
    </row>
    <row r="1749" spans="1:14" x14ac:dyDescent="0.25">
      <c r="A1749">
        <v>1096.048135</v>
      </c>
      <c r="B1749" s="1">
        <f>DATE(2013,5,1) + TIME(1,9,18)</f>
        <v>41395.048125000001</v>
      </c>
      <c r="C1749">
        <v>80</v>
      </c>
      <c r="D1749">
        <v>68.841857910000002</v>
      </c>
      <c r="E1749">
        <v>50</v>
      </c>
      <c r="F1749">
        <v>49.971324920999997</v>
      </c>
      <c r="G1749">
        <v>1347.6910399999999</v>
      </c>
      <c r="H1749">
        <v>1342.5632324000001</v>
      </c>
      <c r="I1749">
        <v>1321.6492920000001</v>
      </c>
      <c r="J1749">
        <v>1317.3835449000001</v>
      </c>
      <c r="K1749">
        <v>2750</v>
      </c>
      <c r="L1749">
        <v>0</v>
      </c>
      <c r="M1749">
        <v>0</v>
      </c>
      <c r="N1749">
        <v>2750</v>
      </c>
    </row>
    <row r="1750" spans="1:14" x14ac:dyDescent="0.25">
      <c r="A1750">
        <v>1096.067841</v>
      </c>
      <c r="B1750" s="1">
        <f>DATE(2013,5,1) + TIME(1,37,41)</f>
        <v>41395.067835648151</v>
      </c>
      <c r="C1750">
        <v>80</v>
      </c>
      <c r="D1750">
        <v>69.294876099000007</v>
      </c>
      <c r="E1750">
        <v>50</v>
      </c>
      <c r="F1750">
        <v>49.969211577999999</v>
      </c>
      <c r="G1750">
        <v>1347.6624756000001</v>
      </c>
      <c r="H1750">
        <v>1342.5645752</v>
      </c>
      <c r="I1750">
        <v>1321.6481934000001</v>
      </c>
      <c r="J1750">
        <v>1317.3823242000001</v>
      </c>
      <c r="K1750">
        <v>2750</v>
      </c>
      <c r="L1750">
        <v>0</v>
      </c>
      <c r="M1750">
        <v>0</v>
      </c>
      <c r="N1750">
        <v>2750</v>
      </c>
    </row>
    <row r="1751" spans="1:14" x14ac:dyDescent="0.25">
      <c r="A1751">
        <v>1096.087935</v>
      </c>
      <c r="B1751" s="1">
        <f>DATE(2013,5,1) + TIME(2,6,37)</f>
        <v>41395.08792824074</v>
      </c>
      <c r="C1751">
        <v>80</v>
      </c>
      <c r="D1751">
        <v>69.737937927000004</v>
      </c>
      <c r="E1751">
        <v>50</v>
      </c>
      <c r="F1751">
        <v>49.967075348000002</v>
      </c>
      <c r="G1751">
        <v>1347.6229248</v>
      </c>
      <c r="H1751">
        <v>1342.5535889</v>
      </c>
      <c r="I1751">
        <v>1321.6492920000001</v>
      </c>
      <c r="J1751">
        <v>1317.3834228999999</v>
      </c>
      <c r="K1751">
        <v>2750</v>
      </c>
      <c r="L1751">
        <v>0</v>
      </c>
      <c r="M1751">
        <v>0</v>
      </c>
      <c r="N1751">
        <v>2750</v>
      </c>
    </row>
    <row r="1752" spans="1:14" x14ac:dyDescent="0.25">
      <c r="A1752">
        <v>1096.108438</v>
      </c>
      <c r="B1752" s="1">
        <f>DATE(2013,5,1) + TIME(2,36,9)</f>
        <v>41395.108437499999</v>
      </c>
      <c r="C1752">
        <v>80</v>
      </c>
      <c r="D1752">
        <v>70.171028136999993</v>
      </c>
      <c r="E1752">
        <v>50</v>
      </c>
      <c r="F1752">
        <v>49.964912415000001</v>
      </c>
      <c r="G1752">
        <v>1347.5834961</v>
      </c>
      <c r="H1752">
        <v>1342.5411377</v>
      </c>
      <c r="I1752">
        <v>1321.6499022999999</v>
      </c>
      <c r="J1752">
        <v>1317.3839111</v>
      </c>
      <c r="K1752">
        <v>2750</v>
      </c>
      <c r="L1752">
        <v>0</v>
      </c>
      <c r="M1752">
        <v>0</v>
      </c>
      <c r="N1752">
        <v>2750</v>
      </c>
    </row>
    <row r="1753" spans="1:14" x14ac:dyDescent="0.25">
      <c r="A1753">
        <v>1096.1293700000001</v>
      </c>
      <c r="B1753" s="1">
        <f>DATE(2013,5,1) + TIME(3,6,17)</f>
        <v>41395.129363425927</v>
      </c>
      <c r="C1753">
        <v>80</v>
      </c>
      <c r="D1753">
        <v>70.594223021999994</v>
      </c>
      <c r="E1753">
        <v>50</v>
      </c>
      <c r="F1753">
        <v>49.962722778</v>
      </c>
      <c r="G1753">
        <v>1347.5462646000001</v>
      </c>
      <c r="H1753">
        <v>1342.5295410000001</v>
      </c>
      <c r="I1753">
        <v>1321.6501464999999</v>
      </c>
      <c r="J1753">
        <v>1317.3841553</v>
      </c>
      <c r="K1753">
        <v>2750</v>
      </c>
      <c r="L1753">
        <v>0</v>
      </c>
      <c r="M1753">
        <v>0</v>
      </c>
      <c r="N1753">
        <v>2750</v>
      </c>
    </row>
    <row r="1754" spans="1:14" x14ac:dyDescent="0.25">
      <c r="A1754">
        <v>1096.150752</v>
      </c>
      <c r="B1754" s="1">
        <f>DATE(2013,5,1) + TIME(3,37,4)</f>
        <v>41395.150740740741</v>
      </c>
      <c r="C1754">
        <v>80</v>
      </c>
      <c r="D1754">
        <v>71.0078125</v>
      </c>
      <c r="E1754">
        <v>50</v>
      </c>
      <c r="F1754">
        <v>49.960506439</v>
      </c>
      <c r="G1754">
        <v>1347.5117187999999</v>
      </c>
      <c r="H1754">
        <v>1342.5189209</v>
      </c>
      <c r="I1754">
        <v>1321.6502685999999</v>
      </c>
      <c r="J1754">
        <v>1317.3841553</v>
      </c>
      <c r="K1754">
        <v>2750</v>
      </c>
      <c r="L1754">
        <v>0</v>
      </c>
      <c r="M1754">
        <v>0</v>
      </c>
      <c r="N1754">
        <v>2750</v>
      </c>
    </row>
    <row r="1755" spans="1:14" x14ac:dyDescent="0.25">
      <c r="A1755">
        <v>1096.172609</v>
      </c>
      <c r="B1755" s="1">
        <f>DATE(2013,5,1) + TIME(4,8,33)</f>
        <v>41395.17260416667</v>
      </c>
      <c r="C1755">
        <v>80</v>
      </c>
      <c r="D1755">
        <v>71.411895752000007</v>
      </c>
      <c r="E1755">
        <v>50</v>
      </c>
      <c r="F1755">
        <v>49.958259583</v>
      </c>
      <c r="G1755">
        <v>1347.4796143000001</v>
      </c>
      <c r="H1755">
        <v>1342.5096435999999</v>
      </c>
      <c r="I1755">
        <v>1321.6503906</v>
      </c>
      <c r="J1755">
        <v>1317.3841553</v>
      </c>
      <c r="K1755">
        <v>2750</v>
      </c>
      <c r="L1755">
        <v>0</v>
      </c>
      <c r="M1755">
        <v>0</v>
      </c>
      <c r="N1755">
        <v>2750</v>
      </c>
    </row>
    <row r="1756" spans="1:14" x14ac:dyDescent="0.25">
      <c r="A1756">
        <v>1096.194956</v>
      </c>
      <c r="B1756" s="1">
        <f>DATE(2013,5,1) + TIME(4,40,44)</f>
        <v>41395.194953703707</v>
      </c>
      <c r="C1756">
        <v>80</v>
      </c>
      <c r="D1756">
        <v>71.806419372999997</v>
      </c>
      <c r="E1756">
        <v>50</v>
      </c>
      <c r="F1756">
        <v>49.955982208000002</v>
      </c>
      <c r="G1756">
        <v>1347.4499512</v>
      </c>
      <c r="H1756">
        <v>1342.5014647999999</v>
      </c>
      <c r="I1756">
        <v>1321.6503906</v>
      </c>
      <c r="J1756">
        <v>1317.3841553</v>
      </c>
      <c r="K1756">
        <v>2750</v>
      </c>
      <c r="L1756">
        <v>0</v>
      </c>
      <c r="M1756">
        <v>0</v>
      </c>
      <c r="N1756">
        <v>2750</v>
      </c>
    </row>
    <row r="1757" spans="1:14" x14ac:dyDescent="0.25">
      <c r="A1757">
        <v>1096.2177630000001</v>
      </c>
      <c r="B1757" s="1">
        <f>DATE(2013,5,1) + TIME(5,13,34)</f>
        <v>41395.21775462963</v>
      </c>
      <c r="C1757">
        <v>80</v>
      </c>
      <c r="D1757">
        <v>72.190536499000004</v>
      </c>
      <c r="E1757">
        <v>50</v>
      </c>
      <c r="F1757">
        <v>49.953678130999997</v>
      </c>
      <c r="G1757">
        <v>1347.4229736</v>
      </c>
      <c r="H1757">
        <v>1342.4945068</v>
      </c>
      <c r="I1757">
        <v>1321.6505127</v>
      </c>
      <c r="J1757">
        <v>1317.3841553</v>
      </c>
      <c r="K1757">
        <v>2750</v>
      </c>
      <c r="L1757">
        <v>0</v>
      </c>
      <c r="M1757">
        <v>0</v>
      </c>
      <c r="N1757">
        <v>2750</v>
      </c>
    </row>
    <row r="1758" spans="1:14" x14ac:dyDescent="0.25">
      <c r="A1758">
        <v>1096.2410520000001</v>
      </c>
      <c r="B1758" s="1">
        <f>DATE(2013,5,1) + TIME(5,47,6)</f>
        <v>41395.241041666668</v>
      </c>
      <c r="C1758">
        <v>80</v>
      </c>
      <c r="D1758">
        <v>72.564392089999998</v>
      </c>
      <c r="E1758">
        <v>50</v>
      </c>
      <c r="F1758">
        <v>49.951343536000003</v>
      </c>
      <c r="G1758">
        <v>1347.3983154</v>
      </c>
      <c r="H1758">
        <v>1342.4887695</v>
      </c>
      <c r="I1758">
        <v>1321.6505127</v>
      </c>
      <c r="J1758">
        <v>1317.3840332</v>
      </c>
      <c r="K1758">
        <v>2750</v>
      </c>
      <c r="L1758">
        <v>0</v>
      </c>
      <c r="M1758">
        <v>0</v>
      </c>
      <c r="N1758">
        <v>2750</v>
      </c>
    </row>
    <row r="1759" spans="1:14" x14ac:dyDescent="0.25">
      <c r="A1759">
        <v>1096.26485</v>
      </c>
      <c r="B1759" s="1">
        <f>DATE(2013,5,1) + TIME(6,21,22)</f>
        <v>41395.264837962961</v>
      </c>
      <c r="C1759">
        <v>80</v>
      </c>
      <c r="D1759">
        <v>72.928100585999999</v>
      </c>
      <c r="E1759">
        <v>50</v>
      </c>
      <c r="F1759">
        <v>49.948978424000003</v>
      </c>
      <c r="G1759">
        <v>1347.3759766000001</v>
      </c>
      <c r="H1759">
        <v>1342.4838867000001</v>
      </c>
      <c r="I1759">
        <v>1321.6505127</v>
      </c>
      <c r="J1759">
        <v>1317.3840332</v>
      </c>
      <c r="K1759">
        <v>2750</v>
      </c>
      <c r="L1759">
        <v>0</v>
      </c>
      <c r="M1759">
        <v>0</v>
      </c>
      <c r="N1759">
        <v>2750</v>
      </c>
    </row>
    <row r="1760" spans="1:14" x14ac:dyDescent="0.25">
      <c r="A1760">
        <v>1096.2891810000001</v>
      </c>
      <c r="B1760" s="1">
        <f>DATE(2013,5,1) + TIME(6,56,25)</f>
        <v>41395.289178240739</v>
      </c>
      <c r="C1760">
        <v>80</v>
      </c>
      <c r="D1760">
        <v>73.281768799000005</v>
      </c>
      <c r="E1760">
        <v>50</v>
      </c>
      <c r="F1760">
        <v>49.946582794000001</v>
      </c>
      <c r="G1760">
        <v>1347.3555908000001</v>
      </c>
      <c r="H1760">
        <v>1342.4801024999999</v>
      </c>
      <c r="I1760">
        <v>1321.6505127</v>
      </c>
      <c r="J1760">
        <v>1317.3839111</v>
      </c>
      <c r="K1760">
        <v>2750</v>
      </c>
      <c r="L1760">
        <v>0</v>
      </c>
      <c r="M1760">
        <v>0</v>
      </c>
      <c r="N1760">
        <v>2750</v>
      </c>
    </row>
    <row r="1761" spans="1:14" x14ac:dyDescent="0.25">
      <c r="A1761">
        <v>1096.314073</v>
      </c>
      <c r="B1761" s="1">
        <f>DATE(2013,5,1) + TIME(7,32,15)</f>
        <v>41395.314062500001</v>
      </c>
      <c r="C1761">
        <v>80</v>
      </c>
      <c r="D1761">
        <v>73.625495911000002</v>
      </c>
      <c r="E1761">
        <v>50</v>
      </c>
      <c r="F1761">
        <v>49.944152832</v>
      </c>
      <c r="G1761">
        <v>1347.3372803</v>
      </c>
      <c r="H1761">
        <v>1342.4772949000001</v>
      </c>
      <c r="I1761">
        <v>1321.6505127</v>
      </c>
      <c r="J1761">
        <v>1317.3837891000001</v>
      </c>
      <c r="K1761">
        <v>2750</v>
      </c>
      <c r="L1761">
        <v>0</v>
      </c>
      <c r="M1761">
        <v>0</v>
      </c>
      <c r="N1761">
        <v>2750</v>
      </c>
    </row>
    <row r="1762" spans="1:14" x14ac:dyDescent="0.25">
      <c r="A1762">
        <v>1096.339557</v>
      </c>
      <c r="B1762" s="1">
        <f>DATE(2013,5,1) + TIME(8,8,57)</f>
        <v>41395.339548611111</v>
      </c>
      <c r="C1762">
        <v>80</v>
      </c>
      <c r="D1762">
        <v>73.959365844999994</v>
      </c>
      <c r="E1762">
        <v>50</v>
      </c>
      <c r="F1762">
        <v>49.941688538000001</v>
      </c>
      <c r="G1762">
        <v>1347.3209228999999</v>
      </c>
      <c r="H1762">
        <v>1342.4752197</v>
      </c>
      <c r="I1762">
        <v>1321.6505127</v>
      </c>
      <c r="J1762">
        <v>1317.3836670000001</v>
      </c>
      <c r="K1762">
        <v>2750</v>
      </c>
      <c r="L1762">
        <v>0</v>
      </c>
      <c r="M1762">
        <v>0</v>
      </c>
      <c r="N1762">
        <v>2750</v>
      </c>
    </row>
    <row r="1763" spans="1:14" x14ac:dyDescent="0.25">
      <c r="A1763">
        <v>1096.3656599999999</v>
      </c>
      <c r="B1763" s="1">
        <f>DATE(2013,5,1) + TIME(8,46,33)</f>
        <v>41395.365659722222</v>
      </c>
      <c r="C1763">
        <v>80</v>
      </c>
      <c r="D1763">
        <v>74.283393860000004</v>
      </c>
      <c r="E1763">
        <v>50</v>
      </c>
      <c r="F1763">
        <v>49.939182281000001</v>
      </c>
      <c r="G1763">
        <v>1347.3063964999999</v>
      </c>
      <c r="H1763">
        <v>1342.473999</v>
      </c>
      <c r="I1763">
        <v>1321.6503906</v>
      </c>
      <c r="J1763">
        <v>1317.3835449000001</v>
      </c>
      <c r="K1763">
        <v>2750</v>
      </c>
      <c r="L1763">
        <v>0</v>
      </c>
      <c r="M1763">
        <v>0</v>
      </c>
      <c r="N1763">
        <v>2750</v>
      </c>
    </row>
    <row r="1764" spans="1:14" x14ac:dyDescent="0.25">
      <c r="A1764">
        <v>1096.3924199999999</v>
      </c>
      <c r="B1764" s="1">
        <f>DATE(2013,5,1) + TIME(9,25,5)</f>
        <v>41395.392418981479</v>
      </c>
      <c r="C1764">
        <v>80</v>
      </c>
      <c r="D1764">
        <v>74.597717285000002</v>
      </c>
      <c r="E1764">
        <v>50</v>
      </c>
      <c r="F1764">
        <v>49.936637877999999</v>
      </c>
      <c r="G1764">
        <v>1347.2935791</v>
      </c>
      <c r="H1764">
        <v>1342.4736327999999</v>
      </c>
      <c r="I1764">
        <v>1321.6503906</v>
      </c>
      <c r="J1764">
        <v>1317.3834228999999</v>
      </c>
      <c r="K1764">
        <v>2750</v>
      </c>
      <c r="L1764">
        <v>0</v>
      </c>
      <c r="M1764">
        <v>0</v>
      </c>
      <c r="N1764">
        <v>2750</v>
      </c>
    </row>
    <row r="1765" spans="1:14" x14ac:dyDescent="0.25">
      <c r="A1765">
        <v>1096.4198739999999</v>
      </c>
      <c r="B1765" s="1">
        <f>DATE(2013,5,1) + TIME(10,4,37)</f>
        <v>41395.419872685183</v>
      </c>
      <c r="C1765">
        <v>80</v>
      </c>
      <c r="D1765">
        <v>74.902397156000006</v>
      </c>
      <c r="E1765">
        <v>50</v>
      </c>
      <c r="F1765">
        <v>49.934051513999997</v>
      </c>
      <c r="G1765">
        <v>1347.2822266000001</v>
      </c>
      <c r="H1765">
        <v>1342.473999</v>
      </c>
      <c r="I1765">
        <v>1321.6502685999999</v>
      </c>
      <c r="J1765">
        <v>1317.3831786999999</v>
      </c>
      <c r="K1765">
        <v>2750</v>
      </c>
      <c r="L1765">
        <v>0</v>
      </c>
      <c r="M1765">
        <v>0</v>
      </c>
      <c r="N1765">
        <v>2750</v>
      </c>
    </row>
    <row r="1766" spans="1:14" x14ac:dyDescent="0.25">
      <c r="A1766">
        <v>1096.4480619999999</v>
      </c>
      <c r="B1766" s="1">
        <f>DATE(2013,5,1) + TIME(10,45,12)</f>
        <v>41395.448055555556</v>
      </c>
      <c r="C1766">
        <v>80</v>
      </c>
      <c r="D1766">
        <v>75.197349548000005</v>
      </c>
      <c r="E1766">
        <v>50</v>
      </c>
      <c r="F1766">
        <v>49.931415557999998</v>
      </c>
      <c r="G1766">
        <v>1347.2725829999999</v>
      </c>
      <c r="H1766">
        <v>1342.4749756000001</v>
      </c>
      <c r="I1766">
        <v>1321.6501464999999</v>
      </c>
      <c r="J1766">
        <v>1317.3830565999999</v>
      </c>
      <c r="K1766">
        <v>2750</v>
      </c>
      <c r="L1766">
        <v>0</v>
      </c>
      <c r="M1766">
        <v>0</v>
      </c>
      <c r="N1766">
        <v>2750</v>
      </c>
    </row>
    <row r="1767" spans="1:14" x14ac:dyDescent="0.25">
      <c r="A1767">
        <v>1096.477026</v>
      </c>
      <c r="B1767" s="1">
        <f>DATE(2013,5,1) + TIME(11,26,55)</f>
        <v>41395.477025462962</v>
      </c>
      <c r="C1767">
        <v>80</v>
      </c>
      <c r="D1767">
        <v>75.482681274000001</v>
      </c>
      <c r="E1767">
        <v>50</v>
      </c>
      <c r="F1767">
        <v>49.928733825999998</v>
      </c>
      <c r="G1767">
        <v>1347.2642822</v>
      </c>
      <c r="H1767">
        <v>1342.4765625</v>
      </c>
      <c r="I1767">
        <v>1321.6501464999999</v>
      </c>
      <c r="J1767">
        <v>1317.3828125</v>
      </c>
      <c r="K1767">
        <v>2750</v>
      </c>
      <c r="L1767">
        <v>0</v>
      </c>
      <c r="M1767">
        <v>0</v>
      </c>
      <c r="N1767">
        <v>2750</v>
      </c>
    </row>
    <row r="1768" spans="1:14" x14ac:dyDescent="0.25">
      <c r="A1768">
        <v>1096.5068120000001</v>
      </c>
      <c r="B1768" s="1">
        <f>DATE(2013,5,1) + TIME(12,9,48)</f>
        <v>41395.506805555553</v>
      </c>
      <c r="C1768">
        <v>80</v>
      </c>
      <c r="D1768">
        <v>75.758522033999995</v>
      </c>
      <c r="E1768">
        <v>50</v>
      </c>
      <c r="F1768">
        <v>49.926002502000003</v>
      </c>
      <c r="G1768">
        <v>1347.2574463000001</v>
      </c>
      <c r="H1768">
        <v>1342.4787598</v>
      </c>
      <c r="I1768">
        <v>1321.6500243999999</v>
      </c>
      <c r="J1768">
        <v>1317.3826904</v>
      </c>
      <c r="K1768">
        <v>2750</v>
      </c>
      <c r="L1768">
        <v>0</v>
      </c>
      <c r="M1768">
        <v>0</v>
      </c>
      <c r="N1768">
        <v>2750</v>
      </c>
    </row>
    <row r="1769" spans="1:14" x14ac:dyDescent="0.25">
      <c r="A1769">
        <v>1096.5374449999999</v>
      </c>
      <c r="B1769" s="1">
        <f>DATE(2013,5,1) + TIME(12,53,55)</f>
        <v>41395.537442129629</v>
      </c>
      <c r="C1769">
        <v>80</v>
      </c>
      <c r="D1769">
        <v>76.024711608999993</v>
      </c>
      <c r="E1769">
        <v>50</v>
      </c>
      <c r="F1769">
        <v>49.923217772999998</v>
      </c>
      <c r="G1769">
        <v>1347.2518310999999</v>
      </c>
      <c r="H1769">
        <v>1342.4815673999999</v>
      </c>
      <c r="I1769">
        <v>1321.6499022999999</v>
      </c>
      <c r="J1769">
        <v>1317.3824463000001</v>
      </c>
      <c r="K1769">
        <v>2750</v>
      </c>
      <c r="L1769">
        <v>0</v>
      </c>
      <c r="M1769">
        <v>0</v>
      </c>
      <c r="N1769">
        <v>2750</v>
      </c>
    </row>
    <row r="1770" spans="1:14" x14ac:dyDescent="0.25">
      <c r="A1770">
        <v>1096.568941</v>
      </c>
      <c r="B1770" s="1">
        <f>DATE(2013,5,1) + TIME(13,39,16)</f>
        <v>41395.568935185183</v>
      </c>
      <c r="C1770">
        <v>80</v>
      </c>
      <c r="D1770">
        <v>76.281036377000007</v>
      </c>
      <c r="E1770">
        <v>50</v>
      </c>
      <c r="F1770">
        <v>49.920375823999997</v>
      </c>
      <c r="G1770">
        <v>1347.2474365</v>
      </c>
      <c r="H1770">
        <v>1342.4848632999999</v>
      </c>
      <c r="I1770">
        <v>1321.6497803</v>
      </c>
      <c r="J1770">
        <v>1317.3822021000001</v>
      </c>
      <c r="K1770">
        <v>2750</v>
      </c>
      <c r="L1770">
        <v>0</v>
      </c>
      <c r="M1770">
        <v>0</v>
      </c>
      <c r="N1770">
        <v>2750</v>
      </c>
    </row>
    <row r="1771" spans="1:14" x14ac:dyDescent="0.25">
      <c r="A1771">
        <v>1096.6013519999999</v>
      </c>
      <c r="B1771" s="1">
        <f>DATE(2013,5,1) + TIME(14,25,56)</f>
        <v>41395.601342592592</v>
      </c>
      <c r="C1771">
        <v>80</v>
      </c>
      <c r="D1771">
        <v>76.527580260999997</v>
      </c>
      <c r="E1771">
        <v>50</v>
      </c>
      <c r="F1771">
        <v>49.917484283</v>
      </c>
      <c r="G1771">
        <v>1347.2442627</v>
      </c>
      <c r="H1771">
        <v>1342.4885254000001</v>
      </c>
      <c r="I1771">
        <v>1321.6495361</v>
      </c>
      <c r="J1771">
        <v>1317.3819579999999</v>
      </c>
      <c r="K1771">
        <v>2750</v>
      </c>
      <c r="L1771">
        <v>0</v>
      </c>
      <c r="M1771">
        <v>0</v>
      </c>
      <c r="N1771">
        <v>2750</v>
      </c>
    </row>
    <row r="1772" spans="1:14" x14ac:dyDescent="0.25">
      <c r="A1772">
        <v>1096.634732</v>
      </c>
      <c r="B1772" s="1">
        <f>DATE(2013,5,1) + TIME(15,14,0)</f>
        <v>41395.634722222225</v>
      </c>
      <c r="C1772">
        <v>80</v>
      </c>
      <c r="D1772">
        <v>76.764404296999999</v>
      </c>
      <c r="E1772">
        <v>50</v>
      </c>
      <c r="F1772">
        <v>49.914527892999999</v>
      </c>
      <c r="G1772">
        <v>1347.2420654</v>
      </c>
      <c r="H1772">
        <v>1342.4926757999999</v>
      </c>
      <c r="I1772">
        <v>1321.6494141000001</v>
      </c>
      <c r="J1772">
        <v>1317.3815918</v>
      </c>
      <c r="K1772">
        <v>2750</v>
      </c>
      <c r="L1772">
        <v>0</v>
      </c>
      <c r="M1772">
        <v>0</v>
      </c>
      <c r="N1772">
        <v>2750</v>
      </c>
    </row>
    <row r="1773" spans="1:14" x14ac:dyDescent="0.25">
      <c r="A1773">
        <v>1096.66914</v>
      </c>
      <c r="B1773" s="1">
        <f>DATE(2013,5,1) + TIME(16,3,33)</f>
        <v>41395.669131944444</v>
      </c>
      <c r="C1773">
        <v>80</v>
      </c>
      <c r="D1773">
        <v>76.991592406999999</v>
      </c>
      <c r="E1773">
        <v>50</v>
      </c>
      <c r="F1773">
        <v>49.911510468000003</v>
      </c>
      <c r="G1773">
        <v>1347.2408447</v>
      </c>
      <c r="H1773">
        <v>1342.4970702999999</v>
      </c>
      <c r="I1773">
        <v>1321.6492920000001</v>
      </c>
      <c r="J1773">
        <v>1317.3813477000001</v>
      </c>
      <c r="K1773">
        <v>2750</v>
      </c>
      <c r="L1773">
        <v>0</v>
      </c>
      <c r="M1773">
        <v>0</v>
      </c>
      <c r="N1773">
        <v>2750</v>
      </c>
    </row>
    <row r="1774" spans="1:14" x14ac:dyDescent="0.25">
      <c r="A1774">
        <v>1096.7046379999999</v>
      </c>
      <c r="B1774" s="1">
        <f>DATE(2013,5,1) + TIME(16,54,40)</f>
        <v>41395.704629629632</v>
      </c>
      <c r="C1774">
        <v>80</v>
      </c>
      <c r="D1774">
        <v>77.209213257000002</v>
      </c>
      <c r="E1774">
        <v>50</v>
      </c>
      <c r="F1774">
        <v>49.908428192000002</v>
      </c>
      <c r="G1774">
        <v>1347.2403564000001</v>
      </c>
      <c r="H1774">
        <v>1342.5018310999999</v>
      </c>
      <c r="I1774">
        <v>1321.6490478999999</v>
      </c>
      <c r="J1774">
        <v>1317.3811035000001</v>
      </c>
      <c r="K1774">
        <v>2750</v>
      </c>
      <c r="L1774">
        <v>0</v>
      </c>
      <c r="M1774">
        <v>0</v>
      </c>
      <c r="N1774">
        <v>2750</v>
      </c>
    </row>
    <row r="1775" spans="1:14" x14ac:dyDescent="0.25">
      <c r="A1775">
        <v>1096.7412979999999</v>
      </c>
      <c r="B1775" s="1">
        <f>DATE(2013,5,1) + TIME(17,47,28)</f>
        <v>41395.741296296299</v>
      </c>
      <c r="C1775">
        <v>80</v>
      </c>
      <c r="D1775">
        <v>77.417327881000006</v>
      </c>
      <c r="E1775">
        <v>50</v>
      </c>
      <c r="F1775">
        <v>49.905269623000002</v>
      </c>
      <c r="G1775">
        <v>1347.2408447</v>
      </c>
      <c r="H1775">
        <v>1342.5069579999999</v>
      </c>
      <c r="I1775">
        <v>1321.6489257999999</v>
      </c>
      <c r="J1775">
        <v>1317.3807373</v>
      </c>
      <c r="K1775">
        <v>2750</v>
      </c>
      <c r="L1775">
        <v>0</v>
      </c>
      <c r="M1775">
        <v>0</v>
      </c>
      <c r="N1775">
        <v>2750</v>
      </c>
    </row>
    <row r="1776" spans="1:14" x14ac:dyDescent="0.25">
      <c r="A1776">
        <v>1096.779192</v>
      </c>
      <c r="B1776" s="1">
        <f>DATE(2013,5,1) + TIME(18,42,2)</f>
        <v>41395.779189814813</v>
      </c>
      <c r="C1776">
        <v>80</v>
      </c>
      <c r="D1776">
        <v>77.616020203000005</v>
      </c>
      <c r="E1776">
        <v>50</v>
      </c>
      <c r="F1776">
        <v>49.902038574000002</v>
      </c>
      <c r="G1776">
        <v>1347.2419434000001</v>
      </c>
      <c r="H1776">
        <v>1342.5120850000001</v>
      </c>
      <c r="I1776">
        <v>1321.6486815999999</v>
      </c>
      <c r="J1776">
        <v>1317.3804932</v>
      </c>
      <c r="K1776">
        <v>2750</v>
      </c>
      <c r="L1776">
        <v>0</v>
      </c>
      <c r="M1776">
        <v>0</v>
      </c>
      <c r="N1776">
        <v>2750</v>
      </c>
    </row>
    <row r="1777" spans="1:14" x14ac:dyDescent="0.25">
      <c r="A1777">
        <v>1096.818403</v>
      </c>
      <c r="B1777" s="1">
        <f>DATE(2013,5,1) + TIME(19,38,30)</f>
        <v>41395.818402777775</v>
      </c>
      <c r="C1777">
        <v>80</v>
      </c>
      <c r="D1777">
        <v>77.805366516000007</v>
      </c>
      <c r="E1777">
        <v>50</v>
      </c>
      <c r="F1777">
        <v>49.898723601999997</v>
      </c>
      <c r="G1777">
        <v>1347.2436522999999</v>
      </c>
      <c r="H1777">
        <v>1342.5175781</v>
      </c>
      <c r="I1777">
        <v>1321.6485596</v>
      </c>
      <c r="J1777">
        <v>1317.3801269999999</v>
      </c>
      <c r="K1777">
        <v>2750</v>
      </c>
      <c r="L1777">
        <v>0</v>
      </c>
      <c r="M1777">
        <v>0</v>
      </c>
      <c r="N1777">
        <v>2750</v>
      </c>
    </row>
    <row r="1778" spans="1:14" x14ac:dyDescent="0.25">
      <c r="A1778">
        <v>1096.8590349999999</v>
      </c>
      <c r="B1778" s="1">
        <f>DATE(2013,5,1) + TIME(20,37,0)</f>
        <v>41395.859027777777</v>
      </c>
      <c r="C1778">
        <v>80</v>
      </c>
      <c r="D1778">
        <v>77.985511779999996</v>
      </c>
      <c r="E1778">
        <v>50</v>
      </c>
      <c r="F1778">
        <v>49.895324707</v>
      </c>
      <c r="G1778">
        <v>1347.2459716999999</v>
      </c>
      <c r="H1778">
        <v>1342.5230713000001</v>
      </c>
      <c r="I1778">
        <v>1321.6483154</v>
      </c>
      <c r="J1778">
        <v>1317.3797606999999</v>
      </c>
      <c r="K1778">
        <v>2750</v>
      </c>
      <c r="L1778">
        <v>0</v>
      </c>
      <c r="M1778">
        <v>0</v>
      </c>
      <c r="N1778">
        <v>2750</v>
      </c>
    </row>
    <row r="1779" spans="1:14" x14ac:dyDescent="0.25">
      <c r="A1779">
        <v>1096.9011780000001</v>
      </c>
      <c r="B1779" s="1">
        <f>DATE(2013,5,1) + TIME(21,37,41)</f>
        <v>41395.90116898148</v>
      </c>
      <c r="C1779">
        <v>80</v>
      </c>
      <c r="D1779">
        <v>78.156501770000006</v>
      </c>
      <c r="E1779">
        <v>50</v>
      </c>
      <c r="F1779">
        <v>49.891826629999997</v>
      </c>
      <c r="G1779">
        <v>1347.2487793</v>
      </c>
      <c r="H1779">
        <v>1342.5286865</v>
      </c>
      <c r="I1779">
        <v>1321.6480713000001</v>
      </c>
      <c r="J1779">
        <v>1317.3793945</v>
      </c>
      <c r="K1779">
        <v>2750</v>
      </c>
      <c r="L1779">
        <v>0</v>
      </c>
      <c r="M1779">
        <v>0</v>
      </c>
      <c r="N1779">
        <v>2750</v>
      </c>
    </row>
    <row r="1780" spans="1:14" x14ac:dyDescent="0.25">
      <c r="A1780">
        <v>1096.944935</v>
      </c>
      <c r="B1780" s="1">
        <f>DATE(2013,5,1) + TIME(22,40,42)</f>
        <v>41395.944930555554</v>
      </c>
      <c r="C1780">
        <v>80</v>
      </c>
      <c r="D1780">
        <v>78.318420410000002</v>
      </c>
      <c r="E1780">
        <v>50</v>
      </c>
      <c r="F1780">
        <v>49.888233184999997</v>
      </c>
      <c r="G1780">
        <v>1347.2519531</v>
      </c>
      <c r="H1780">
        <v>1342.5343018000001</v>
      </c>
      <c r="I1780">
        <v>1321.6478271000001</v>
      </c>
      <c r="J1780">
        <v>1317.3790283000001</v>
      </c>
      <c r="K1780">
        <v>2750</v>
      </c>
      <c r="L1780">
        <v>0</v>
      </c>
      <c r="M1780">
        <v>0</v>
      </c>
      <c r="N1780">
        <v>2750</v>
      </c>
    </row>
    <row r="1781" spans="1:14" x14ac:dyDescent="0.25">
      <c r="A1781">
        <v>1096.9904260000001</v>
      </c>
      <c r="B1781" s="1">
        <f>DATE(2013,5,1) + TIME(23,46,12)</f>
        <v>41395.990416666667</v>
      </c>
      <c r="C1781">
        <v>80</v>
      </c>
      <c r="D1781">
        <v>78.471374511999997</v>
      </c>
      <c r="E1781">
        <v>50</v>
      </c>
      <c r="F1781">
        <v>49.884532927999999</v>
      </c>
      <c r="G1781">
        <v>1347.2554932</v>
      </c>
      <c r="H1781">
        <v>1342.5399170000001</v>
      </c>
      <c r="I1781">
        <v>1321.6475829999999</v>
      </c>
      <c r="J1781">
        <v>1317.3786620999999</v>
      </c>
      <c r="K1781">
        <v>2750</v>
      </c>
      <c r="L1781">
        <v>0</v>
      </c>
      <c r="M1781">
        <v>0</v>
      </c>
      <c r="N1781">
        <v>2750</v>
      </c>
    </row>
    <row r="1782" spans="1:14" x14ac:dyDescent="0.25">
      <c r="A1782">
        <v>1097.037781</v>
      </c>
      <c r="B1782" s="1">
        <f>DATE(2013,5,2) + TIME(0,54,24)</f>
        <v>41396.037777777776</v>
      </c>
      <c r="C1782">
        <v>80</v>
      </c>
      <c r="D1782">
        <v>78.615470885999997</v>
      </c>
      <c r="E1782">
        <v>50</v>
      </c>
      <c r="F1782">
        <v>49.880714417</v>
      </c>
      <c r="G1782">
        <v>1347.2592772999999</v>
      </c>
      <c r="H1782">
        <v>1342.5455322</v>
      </c>
      <c r="I1782">
        <v>1321.6473389</v>
      </c>
      <c r="J1782">
        <v>1317.3782959</v>
      </c>
      <c r="K1782">
        <v>2750</v>
      </c>
      <c r="L1782">
        <v>0</v>
      </c>
      <c r="M1782">
        <v>0</v>
      </c>
      <c r="N1782">
        <v>2750</v>
      </c>
    </row>
    <row r="1783" spans="1:14" x14ac:dyDescent="0.25">
      <c r="A1783">
        <v>1097.0871480000001</v>
      </c>
      <c r="B1783" s="1">
        <f>DATE(2013,5,2) + TIME(2,5,29)</f>
        <v>41396.087141203701</v>
      </c>
      <c r="C1783">
        <v>80</v>
      </c>
      <c r="D1783">
        <v>78.750846863000007</v>
      </c>
      <c r="E1783">
        <v>50</v>
      </c>
      <c r="F1783">
        <v>49.876773833999998</v>
      </c>
      <c r="G1783">
        <v>1347.2631836</v>
      </c>
      <c r="H1783">
        <v>1342.5510254000001</v>
      </c>
      <c r="I1783">
        <v>1321.6469727000001</v>
      </c>
      <c r="J1783">
        <v>1317.3778076000001</v>
      </c>
      <c r="K1783">
        <v>2750</v>
      </c>
      <c r="L1783">
        <v>0</v>
      </c>
      <c r="M1783">
        <v>0</v>
      </c>
      <c r="N1783">
        <v>2750</v>
      </c>
    </row>
    <row r="1784" spans="1:14" x14ac:dyDescent="0.25">
      <c r="A1784">
        <v>1097.1386890000001</v>
      </c>
      <c r="B1784" s="1">
        <f>DATE(2013,5,2) + TIME(3,19,42)</f>
        <v>41396.138680555552</v>
      </c>
      <c r="C1784">
        <v>80</v>
      </c>
      <c r="D1784">
        <v>78.877632141000007</v>
      </c>
      <c r="E1784">
        <v>50</v>
      </c>
      <c r="F1784">
        <v>49.872703551999997</v>
      </c>
      <c r="G1784">
        <v>1347.2672118999999</v>
      </c>
      <c r="H1784">
        <v>1342.5562743999999</v>
      </c>
      <c r="I1784">
        <v>1321.6467285000001</v>
      </c>
      <c r="J1784">
        <v>1317.3774414</v>
      </c>
      <c r="K1784">
        <v>2750</v>
      </c>
      <c r="L1784">
        <v>0</v>
      </c>
      <c r="M1784">
        <v>0</v>
      </c>
      <c r="N1784">
        <v>2750</v>
      </c>
    </row>
    <row r="1785" spans="1:14" x14ac:dyDescent="0.25">
      <c r="A1785">
        <v>1097.192585</v>
      </c>
      <c r="B1785" s="1">
        <f>DATE(2013,5,2) + TIME(4,37,19)</f>
        <v>41396.19258101852</v>
      </c>
      <c r="C1785">
        <v>80</v>
      </c>
      <c r="D1785">
        <v>78.995986938000001</v>
      </c>
      <c r="E1785">
        <v>50</v>
      </c>
      <c r="F1785">
        <v>49.868484496999997</v>
      </c>
      <c r="G1785">
        <v>1347.2712402</v>
      </c>
      <c r="H1785">
        <v>1342.5615233999999</v>
      </c>
      <c r="I1785">
        <v>1321.6464844</v>
      </c>
      <c r="J1785">
        <v>1317.3769531</v>
      </c>
      <c r="K1785">
        <v>2750</v>
      </c>
      <c r="L1785">
        <v>0</v>
      </c>
      <c r="M1785">
        <v>0</v>
      </c>
      <c r="N1785">
        <v>2750</v>
      </c>
    </row>
    <row r="1786" spans="1:14" x14ac:dyDescent="0.25">
      <c r="A1786">
        <v>1097.249043</v>
      </c>
      <c r="B1786" s="1">
        <f>DATE(2013,5,2) + TIME(5,58,37)</f>
        <v>41396.249039351853</v>
      </c>
      <c r="C1786">
        <v>80</v>
      </c>
      <c r="D1786">
        <v>79.106071471999996</v>
      </c>
      <c r="E1786">
        <v>50</v>
      </c>
      <c r="F1786">
        <v>49.864109038999999</v>
      </c>
      <c r="G1786">
        <v>1347.2752685999999</v>
      </c>
      <c r="H1786">
        <v>1342.5664062000001</v>
      </c>
      <c r="I1786">
        <v>1321.6461182</v>
      </c>
      <c r="J1786">
        <v>1317.3764647999999</v>
      </c>
      <c r="K1786">
        <v>2750</v>
      </c>
      <c r="L1786">
        <v>0</v>
      </c>
      <c r="M1786">
        <v>0</v>
      </c>
      <c r="N1786">
        <v>2750</v>
      </c>
    </row>
    <row r="1787" spans="1:14" x14ac:dyDescent="0.25">
      <c r="A1787">
        <v>1097.308295</v>
      </c>
      <c r="B1787" s="1">
        <f>DATE(2013,5,2) + TIME(7,23,56)</f>
        <v>41396.308287037034</v>
      </c>
      <c r="C1787">
        <v>80</v>
      </c>
      <c r="D1787">
        <v>79.208068847999996</v>
      </c>
      <c r="E1787">
        <v>50</v>
      </c>
      <c r="F1787">
        <v>49.859565734999997</v>
      </c>
      <c r="G1787">
        <v>1347.2791748</v>
      </c>
      <c r="H1787">
        <v>1342.5710449000001</v>
      </c>
      <c r="I1787">
        <v>1321.6457519999999</v>
      </c>
      <c r="J1787">
        <v>1317.3759766000001</v>
      </c>
      <c r="K1787">
        <v>2750</v>
      </c>
      <c r="L1787">
        <v>0</v>
      </c>
      <c r="M1787">
        <v>0</v>
      </c>
      <c r="N1787">
        <v>2750</v>
      </c>
    </row>
    <row r="1788" spans="1:14" x14ac:dyDescent="0.25">
      <c r="A1788">
        <v>1097.3706139999999</v>
      </c>
      <c r="B1788" s="1">
        <f>DATE(2013,5,2) + TIME(8,53,41)</f>
        <v>41396.370613425926</v>
      </c>
      <c r="C1788">
        <v>80</v>
      </c>
      <c r="D1788">
        <v>79.302192688000005</v>
      </c>
      <c r="E1788">
        <v>50</v>
      </c>
      <c r="F1788">
        <v>49.854831695999998</v>
      </c>
      <c r="G1788">
        <v>1347.2827147999999</v>
      </c>
      <c r="H1788">
        <v>1342.5754394999999</v>
      </c>
      <c r="I1788">
        <v>1321.6453856999999</v>
      </c>
      <c r="J1788">
        <v>1317.3754882999999</v>
      </c>
      <c r="K1788">
        <v>2750</v>
      </c>
      <c r="L1788">
        <v>0</v>
      </c>
      <c r="M1788">
        <v>0</v>
      </c>
      <c r="N1788">
        <v>2750</v>
      </c>
    </row>
    <row r="1789" spans="1:14" x14ac:dyDescent="0.25">
      <c r="A1789">
        <v>1097.4363000000001</v>
      </c>
      <c r="B1789" s="1">
        <f>DATE(2013,5,2) + TIME(10,28,16)</f>
        <v>41396.436296296299</v>
      </c>
      <c r="C1789">
        <v>80</v>
      </c>
      <c r="D1789">
        <v>79.388633728000002</v>
      </c>
      <c r="E1789">
        <v>50</v>
      </c>
      <c r="F1789">
        <v>49.849895476999997</v>
      </c>
      <c r="G1789">
        <v>1347.2861327999999</v>
      </c>
      <c r="H1789">
        <v>1342.5793457</v>
      </c>
      <c r="I1789">
        <v>1321.6450195</v>
      </c>
      <c r="J1789">
        <v>1317.375</v>
      </c>
      <c r="K1789">
        <v>2750</v>
      </c>
      <c r="L1789">
        <v>0</v>
      </c>
      <c r="M1789">
        <v>0</v>
      </c>
      <c r="N1789">
        <v>2750</v>
      </c>
    </row>
    <row r="1790" spans="1:14" x14ac:dyDescent="0.25">
      <c r="A1790">
        <v>1097.5054749999999</v>
      </c>
      <c r="B1790" s="1">
        <f>DATE(2013,5,2) + TIME(12,7,53)</f>
        <v>41396.505474537036</v>
      </c>
      <c r="C1790">
        <v>80</v>
      </c>
      <c r="D1790">
        <v>79.467414856000005</v>
      </c>
      <c r="E1790">
        <v>50</v>
      </c>
      <c r="F1790">
        <v>49.844749450999998</v>
      </c>
      <c r="G1790">
        <v>1347.2890625</v>
      </c>
      <c r="H1790">
        <v>1342.5830077999999</v>
      </c>
      <c r="I1790">
        <v>1321.6446533000001</v>
      </c>
      <c r="J1790">
        <v>1317.3743896000001</v>
      </c>
      <c r="K1790">
        <v>2750</v>
      </c>
      <c r="L1790">
        <v>0</v>
      </c>
      <c r="M1790">
        <v>0</v>
      </c>
      <c r="N1790">
        <v>2750</v>
      </c>
    </row>
    <row r="1791" spans="1:14" x14ac:dyDescent="0.25">
      <c r="A1791">
        <v>1097.578471</v>
      </c>
      <c r="B1791" s="1">
        <f>DATE(2013,5,2) + TIME(13,52,59)</f>
        <v>41396.578460648147</v>
      </c>
      <c r="C1791">
        <v>80</v>
      </c>
      <c r="D1791">
        <v>79.538803100999999</v>
      </c>
      <c r="E1791">
        <v>50</v>
      </c>
      <c r="F1791">
        <v>49.839374542000002</v>
      </c>
      <c r="G1791">
        <v>1347.291626</v>
      </c>
      <c r="H1791">
        <v>1342.5861815999999</v>
      </c>
      <c r="I1791">
        <v>1321.6442870999999</v>
      </c>
      <c r="J1791">
        <v>1317.3739014</v>
      </c>
      <c r="K1791">
        <v>2750</v>
      </c>
      <c r="L1791">
        <v>0</v>
      </c>
      <c r="M1791">
        <v>0</v>
      </c>
      <c r="N1791">
        <v>2750</v>
      </c>
    </row>
    <row r="1792" spans="1:14" x14ac:dyDescent="0.25">
      <c r="A1792">
        <v>1097.6556800000001</v>
      </c>
      <c r="B1792" s="1">
        <f>DATE(2013,5,2) + TIME(15,44,10)</f>
        <v>41396.655671296299</v>
      </c>
      <c r="C1792">
        <v>80</v>
      </c>
      <c r="D1792">
        <v>79.603118895999998</v>
      </c>
      <c r="E1792">
        <v>50</v>
      </c>
      <c r="F1792">
        <v>49.833747864000003</v>
      </c>
      <c r="G1792">
        <v>1347.2935791</v>
      </c>
      <c r="H1792">
        <v>1342.5887451000001</v>
      </c>
      <c r="I1792">
        <v>1321.6437988</v>
      </c>
      <c r="J1792">
        <v>1317.3732910000001</v>
      </c>
      <c r="K1792">
        <v>2750</v>
      </c>
      <c r="L1792">
        <v>0</v>
      </c>
      <c r="M1792">
        <v>0</v>
      </c>
      <c r="N1792">
        <v>2750</v>
      </c>
    </row>
    <row r="1793" spans="1:14" x14ac:dyDescent="0.25">
      <c r="A1793">
        <v>1097.7375549999999</v>
      </c>
      <c r="B1793" s="1">
        <f>DATE(2013,5,2) + TIME(17,42,4)</f>
        <v>41396.737546296295</v>
      </c>
      <c r="C1793">
        <v>80</v>
      </c>
      <c r="D1793">
        <v>79.660682678000001</v>
      </c>
      <c r="E1793">
        <v>50</v>
      </c>
      <c r="F1793">
        <v>49.827846526999998</v>
      </c>
      <c r="G1793">
        <v>1347.2949219</v>
      </c>
      <c r="H1793">
        <v>1342.5908202999999</v>
      </c>
      <c r="I1793">
        <v>1321.6434326000001</v>
      </c>
      <c r="J1793">
        <v>1317.3725586</v>
      </c>
      <c r="K1793">
        <v>2750</v>
      </c>
      <c r="L1793">
        <v>0</v>
      </c>
      <c r="M1793">
        <v>0</v>
      </c>
      <c r="N1793">
        <v>2750</v>
      </c>
    </row>
    <row r="1794" spans="1:14" x14ac:dyDescent="0.25">
      <c r="A1794">
        <v>1097.8206560000001</v>
      </c>
      <c r="B1794" s="1">
        <f>DATE(2013,5,2) + TIME(19,41,44)</f>
        <v>41396.820648148147</v>
      </c>
      <c r="C1794">
        <v>80</v>
      </c>
      <c r="D1794">
        <v>79.709877014</v>
      </c>
      <c r="E1794">
        <v>50</v>
      </c>
      <c r="F1794">
        <v>49.821891784999998</v>
      </c>
      <c r="G1794">
        <v>1347.2962646000001</v>
      </c>
      <c r="H1794">
        <v>1342.5926514</v>
      </c>
      <c r="I1794">
        <v>1321.6429443</v>
      </c>
      <c r="J1794">
        <v>1317.3719481999999</v>
      </c>
      <c r="K1794">
        <v>2750</v>
      </c>
      <c r="L1794">
        <v>0</v>
      </c>
      <c r="M1794">
        <v>0</v>
      </c>
      <c r="N1794">
        <v>2750</v>
      </c>
    </row>
    <row r="1795" spans="1:14" x14ac:dyDescent="0.25">
      <c r="A1795">
        <v>1097.9046969999999</v>
      </c>
      <c r="B1795" s="1">
        <f>DATE(2013,5,2) + TIME(21,42,45)</f>
        <v>41396.904687499999</v>
      </c>
      <c r="C1795">
        <v>80</v>
      </c>
      <c r="D1795">
        <v>79.751701354999994</v>
      </c>
      <c r="E1795">
        <v>50</v>
      </c>
      <c r="F1795">
        <v>49.815898894999997</v>
      </c>
      <c r="G1795">
        <v>1347.296875</v>
      </c>
      <c r="H1795">
        <v>1342.5938721</v>
      </c>
      <c r="I1795">
        <v>1321.6424560999999</v>
      </c>
      <c r="J1795">
        <v>1317.3713379000001</v>
      </c>
      <c r="K1795">
        <v>2750</v>
      </c>
      <c r="L1795">
        <v>0</v>
      </c>
      <c r="M1795">
        <v>0</v>
      </c>
      <c r="N1795">
        <v>2750</v>
      </c>
    </row>
    <row r="1796" spans="1:14" x14ac:dyDescent="0.25">
      <c r="A1796">
        <v>1097.9898909999999</v>
      </c>
      <c r="B1796" s="1">
        <f>DATE(2013,5,2) + TIME(23,45,26)</f>
        <v>41396.989884259259</v>
      </c>
      <c r="C1796">
        <v>80</v>
      </c>
      <c r="D1796">
        <v>79.787254333000007</v>
      </c>
      <c r="E1796">
        <v>50</v>
      </c>
      <c r="F1796">
        <v>49.809864044000001</v>
      </c>
      <c r="G1796">
        <v>1347.2965088000001</v>
      </c>
      <c r="H1796">
        <v>1342.5943603999999</v>
      </c>
      <c r="I1796">
        <v>1321.6419678</v>
      </c>
      <c r="J1796">
        <v>1317.3706055</v>
      </c>
      <c r="K1796">
        <v>2750</v>
      </c>
      <c r="L1796">
        <v>0</v>
      </c>
      <c r="M1796">
        <v>0</v>
      </c>
      <c r="N1796">
        <v>2750</v>
      </c>
    </row>
    <row r="1797" spans="1:14" x14ac:dyDescent="0.25">
      <c r="A1797">
        <v>1098.07647</v>
      </c>
      <c r="B1797" s="1">
        <f>DATE(2013,5,3) + TIME(1,50,7)</f>
        <v>41397.076469907406</v>
      </c>
      <c r="C1797">
        <v>80</v>
      </c>
      <c r="D1797">
        <v>79.817481994999994</v>
      </c>
      <c r="E1797">
        <v>50</v>
      </c>
      <c r="F1797">
        <v>49.803764342999997</v>
      </c>
      <c r="G1797">
        <v>1347.2951660000001</v>
      </c>
      <c r="H1797">
        <v>1342.5942382999999</v>
      </c>
      <c r="I1797">
        <v>1321.6413574000001</v>
      </c>
      <c r="J1797">
        <v>1317.3698730000001</v>
      </c>
      <c r="K1797">
        <v>2750</v>
      </c>
      <c r="L1797">
        <v>0</v>
      </c>
      <c r="M1797">
        <v>0</v>
      </c>
      <c r="N1797">
        <v>2750</v>
      </c>
    </row>
    <row r="1798" spans="1:14" x14ac:dyDescent="0.25">
      <c r="A1798">
        <v>1098.164608</v>
      </c>
      <c r="B1798" s="1">
        <f>DATE(2013,5,3) + TIME(3,57,2)</f>
        <v>41397.164606481485</v>
      </c>
      <c r="C1798">
        <v>80</v>
      </c>
      <c r="D1798">
        <v>79.843147278000004</v>
      </c>
      <c r="E1798">
        <v>50</v>
      </c>
      <c r="F1798">
        <v>49.797588347999998</v>
      </c>
      <c r="G1798">
        <v>1347.2930908000001</v>
      </c>
      <c r="H1798">
        <v>1342.5935059000001</v>
      </c>
      <c r="I1798">
        <v>1321.6408690999999</v>
      </c>
      <c r="J1798">
        <v>1317.3692627</v>
      </c>
      <c r="K1798">
        <v>2750</v>
      </c>
      <c r="L1798">
        <v>0</v>
      </c>
      <c r="M1798">
        <v>0</v>
      </c>
      <c r="N1798">
        <v>2750</v>
      </c>
    </row>
    <row r="1799" spans="1:14" x14ac:dyDescent="0.25">
      <c r="A1799">
        <v>1098.2545150000001</v>
      </c>
      <c r="B1799" s="1">
        <f>DATE(2013,5,3) + TIME(6,6,30)</f>
        <v>41397.254513888889</v>
      </c>
      <c r="C1799">
        <v>80</v>
      </c>
      <c r="D1799">
        <v>79.864921570000007</v>
      </c>
      <c r="E1799">
        <v>50</v>
      </c>
      <c r="F1799">
        <v>49.791324615000001</v>
      </c>
      <c r="G1799">
        <v>1347.2902832</v>
      </c>
      <c r="H1799">
        <v>1342.5921631000001</v>
      </c>
      <c r="I1799">
        <v>1321.6403809000001</v>
      </c>
      <c r="J1799">
        <v>1317.3685303</v>
      </c>
      <c r="K1799">
        <v>2750</v>
      </c>
      <c r="L1799">
        <v>0</v>
      </c>
      <c r="M1799">
        <v>0</v>
      </c>
      <c r="N1799">
        <v>2750</v>
      </c>
    </row>
    <row r="1800" spans="1:14" x14ac:dyDescent="0.25">
      <c r="A1800">
        <v>1098.346417</v>
      </c>
      <c r="B1800" s="1">
        <f>DATE(2013,5,3) + TIME(8,18,50)</f>
        <v>41397.346412037034</v>
      </c>
      <c r="C1800">
        <v>80</v>
      </c>
      <c r="D1800">
        <v>79.883354186999995</v>
      </c>
      <c r="E1800">
        <v>50</v>
      </c>
      <c r="F1800">
        <v>49.784961699999997</v>
      </c>
      <c r="G1800">
        <v>1347.2866211</v>
      </c>
      <c r="H1800">
        <v>1342.5902100000001</v>
      </c>
      <c r="I1800">
        <v>1321.6398925999999</v>
      </c>
      <c r="J1800">
        <v>1317.3677978999999</v>
      </c>
      <c r="K1800">
        <v>2750</v>
      </c>
      <c r="L1800">
        <v>0</v>
      </c>
      <c r="M1800">
        <v>0</v>
      </c>
      <c r="N1800">
        <v>2750</v>
      </c>
    </row>
    <row r="1801" spans="1:14" x14ac:dyDescent="0.25">
      <c r="A1801">
        <v>1098.440036</v>
      </c>
      <c r="B1801" s="1">
        <f>DATE(2013,5,3) + TIME(10,33,39)</f>
        <v>41397.440034722225</v>
      </c>
      <c r="C1801">
        <v>80</v>
      </c>
      <c r="D1801">
        <v>79.898872374999996</v>
      </c>
      <c r="E1801">
        <v>50</v>
      </c>
      <c r="F1801">
        <v>49.778514862000002</v>
      </c>
      <c r="G1801">
        <v>1347.2823486</v>
      </c>
      <c r="H1801">
        <v>1342.5878906</v>
      </c>
      <c r="I1801">
        <v>1321.6392822</v>
      </c>
      <c r="J1801">
        <v>1317.3670654</v>
      </c>
      <c r="K1801">
        <v>2750</v>
      </c>
      <c r="L1801">
        <v>0</v>
      </c>
      <c r="M1801">
        <v>0</v>
      </c>
      <c r="N1801">
        <v>2750</v>
      </c>
    </row>
    <row r="1802" spans="1:14" x14ac:dyDescent="0.25">
      <c r="A1802">
        <v>1098.5350249999999</v>
      </c>
      <c r="B1802" s="1">
        <f>DATE(2013,5,3) + TIME(12,50,26)</f>
        <v>41397.53502314815</v>
      </c>
      <c r="C1802">
        <v>80</v>
      </c>
      <c r="D1802">
        <v>79.911849975999999</v>
      </c>
      <c r="E1802">
        <v>50</v>
      </c>
      <c r="F1802">
        <v>49.772006988999998</v>
      </c>
      <c r="G1802">
        <v>1347.2773437999999</v>
      </c>
      <c r="H1802">
        <v>1342.5850829999999</v>
      </c>
      <c r="I1802">
        <v>1321.6387939000001</v>
      </c>
      <c r="J1802">
        <v>1317.3663329999999</v>
      </c>
      <c r="K1802">
        <v>2750</v>
      </c>
      <c r="L1802">
        <v>0</v>
      </c>
      <c r="M1802">
        <v>0</v>
      </c>
      <c r="N1802">
        <v>2750</v>
      </c>
    </row>
    <row r="1803" spans="1:14" x14ac:dyDescent="0.25">
      <c r="A1803">
        <v>1098.631568</v>
      </c>
      <c r="B1803" s="1">
        <f>DATE(2013,5,3) + TIME(15,9,27)</f>
        <v>41397.631562499999</v>
      </c>
      <c r="C1803">
        <v>80</v>
      </c>
      <c r="D1803">
        <v>79.922691345000004</v>
      </c>
      <c r="E1803">
        <v>50</v>
      </c>
      <c r="F1803">
        <v>49.765422821000001</v>
      </c>
      <c r="G1803">
        <v>1347.2717285000001</v>
      </c>
      <c r="H1803">
        <v>1342.5817870999999</v>
      </c>
      <c r="I1803">
        <v>1321.6381836</v>
      </c>
      <c r="J1803">
        <v>1317.3656006000001</v>
      </c>
      <c r="K1803">
        <v>2750</v>
      </c>
      <c r="L1803">
        <v>0</v>
      </c>
      <c r="M1803">
        <v>0</v>
      </c>
      <c r="N1803">
        <v>2750</v>
      </c>
    </row>
    <row r="1804" spans="1:14" x14ac:dyDescent="0.25">
      <c r="A1804">
        <v>1098.729836</v>
      </c>
      <c r="B1804" s="1">
        <f>DATE(2013,5,3) + TIME(17,30,57)</f>
        <v>41397.729826388888</v>
      </c>
      <c r="C1804">
        <v>80</v>
      </c>
      <c r="D1804">
        <v>79.931747436999999</v>
      </c>
      <c r="E1804">
        <v>50</v>
      </c>
      <c r="F1804">
        <v>49.758758544999999</v>
      </c>
      <c r="G1804">
        <v>1347.265625</v>
      </c>
      <c r="H1804">
        <v>1342.5782471</v>
      </c>
      <c r="I1804">
        <v>1321.6375731999999</v>
      </c>
      <c r="J1804">
        <v>1317.3648682</v>
      </c>
      <c r="K1804">
        <v>2750</v>
      </c>
      <c r="L1804">
        <v>0</v>
      </c>
      <c r="M1804">
        <v>0</v>
      </c>
      <c r="N1804">
        <v>2750</v>
      </c>
    </row>
    <row r="1805" spans="1:14" x14ac:dyDescent="0.25">
      <c r="A1805">
        <v>1098.8300240000001</v>
      </c>
      <c r="B1805" s="1">
        <f>DATE(2013,5,3) + TIME(19,55,14)</f>
        <v>41397.830023148148</v>
      </c>
      <c r="C1805">
        <v>80</v>
      </c>
      <c r="D1805">
        <v>79.939292907999999</v>
      </c>
      <c r="E1805">
        <v>50</v>
      </c>
      <c r="F1805">
        <v>49.751995086999997</v>
      </c>
      <c r="G1805">
        <v>1347.2589111</v>
      </c>
      <c r="H1805">
        <v>1342.5742187999999</v>
      </c>
      <c r="I1805">
        <v>1321.6370850000001</v>
      </c>
      <c r="J1805">
        <v>1317.3641356999999</v>
      </c>
      <c r="K1805">
        <v>2750</v>
      </c>
      <c r="L1805">
        <v>0</v>
      </c>
      <c r="M1805">
        <v>0</v>
      </c>
      <c r="N1805">
        <v>2750</v>
      </c>
    </row>
    <row r="1806" spans="1:14" x14ac:dyDescent="0.25">
      <c r="A1806">
        <v>1098.932348</v>
      </c>
      <c r="B1806" s="1">
        <f>DATE(2013,5,3) + TIME(22,22,34)</f>
        <v>41397.932337962964</v>
      </c>
      <c r="C1806">
        <v>80</v>
      </c>
      <c r="D1806">
        <v>79.945571899000001</v>
      </c>
      <c r="E1806">
        <v>50</v>
      </c>
      <c r="F1806">
        <v>49.745124816999997</v>
      </c>
      <c r="G1806">
        <v>1347.2515868999999</v>
      </c>
      <c r="H1806">
        <v>1342.5699463000001</v>
      </c>
      <c r="I1806">
        <v>1321.6364745999999</v>
      </c>
      <c r="J1806">
        <v>1317.3634033000001</v>
      </c>
      <c r="K1806">
        <v>2750</v>
      </c>
      <c r="L1806">
        <v>0</v>
      </c>
      <c r="M1806">
        <v>0</v>
      </c>
      <c r="N1806">
        <v>2750</v>
      </c>
    </row>
    <row r="1807" spans="1:14" x14ac:dyDescent="0.25">
      <c r="A1807">
        <v>1099.0369860000001</v>
      </c>
      <c r="B1807" s="1">
        <f>DATE(2013,5,4) + TIME(0,53,15)</f>
        <v>41398.036979166667</v>
      </c>
      <c r="C1807">
        <v>80</v>
      </c>
      <c r="D1807">
        <v>79.950782775999997</v>
      </c>
      <c r="E1807">
        <v>50</v>
      </c>
      <c r="F1807">
        <v>49.738136292</v>
      </c>
      <c r="G1807">
        <v>1347.2437743999999</v>
      </c>
      <c r="H1807">
        <v>1342.5651855000001</v>
      </c>
      <c r="I1807">
        <v>1321.6358643000001</v>
      </c>
      <c r="J1807">
        <v>1317.3625488</v>
      </c>
      <c r="K1807">
        <v>2750</v>
      </c>
      <c r="L1807">
        <v>0</v>
      </c>
      <c r="M1807">
        <v>0</v>
      </c>
      <c r="N1807">
        <v>2750</v>
      </c>
    </row>
    <row r="1808" spans="1:14" x14ac:dyDescent="0.25">
      <c r="A1808">
        <v>1099.144223</v>
      </c>
      <c r="B1808" s="1">
        <f>DATE(2013,5,4) + TIME(3,27,40)</f>
        <v>41398.144212962965</v>
      </c>
      <c r="C1808">
        <v>80</v>
      </c>
      <c r="D1808">
        <v>79.955108643000003</v>
      </c>
      <c r="E1808">
        <v>50</v>
      </c>
      <c r="F1808">
        <v>49.731014252000001</v>
      </c>
      <c r="G1808">
        <v>1347.2355957</v>
      </c>
      <c r="H1808">
        <v>1342.5603027</v>
      </c>
      <c r="I1808">
        <v>1321.6352539</v>
      </c>
      <c r="J1808">
        <v>1317.3616943</v>
      </c>
      <c r="K1808">
        <v>2750</v>
      </c>
      <c r="L1808">
        <v>0</v>
      </c>
      <c r="M1808">
        <v>0</v>
      </c>
      <c r="N1808">
        <v>2750</v>
      </c>
    </row>
    <row r="1809" spans="1:14" x14ac:dyDescent="0.25">
      <c r="A1809">
        <v>1099.254312</v>
      </c>
      <c r="B1809" s="1">
        <f>DATE(2013,5,4) + TIME(6,6,12)</f>
        <v>41398.254305555558</v>
      </c>
      <c r="C1809">
        <v>80</v>
      </c>
      <c r="D1809">
        <v>79.958679199000002</v>
      </c>
      <c r="E1809">
        <v>50</v>
      </c>
      <c r="F1809">
        <v>49.723743439000003</v>
      </c>
      <c r="G1809">
        <v>1347.2268065999999</v>
      </c>
      <c r="H1809">
        <v>1342.5549315999999</v>
      </c>
      <c r="I1809">
        <v>1321.6345214999999</v>
      </c>
      <c r="J1809">
        <v>1317.3609618999999</v>
      </c>
      <c r="K1809">
        <v>2750</v>
      </c>
      <c r="L1809">
        <v>0</v>
      </c>
      <c r="M1809">
        <v>0</v>
      </c>
      <c r="N1809">
        <v>2750</v>
      </c>
    </row>
    <row r="1810" spans="1:14" x14ac:dyDescent="0.25">
      <c r="A1810">
        <v>1099.367534</v>
      </c>
      <c r="B1810" s="1">
        <f>DATE(2013,5,4) + TIME(8,49,14)</f>
        <v>41398.367523148147</v>
      </c>
      <c r="C1810">
        <v>80</v>
      </c>
      <c r="D1810">
        <v>79.961631775000001</v>
      </c>
      <c r="E1810">
        <v>50</v>
      </c>
      <c r="F1810">
        <v>49.716308593999997</v>
      </c>
      <c r="G1810">
        <v>1347.2176514</v>
      </c>
      <c r="H1810">
        <v>1342.5494385</v>
      </c>
      <c r="I1810">
        <v>1321.6339111</v>
      </c>
      <c r="J1810">
        <v>1317.3601074000001</v>
      </c>
      <c r="K1810">
        <v>2750</v>
      </c>
      <c r="L1810">
        <v>0</v>
      </c>
      <c r="M1810">
        <v>0</v>
      </c>
      <c r="N1810">
        <v>2750</v>
      </c>
    </row>
    <row r="1811" spans="1:14" x14ac:dyDescent="0.25">
      <c r="A1811">
        <v>1099.484197</v>
      </c>
      <c r="B1811" s="1">
        <f>DATE(2013,5,4) + TIME(11,37,14)</f>
        <v>41398.484189814815</v>
      </c>
      <c r="C1811">
        <v>80</v>
      </c>
      <c r="D1811">
        <v>79.964057921999995</v>
      </c>
      <c r="E1811">
        <v>50</v>
      </c>
      <c r="F1811">
        <v>49.708694457999997</v>
      </c>
      <c r="G1811">
        <v>1347.2080077999999</v>
      </c>
      <c r="H1811">
        <v>1342.5435791</v>
      </c>
      <c r="I1811">
        <v>1321.6331786999999</v>
      </c>
      <c r="J1811">
        <v>1317.3592529</v>
      </c>
      <c r="K1811">
        <v>2750</v>
      </c>
      <c r="L1811">
        <v>0</v>
      </c>
      <c r="M1811">
        <v>0</v>
      </c>
      <c r="N1811">
        <v>2750</v>
      </c>
    </row>
    <row r="1812" spans="1:14" x14ac:dyDescent="0.25">
      <c r="A1812">
        <v>1099.6046449999999</v>
      </c>
      <c r="B1812" s="1">
        <f>DATE(2013,5,4) + TIME(14,30,41)</f>
        <v>41398.604641203703</v>
      </c>
      <c r="C1812">
        <v>80</v>
      </c>
      <c r="D1812">
        <v>79.966049193999993</v>
      </c>
      <c r="E1812">
        <v>50</v>
      </c>
      <c r="F1812">
        <v>49.700878142999997</v>
      </c>
      <c r="G1812">
        <v>1347.197876</v>
      </c>
      <c r="H1812">
        <v>1342.5374756000001</v>
      </c>
      <c r="I1812">
        <v>1321.6325684000001</v>
      </c>
      <c r="J1812">
        <v>1317.3582764</v>
      </c>
      <c r="K1812">
        <v>2750</v>
      </c>
      <c r="L1812">
        <v>0</v>
      </c>
      <c r="M1812">
        <v>0</v>
      </c>
      <c r="N1812">
        <v>2750</v>
      </c>
    </row>
    <row r="1813" spans="1:14" x14ac:dyDescent="0.25">
      <c r="A1813">
        <v>1099.7288570000001</v>
      </c>
      <c r="B1813" s="1">
        <f>DATE(2013,5,4) + TIME(17,29,33)</f>
        <v>41398.728854166664</v>
      </c>
      <c r="C1813">
        <v>80</v>
      </c>
      <c r="D1813">
        <v>79.967666625999996</v>
      </c>
      <c r="E1813">
        <v>50</v>
      </c>
      <c r="F1813">
        <v>49.692863463999998</v>
      </c>
      <c r="G1813">
        <v>1347.1872559000001</v>
      </c>
      <c r="H1813">
        <v>1342.5311279</v>
      </c>
      <c r="I1813">
        <v>1321.6318358999999</v>
      </c>
      <c r="J1813">
        <v>1317.3574219</v>
      </c>
      <c r="K1813">
        <v>2750</v>
      </c>
      <c r="L1813">
        <v>0</v>
      </c>
      <c r="M1813">
        <v>0</v>
      </c>
      <c r="N1813">
        <v>2750</v>
      </c>
    </row>
    <row r="1814" spans="1:14" x14ac:dyDescent="0.25">
      <c r="A1814">
        <v>1099.8559760000001</v>
      </c>
      <c r="B1814" s="1">
        <f>DATE(2013,5,4) + TIME(20,32,36)</f>
        <v>41398.85597222222</v>
      </c>
      <c r="C1814">
        <v>80</v>
      </c>
      <c r="D1814">
        <v>79.968978882000002</v>
      </c>
      <c r="E1814">
        <v>50</v>
      </c>
      <c r="F1814">
        <v>49.684696197999997</v>
      </c>
      <c r="G1814">
        <v>1347.1762695</v>
      </c>
      <c r="H1814">
        <v>1342.5245361</v>
      </c>
      <c r="I1814">
        <v>1321.6311035000001</v>
      </c>
      <c r="J1814">
        <v>1317.3564452999999</v>
      </c>
      <c r="K1814">
        <v>2750</v>
      </c>
      <c r="L1814">
        <v>0</v>
      </c>
      <c r="M1814">
        <v>0</v>
      </c>
      <c r="N1814">
        <v>2750</v>
      </c>
    </row>
    <row r="1815" spans="1:14" x14ac:dyDescent="0.25">
      <c r="A1815">
        <v>1099.9862330000001</v>
      </c>
      <c r="B1815" s="1">
        <f>DATE(2013,5,4) + TIME(23,40,10)</f>
        <v>41398.986226851855</v>
      </c>
      <c r="C1815">
        <v>80</v>
      </c>
      <c r="D1815">
        <v>79.970031738000003</v>
      </c>
      <c r="E1815">
        <v>50</v>
      </c>
      <c r="F1815">
        <v>49.676368713000002</v>
      </c>
      <c r="G1815">
        <v>1347.1649170000001</v>
      </c>
      <c r="H1815">
        <v>1342.5177002</v>
      </c>
      <c r="I1815">
        <v>1321.630249</v>
      </c>
      <c r="J1815">
        <v>1317.3554687999999</v>
      </c>
      <c r="K1815">
        <v>2750</v>
      </c>
      <c r="L1815">
        <v>0</v>
      </c>
      <c r="M1815">
        <v>0</v>
      </c>
      <c r="N1815">
        <v>2750</v>
      </c>
    </row>
    <row r="1816" spans="1:14" x14ac:dyDescent="0.25">
      <c r="A1816">
        <v>1100.1198890000001</v>
      </c>
      <c r="B1816" s="1">
        <f>DATE(2013,5,5) + TIME(2,52,38)</f>
        <v>41399.119884259257</v>
      </c>
      <c r="C1816">
        <v>80</v>
      </c>
      <c r="D1816">
        <v>79.970878600999995</v>
      </c>
      <c r="E1816">
        <v>50</v>
      </c>
      <c r="F1816">
        <v>49.667865753000001</v>
      </c>
      <c r="G1816">
        <v>1347.1533202999999</v>
      </c>
      <c r="H1816">
        <v>1342.5107422000001</v>
      </c>
      <c r="I1816">
        <v>1321.6295166</v>
      </c>
      <c r="J1816">
        <v>1317.3543701000001</v>
      </c>
      <c r="K1816">
        <v>2750</v>
      </c>
      <c r="L1816">
        <v>0</v>
      </c>
      <c r="M1816">
        <v>0</v>
      </c>
      <c r="N1816">
        <v>2750</v>
      </c>
    </row>
    <row r="1817" spans="1:14" x14ac:dyDescent="0.25">
      <c r="A1817">
        <v>1100.2572319999999</v>
      </c>
      <c r="B1817" s="1">
        <f>DATE(2013,5,5) + TIME(6,10,24)</f>
        <v>41399.257222222222</v>
      </c>
      <c r="C1817">
        <v>80</v>
      </c>
      <c r="D1817">
        <v>79.971557617000002</v>
      </c>
      <c r="E1817">
        <v>50</v>
      </c>
      <c r="F1817">
        <v>49.659172058000003</v>
      </c>
      <c r="G1817">
        <v>1347.1414795000001</v>
      </c>
      <c r="H1817">
        <v>1342.5036620999999</v>
      </c>
      <c r="I1817">
        <v>1321.6286620999999</v>
      </c>
      <c r="J1817">
        <v>1317.3533935999999</v>
      </c>
      <c r="K1817">
        <v>2750</v>
      </c>
      <c r="L1817">
        <v>0</v>
      </c>
      <c r="M1817">
        <v>0</v>
      </c>
      <c r="N1817">
        <v>2750</v>
      </c>
    </row>
    <row r="1818" spans="1:14" x14ac:dyDescent="0.25">
      <c r="A1818">
        <v>1100.3986669999999</v>
      </c>
      <c r="B1818" s="1">
        <f>DATE(2013,5,5) + TIME(9,34,4)</f>
        <v>41399.398657407408</v>
      </c>
      <c r="C1818">
        <v>80</v>
      </c>
      <c r="D1818">
        <v>79.972099303999997</v>
      </c>
      <c r="E1818">
        <v>50</v>
      </c>
      <c r="F1818">
        <v>49.650264739999997</v>
      </c>
      <c r="G1818">
        <v>1347.1292725000001</v>
      </c>
      <c r="H1818">
        <v>1342.4963379000001</v>
      </c>
      <c r="I1818">
        <v>1321.6278076000001</v>
      </c>
      <c r="J1818">
        <v>1317.3522949000001</v>
      </c>
      <c r="K1818">
        <v>2750</v>
      </c>
      <c r="L1818">
        <v>0</v>
      </c>
      <c r="M1818">
        <v>0</v>
      </c>
      <c r="N1818">
        <v>2750</v>
      </c>
    </row>
    <row r="1819" spans="1:14" x14ac:dyDescent="0.25">
      <c r="A1819">
        <v>1100.5445990000001</v>
      </c>
      <c r="B1819" s="1">
        <f>DATE(2013,5,5) + TIME(13,4,13)</f>
        <v>41399.544594907406</v>
      </c>
      <c r="C1819">
        <v>80</v>
      </c>
      <c r="D1819">
        <v>79.972534179999997</v>
      </c>
      <c r="E1819">
        <v>50</v>
      </c>
      <c r="F1819">
        <v>49.641128539999997</v>
      </c>
      <c r="G1819">
        <v>1347.1166992000001</v>
      </c>
      <c r="H1819">
        <v>1342.4888916</v>
      </c>
      <c r="I1819">
        <v>1321.6269531</v>
      </c>
      <c r="J1819">
        <v>1317.3511963000001</v>
      </c>
      <c r="K1819">
        <v>2750</v>
      </c>
      <c r="L1819">
        <v>0</v>
      </c>
      <c r="M1819">
        <v>0</v>
      </c>
      <c r="N1819">
        <v>2750</v>
      </c>
    </row>
    <row r="1820" spans="1:14" x14ac:dyDescent="0.25">
      <c r="A1820">
        <v>1100.695451</v>
      </c>
      <c r="B1820" s="1">
        <f>DATE(2013,5,5) + TIME(16,41,26)</f>
        <v>41399.695439814815</v>
      </c>
      <c r="C1820">
        <v>80</v>
      </c>
      <c r="D1820">
        <v>79.972885132000002</v>
      </c>
      <c r="E1820">
        <v>50</v>
      </c>
      <c r="F1820">
        <v>49.631736754999999</v>
      </c>
      <c r="G1820">
        <v>1347.1038818</v>
      </c>
      <c r="H1820">
        <v>1342.4813231999999</v>
      </c>
      <c r="I1820">
        <v>1321.6260986</v>
      </c>
      <c r="J1820">
        <v>1317.3500977000001</v>
      </c>
      <c r="K1820">
        <v>2750</v>
      </c>
      <c r="L1820">
        <v>0</v>
      </c>
      <c r="M1820">
        <v>0</v>
      </c>
      <c r="N1820">
        <v>2750</v>
      </c>
    </row>
    <row r="1821" spans="1:14" x14ac:dyDescent="0.25">
      <c r="A1821">
        <v>1100.8516950000001</v>
      </c>
      <c r="B1821" s="1">
        <f>DATE(2013,5,5) + TIME(20,26,26)</f>
        <v>41399.851689814815</v>
      </c>
      <c r="C1821">
        <v>80</v>
      </c>
      <c r="D1821">
        <v>79.973159789999997</v>
      </c>
      <c r="E1821">
        <v>50</v>
      </c>
      <c r="F1821">
        <v>49.622070311999998</v>
      </c>
      <c r="G1821">
        <v>1347.0906981999999</v>
      </c>
      <c r="H1821">
        <v>1342.4735106999999</v>
      </c>
      <c r="I1821">
        <v>1321.6251221</v>
      </c>
      <c r="J1821">
        <v>1317.3488769999999</v>
      </c>
      <c r="K1821">
        <v>2750</v>
      </c>
      <c r="L1821">
        <v>0</v>
      </c>
      <c r="M1821">
        <v>0</v>
      </c>
      <c r="N1821">
        <v>2750</v>
      </c>
    </row>
    <row r="1822" spans="1:14" x14ac:dyDescent="0.25">
      <c r="A1822">
        <v>1101.013864</v>
      </c>
      <c r="B1822" s="1">
        <f>DATE(2013,5,6) + TIME(0,19,57)</f>
        <v>41400.013854166667</v>
      </c>
      <c r="C1822">
        <v>80</v>
      </c>
      <c r="D1822">
        <v>79.973373413000004</v>
      </c>
      <c r="E1822">
        <v>50</v>
      </c>
      <c r="F1822">
        <v>49.612098693999997</v>
      </c>
      <c r="G1822">
        <v>1347.0771483999999</v>
      </c>
      <c r="H1822">
        <v>1342.4654541</v>
      </c>
      <c r="I1822">
        <v>1321.6242675999999</v>
      </c>
      <c r="J1822">
        <v>1317.3476562000001</v>
      </c>
      <c r="K1822">
        <v>2750</v>
      </c>
      <c r="L1822">
        <v>0</v>
      </c>
      <c r="M1822">
        <v>0</v>
      </c>
      <c r="N1822">
        <v>2750</v>
      </c>
    </row>
    <row r="1823" spans="1:14" x14ac:dyDescent="0.25">
      <c r="A1823">
        <v>1101.18253</v>
      </c>
      <c r="B1823" s="1">
        <f>DATE(2013,5,6) + TIME(4,22,50)</f>
        <v>41400.182523148149</v>
      </c>
      <c r="C1823">
        <v>80</v>
      </c>
      <c r="D1823">
        <v>79.973548889</v>
      </c>
      <c r="E1823">
        <v>50</v>
      </c>
      <c r="F1823">
        <v>49.601791382000002</v>
      </c>
      <c r="G1823">
        <v>1347.0632324000001</v>
      </c>
      <c r="H1823">
        <v>1342.4573975000001</v>
      </c>
      <c r="I1823">
        <v>1321.6231689000001</v>
      </c>
      <c r="J1823">
        <v>1317.3464355000001</v>
      </c>
      <c r="K1823">
        <v>2750</v>
      </c>
      <c r="L1823">
        <v>0</v>
      </c>
      <c r="M1823">
        <v>0</v>
      </c>
      <c r="N1823">
        <v>2750</v>
      </c>
    </row>
    <row r="1824" spans="1:14" x14ac:dyDescent="0.25">
      <c r="A1824">
        <v>1101.355808</v>
      </c>
      <c r="B1824" s="1">
        <f>DATE(2013,5,6) + TIME(8,32,21)</f>
        <v>41400.355798611112</v>
      </c>
      <c r="C1824">
        <v>80</v>
      </c>
      <c r="D1824">
        <v>79.973678589000002</v>
      </c>
      <c r="E1824">
        <v>50</v>
      </c>
      <c r="F1824">
        <v>49.591247559000003</v>
      </c>
      <c r="G1824">
        <v>1347.0489502</v>
      </c>
      <c r="H1824">
        <v>1342.4489745999999</v>
      </c>
      <c r="I1824">
        <v>1321.6221923999999</v>
      </c>
      <c r="J1824">
        <v>1317.3450928</v>
      </c>
      <c r="K1824">
        <v>2750</v>
      </c>
      <c r="L1824">
        <v>0</v>
      </c>
      <c r="M1824">
        <v>0</v>
      </c>
      <c r="N1824">
        <v>2750</v>
      </c>
    </row>
    <row r="1825" spans="1:14" x14ac:dyDescent="0.25">
      <c r="A1825">
        <v>1101.5341639999999</v>
      </c>
      <c r="B1825" s="1">
        <f>DATE(2013,5,6) + TIME(12,49,11)</f>
        <v>41400.534155092595</v>
      </c>
      <c r="C1825">
        <v>80</v>
      </c>
      <c r="D1825">
        <v>79.973777771000002</v>
      </c>
      <c r="E1825">
        <v>50</v>
      </c>
      <c r="F1825">
        <v>49.580444335999999</v>
      </c>
      <c r="G1825">
        <v>1347.0345459</v>
      </c>
      <c r="H1825">
        <v>1342.4405518000001</v>
      </c>
      <c r="I1825">
        <v>1321.6210937999999</v>
      </c>
      <c r="J1825">
        <v>1317.34375</v>
      </c>
      <c r="K1825">
        <v>2750</v>
      </c>
      <c r="L1825">
        <v>0</v>
      </c>
      <c r="M1825">
        <v>0</v>
      </c>
      <c r="N1825">
        <v>2750</v>
      </c>
    </row>
    <row r="1826" spans="1:14" x14ac:dyDescent="0.25">
      <c r="A1826">
        <v>1101.715328</v>
      </c>
      <c r="B1826" s="1">
        <f>DATE(2013,5,6) + TIME(17,10,4)</f>
        <v>41400.715324074074</v>
      </c>
      <c r="C1826">
        <v>80</v>
      </c>
      <c r="D1826">
        <v>79.973854064999998</v>
      </c>
      <c r="E1826">
        <v>50</v>
      </c>
      <c r="F1826">
        <v>49.569492339999996</v>
      </c>
      <c r="G1826">
        <v>1347.0198975000001</v>
      </c>
      <c r="H1826">
        <v>1342.4320068</v>
      </c>
      <c r="I1826">
        <v>1321.6199951000001</v>
      </c>
      <c r="J1826">
        <v>1317.3424072</v>
      </c>
      <c r="K1826">
        <v>2750</v>
      </c>
      <c r="L1826">
        <v>0</v>
      </c>
      <c r="M1826">
        <v>0</v>
      </c>
      <c r="N1826">
        <v>2750</v>
      </c>
    </row>
    <row r="1827" spans="1:14" x14ac:dyDescent="0.25">
      <c r="A1827">
        <v>1101.8976210000001</v>
      </c>
      <c r="B1827" s="1">
        <f>DATE(2013,5,6) + TIME(21,32,34)</f>
        <v>41400.897615740738</v>
      </c>
      <c r="C1827">
        <v>80</v>
      </c>
      <c r="D1827">
        <v>79.973907471000004</v>
      </c>
      <c r="E1827">
        <v>50</v>
      </c>
      <c r="F1827">
        <v>49.558483123999999</v>
      </c>
      <c r="G1827">
        <v>1347.005249</v>
      </c>
      <c r="H1827">
        <v>1342.4235839999999</v>
      </c>
      <c r="I1827">
        <v>1321.6188964999999</v>
      </c>
      <c r="J1827">
        <v>1317.3409423999999</v>
      </c>
      <c r="K1827">
        <v>2750</v>
      </c>
      <c r="L1827">
        <v>0</v>
      </c>
      <c r="M1827">
        <v>0</v>
      </c>
      <c r="N1827">
        <v>2750</v>
      </c>
    </row>
    <row r="1828" spans="1:14" x14ac:dyDescent="0.25">
      <c r="A1828">
        <v>1102.081439</v>
      </c>
      <c r="B1828" s="1">
        <f>DATE(2013,5,7) + TIME(1,57,16)</f>
        <v>41401.081435185188</v>
      </c>
      <c r="C1828">
        <v>80</v>
      </c>
      <c r="D1828">
        <v>79.973945618000002</v>
      </c>
      <c r="E1828">
        <v>50</v>
      </c>
      <c r="F1828">
        <v>49.547401428000001</v>
      </c>
      <c r="G1828">
        <v>1346.9908447</v>
      </c>
      <c r="H1828">
        <v>1342.4151611</v>
      </c>
      <c r="I1828">
        <v>1321.6176757999999</v>
      </c>
      <c r="J1828">
        <v>1317.3394774999999</v>
      </c>
      <c r="K1828">
        <v>2750</v>
      </c>
      <c r="L1828">
        <v>0</v>
      </c>
      <c r="M1828">
        <v>0</v>
      </c>
      <c r="N1828">
        <v>2750</v>
      </c>
    </row>
    <row r="1829" spans="1:14" x14ac:dyDescent="0.25">
      <c r="A1829">
        <v>1102.2671620000001</v>
      </c>
      <c r="B1829" s="1">
        <f>DATE(2013,5,7) + TIME(6,24,42)</f>
        <v>41401.267152777778</v>
      </c>
      <c r="C1829">
        <v>80</v>
      </c>
      <c r="D1829">
        <v>79.973968506000006</v>
      </c>
      <c r="E1829">
        <v>50</v>
      </c>
      <c r="F1829">
        <v>49.536235808999997</v>
      </c>
      <c r="G1829">
        <v>1346.9764404</v>
      </c>
      <c r="H1829">
        <v>1342.4068603999999</v>
      </c>
      <c r="I1829">
        <v>1321.6165771000001</v>
      </c>
      <c r="J1829">
        <v>1317.3380127</v>
      </c>
      <c r="K1829">
        <v>2750</v>
      </c>
      <c r="L1829">
        <v>0</v>
      </c>
      <c r="M1829">
        <v>0</v>
      </c>
      <c r="N1829">
        <v>2750</v>
      </c>
    </row>
    <row r="1830" spans="1:14" x14ac:dyDescent="0.25">
      <c r="A1830">
        <v>1102.455242</v>
      </c>
      <c r="B1830" s="1">
        <f>DATE(2013,5,7) + TIME(10,55,32)</f>
        <v>41401.455231481479</v>
      </c>
      <c r="C1830">
        <v>80</v>
      </c>
      <c r="D1830">
        <v>79.973983765</v>
      </c>
      <c r="E1830">
        <v>50</v>
      </c>
      <c r="F1830">
        <v>49.524967193999998</v>
      </c>
      <c r="G1830">
        <v>1346.9622803</v>
      </c>
      <c r="H1830">
        <v>1342.3986815999999</v>
      </c>
      <c r="I1830">
        <v>1321.6153564000001</v>
      </c>
      <c r="J1830">
        <v>1317.3365478999999</v>
      </c>
      <c r="K1830">
        <v>2750</v>
      </c>
      <c r="L1830">
        <v>0</v>
      </c>
      <c r="M1830">
        <v>0</v>
      </c>
      <c r="N1830">
        <v>2750</v>
      </c>
    </row>
    <row r="1831" spans="1:14" x14ac:dyDescent="0.25">
      <c r="A1831">
        <v>1102.646125</v>
      </c>
      <c r="B1831" s="1">
        <f>DATE(2013,5,7) + TIME(15,30,25)</f>
        <v>41401.646122685182</v>
      </c>
      <c r="C1831">
        <v>80</v>
      </c>
      <c r="D1831">
        <v>79.973991393999995</v>
      </c>
      <c r="E1831">
        <v>50</v>
      </c>
      <c r="F1831">
        <v>49.513580322000003</v>
      </c>
      <c r="G1831">
        <v>1346.9481201000001</v>
      </c>
      <c r="H1831">
        <v>1342.3905029</v>
      </c>
      <c r="I1831">
        <v>1321.6142577999999</v>
      </c>
      <c r="J1831">
        <v>1317.3350829999999</v>
      </c>
      <c r="K1831">
        <v>2750</v>
      </c>
      <c r="L1831">
        <v>0</v>
      </c>
      <c r="M1831">
        <v>0</v>
      </c>
      <c r="N1831">
        <v>2750</v>
      </c>
    </row>
    <row r="1832" spans="1:14" x14ac:dyDescent="0.25">
      <c r="A1832">
        <v>1102.8403760000001</v>
      </c>
      <c r="B1832" s="1">
        <f>DATE(2013,5,7) + TIME(20,10,8)</f>
        <v>41401.840370370373</v>
      </c>
      <c r="C1832">
        <v>80</v>
      </c>
      <c r="D1832">
        <v>79.973999023000005</v>
      </c>
      <c r="E1832">
        <v>50</v>
      </c>
      <c r="F1832">
        <v>49.502052307</v>
      </c>
      <c r="G1832">
        <v>1346.9339600000001</v>
      </c>
      <c r="H1832">
        <v>1342.3824463000001</v>
      </c>
      <c r="I1832">
        <v>1321.6130370999999</v>
      </c>
      <c r="J1832">
        <v>1317.3336182</v>
      </c>
      <c r="K1832">
        <v>2750</v>
      </c>
      <c r="L1832">
        <v>0</v>
      </c>
      <c r="M1832">
        <v>0</v>
      </c>
      <c r="N1832">
        <v>2750</v>
      </c>
    </row>
    <row r="1833" spans="1:14" x14ac:dyDescent="0.25">
      <c r="A1833">
        <v>1103.0384570000001</v>
      </c>
      <c r="B1833" s="1">
        <f>DATE(2013,5,8) + TIME(0,55,22)</f>
        <v>41402.038449074076</v>
      </c>
      <c r="C1833">
        <v>80</v>
      </c>
      <c r="D1833">
        <v>79.973991393999995</v>
      </c>
      <c r="E1833">
        <v>50</v>
      </c>
      <c r="F1833">
        <v>49.490356445000003</v>
      </c>
      <c r="G1833">
        <v>1346.9197998</v>
      </c>
      <c r="H1833">
        <v>1342.3743896000001</v>
      </c>
      <c r="I1833">
        <v>1321.6118164</v>
      </c>
      <c r="J1833">
        <v>1317.3320312000001</v>
      </c>
      <c r="K1833">
        <v>2750</v>
      </c>
      <c r="L1833">
        <v>0</v>
      </c>
      <c r="M1833">
        <v>0</v>
      </c>
      <c r="N1833">
        <v>2750</v>
      </c>
    </row>
    <row r="1834" spans="1:14" x14ac:dyDescent="0.25">
      <c r="A1834">
        <v>1103.2408640000001</v>
      </c>
      <c r="B1834" s="1">
        <f>DATE(2013,5,8) + TIME(5,46,50)</f>
        <v>41402.240856481483</v>
      </c>
      <c r="C1834">
        <v>80</v>
      </c>
      <c r="D1834">
        <v>79.973983765</v>
      </c>
      <c r="E1834">
        <v>50</v>
      </c>
      <c r="F1834">
        <v>49.478473663000003</v>
      </c>
      <c r="G1834">
        <v>1346.9056396000001</v>
      </c>
      <c r="H1834">
        <v>1342.3664550999999</v>
      </c>
      <c r="I1834">
        <v>1321.6104736</v>
      </c>
      <c r="J1834">
        <v>1317.3304443</v>
      </c>
      <c r="K1834">
        <v>2750</v>
      </c>
      <c r="L1834">
        <v>0</v>
      </c>
      <c r="M1834">
        <v>0</v>
      </c>
      <c r="N1834">
        <v>2750</v>
      </c>
    </row>
    <row r="1835" spans="1:14" x14ac:dyDescent="0.25">
      <c r="A1835">
        <v>1103.44813</v>
      </c>
      <c r="B1835" s="1">
        <f>DATE(2013,5,8) + TIME(10,45,18)</f>
        <v>41402.448125000003</v>
      </c>
      <c r="C1835">
        <v>80</v>
      </c>
      <c r="D1835">
        <v>79.973968506000006</v>
      </c>
      <c r="E1835">
        <v>50</v>
      </c>
      <c r="F1835">
        <v>49.466377258000001</v>
      </c>
      <c r="G1835">
        <v>1346.8914795000001</v>
      </c>
      <c r="H1835">
        <v>1342.3583983999999</v>
      </c>
      <c r="I1835">
        <v>1321.6092529</v>
      </c>
      <c r="J1835">
        <v>1317.3288574000001</v>
      </c>
      <c r="K1835">
        <v>2750</v>
      </c>
      <c r="L1835">
        <v>0</v>
      </c>
      <c r="M1835">
        <v>0</v>
      </c>
      <c r="N1835">
        <v>2750</v>
      </c>
    </row>
    <row r="1836" spans="1:14" x14ac:dyDescent="0.25">
      <c r="A1836">
        <v>1103.6608450000001</v>
      </c>
      <c r="B1836" s="1">
        <f>DATE(2013,5,8) + TIME(15,51,37)</f>
        <v>41402.660844907405</v>
      </c>
      <c r="C1836">
        <v>80</v>
      </c>
      <c r="D1836">
        <v>79.973953246999997</v>
      </c>
      <c r="E1836">
        <v>50</v>
      </c>
      <c r="F1836">
        <v>49.454040526999997</v>
      </c>
      <c r="G1836">
        <v>1346.8771973</v>
      </c>
      <c r="H1836">
        <v>1342.3503418</v>
      </c>
      <c r="I1836">
        <v>1321.6079102000001</v>
      </c>
      <c r="J1836">
        <v>1317.3271483999999</v>
      </c>
      <c r="K1836">
        <v>2750</v>
      </c>
      <c r="L1836">
        <v>0</v>
      </c>
      <c r="M1836">
        <v>0</v>
      </c>
      <c r="N1836">
        <v>2750</v>
      </c>
    </row>
    <row r="1837" spans="1:14" x14ac:dyDescent="0.25">
      <c r="A1837">
        <v>1103.878594</v>
      </c>
      <c r="B1837" s="1">
        <f>DATE(2013,5,8) + TIME(21,5,10)</f>
        <v>41402.878587962965</v>
      </c>
      <c r="C1837">
        <v>80</v>
      </c>
      <c r="D1837">
        <v>79.973937988000003</v>
      </c>
      <c r="E1837">
        <v>50</v>
      </c>
      <c r="F1837">
        <v>49.441478729000004</v>
      </c>
      <c r="G1837">
        <v>1346.8629149999999</v>
      </c>
      <c r="H1837">
        <v>1342.3422852000001</v>
      </c>
      <c r="I1837">
        <v>1321.6065673999999</v>
      </c>
      <c r="J1837">
        <v>1317.3254394999999</v>
      </c>
      <c r="K1837">
        <v>2750</v>
      </c>
      <c r="L1837">
        <v>0</v>
      </c>
      <c r="M1837">
        <v>0</v>
      </c>
      <c r="N1837">
        <v>2750</v>
      </c>
    </row>
    <row r="1838" spans="1:14" x14ac:dyDescent="0.25">
      <c r="A1838">
        <v>1104.098739</v>
      </c>
      <c r="B1838" s="1">
        <f>DATE(2013,5,9) + TIME(2,22,11)</f>
        <v>41403.098738425928</v>
      </c>
      <c r="C1838">
        <v>80</v>
      </c>
      <c r="D1838">
        <v>79.973915099999999</v>
      </c>
      <c r="E1838">
        <v>50</v>
      </c>
      <c r="F1838">
        <v>49.428810120000001</v>
      </c>
      <c r="G1838">
        <v>1346.8485106999999</v>
      </c>
      <c r="H1838">
        <v>1342.3341064000001</v>
      </c>
      <c r="I1838">
        <v>1321.6051024999999</v>
      </c>
      <c r="J1838">
        <v>1317.3237305</v>
      </c>
      <c r="K1838">
        <v>2750</v>
      </c>
      <c r="L1838">
        <v>0</v>
      </c>
      <c r="M1838">
        <v>0</v>
      </c>
      <c r="N1838">
        <v>2750</v>
      </c>
    </row>
    <row r="1839" spans="1:14" x14ac:dyDescent="0.25">
      <c r="A1839">
        <v>1104.321692</v>
      </c>
      <c r="B1839" s="1">
        <f>DATE(2013,5,9) + TIME(7,43,14)</f>
        <v>41403.321689814817</v>
      </c>
      <c r="C1839">
        <v>80</v>
      </c>
      <c r="D1839">
        <v>79.973892211999996</v>
      </c>
      <c r="E1839">
        <v>50</v>
      </c>
      <c r="F1839">
        <v>49.416027069000002</v>
      </c>
      <c r="G1839">
        <v>1346.8342285000001</v>
      </c>
      <c r="H1839">
        <v>1342.3261719</v>
      </c>
      <c r="I1839">
        <v>1321.6037598</v>
      </c>
      <c r="J1839">
        <v>1317.3218993999999</v>
      </c>
      <c r="K1839">
        <v>2750</v>
      </c>
      <c r="L1839">
        <v>0</v>
      </c>
      <c r="M1839">
        <v>0</v>
      </c>
      <c r="N1839">
        <v>2750</v>
      </c>
    </row>
    <row r="1840" spans="1:14" x14ac:dyDescent="0.25">
      <c r="A1840">
        <v>1104.5478780000001</v>
      </c>
      <c r="B1840" s="1">
        <f>DATE(2013,5,9) + TIME(13,8,56)</f>
        <v>41403.54787037037</v>
      </c>
      <c r="C1840">
        <v>80</v>
      </c>
      <c r="D1840">
        <v>79.973869324000006</v>
      </c>
      <c r="E1840">
        <v>50</v>
      </c>
      <c r="F1840">
        <v>49.403110503999997</v>
      </c>
      <c r="G1840">
        <v>1346.8200684000001</v>
      </c>
      <c r="H1840">
        <v>1342.3182373</v>
      </c>
      <c r="I1840">
        <v>1321.6022949000001</v>
      </c>
      <c r="J1840">
        <v>1317.3200684000001</v>
      </c>
      <c r="K1840">
        <v>2750</v>
      </c>
      <c r="L1840">
        <v>0</v>
      </c>
      <c r="M1840">
        <v>0</v>
      </c>
      <c r="N1840">
        <v>2750</v>
      </c>
    </row>
    <row r="1841" spans="1:14" x14ac:dyDescent="0.25">
      <c r="A1841">
        <v>1104.777752</v>
      </c>
      <c r="B1841" s="1">
        <f>DATE(2013,5,9) + TIME(18,39,57)</f>
        <v>41403.777743055558</v>
      </c>
      <c r="C1841">
        <v>80</v>
      </c>
      <c r="D1841">
        <v>79.973846436000002</v>
      </c>
      <c r="E1841">
        <v>50</v>
      </c>
      <c r="F1841">
        <v>49.390041351000001</v>
      </c>
      <c r="G1841">
        <v>1346.8059082</v>
      </c>
      <c r="H1841">
        <v>1342.3104248</v>
      </c>
      <c r="I1841">
        <v>1321.6008300999999</v>
      </c>
      <c r="J1841">
        <v>1317.3182373</v>
      </c>
      <c r="K1841">
        <v>2750</v>
      </c>
      <c r="L1841">
        <v>0</v>
      </c>
      <c r="M1841">
        <v>0</v>
      </c>
      <c r="N1841">
        <v>2750</v>
      </c>
    </row>
    <row r="1842" spans="1:14" x14ac:dyDescent="0.25">
      <c r="A1842">
        <v>1105.0116909999999</v>
      </c>
      <c r="B1842" s="1">
        <f>DATE(2013,5,10) + TIME(0,16,50)</f>
        <v>41404.011689814812</v>
      </c>
      <c r="C1842">
        <v>80</v>
      </c>
      <c r="D1842">
        <v>79.973815918</v>
      </c>
      <c r="E1842">
        <v>50</v>
      </c>
      <c r="F1842">
        <v>49.376811981000003</v>
      </c>
      <c r="G1842">
        <v>1346.7918701000001</v>
      </c>
      <c r="H1842">
        <v>1342.3026123</v>
      </c>
      <c r="I1842">
        <v>1321.5993652</v>
      </c>
      <c r="J1842">
        <v>1317.3164062000001</v>
      </c>
      <c r="K1842">
        <v>2750</v>
      </c>
      <c r="L1842">
        <v>0</v>
      </c>
      <c r="M1842">
        <v>0</v>
      </c>
      <c r="N1842">
        <v>2750</v>
      </c>
    </row>
    <row r="1843" spans="1:14" x14ac:dyDescent="0.25">
      <c r="A1843">
        <v>1105.250581</v>
      </c>
      <c r="B1843" s="1">
        <f>DATE(2013,5,10) + TIME(6,0,50)</f>
        <v>41404.250578703701</v>
      </c>
      <c r="C1843">
        <v>80</v>
      </c>
      <c r="D1843">
        <v>79.973793029999996</v>
      </c>
      <c r="E1843">
        <v>50</v>
      </c>
      <c r="F1843">
        <v>49.363380432</v>
      </c>
      <c r="G1843">
        <v>1346.777832</v>
      </c>
      <c r="H1843">
        <v>1342.2947998</v>
      </c>
      <c r="I1843">
        <v>1321.5977783000001</v>
      </c>
      <c r="J1843">
        <v>1317.3144531</v>
      </c>
      <c r="K1843">
        <v>2750</v>
      </c>
      <c r="L1843">
        <v>0</v>
      </c>
      <c r="M1843">
        <v>0</v>
      </c>
      <c r="N1843">
        <v>2750</v>
      </c>
    </row>
    <row r="1844" spans="1:14" x14ac:dyDescent="0.25">
      <c r="A1844">
        <v>1105.4950080000001</v>
      </c>
      <c r="B1844" s="1">
        <f>DATE(2013,5,10) + TIME(11,52,48)</f>
        <v>41404.495000000003</v>
      </c>
      <c r="C1844">
        <v>80</v>
      </c>
      <c r="D1844">
        <v>79.973762511999993</v>
      </c>
      <c r="E1844">
        <v>50</v>
      </c>
      <c r="F1844">
        <v>49.349723816000001</v>
      </c>
      <c r="G1844">
        <v>1346.7637939000001</v>
      </c>
      <c r="H1844">
        <v>1342.2871094</v>
      </c>
      <c r="I1844">
        <v>1321.5961914</v>
      </c>
      <c r="J1844">
        <v>1317.3125</v>
      </c>
      <c r="K1844">
        <v>2750</v>
      </c>
      <c r="L1844">
        <v>0</v>
      </c>
      <c r="M1844">
        <v>0</v>
      </c>
      <c r="N1844">
        <v>2750</v>
      </c>
    </row>
    <row r="1845" spans="1:14" x14ac:dyDescent="0.25">
      <c r="A1845">
        <v>1105.7456030000001</v>
      </c>
      <c r="B1845" s="1">
        <f>DATE(2013,5,10) + TIME(17,53,40)</f>
        <v>41404.74560185185</v>
      </c>
      <c r="C1845">
        <v>80</v>
      </c>
      <c r="D1845">
        <v>79.973731994999994</v>
      </c>
      <c r="E1845">
        <v>50</v>
      </c>
      <c r="F1845">
        <v>49.335811614999997</v>
      </c>
      <c r="G1845">
        <v>1346.7497559000001</v>
      </c>
      <c r="H1845">
        <v>1342.2792969</v>
      </c>
      <c r="I1845">
        <v>1321.5946045000001</v>
      </c>
      <c r="J1845">
        <v>1317.3104248</v>
      </c>
      <c r="K1845">
        <v>2750</v>
      </c>
      <c r="L1845">
        <v>0</v>
      </c>
      <c r="M1845">
        <v>0</v>
      </c>
      <c r="N1845">
        <v>2750</v>
      </c>
    </row>
    <row r="1846" spans="1:14" x14ac:dyDescent="0.25">
      <c r="A1846">
        <v>1106.003056</v>
      </c>
      <c r="B1846" s="1">
        <f>DATE(2013,5,11) + TIME(0,4,24)</f>
        <v>41405.003055555557</v>
      </c>
      <c r="C1846">
        <v>80</v>
      </c>
      <c r="D1846">
        <v>79.973701477000006</v>
      </c>
      <c r="E1846">
        <v>50</v>
      </c>
      <c r="F1846">
        <v>49.321613311999997</v>
      </c>
      <c r="G1846">
        <v>1346.7355957</v>
      </c>
      <c r="H1846">
        <v>1342.2716064000001</v>
      </c>
      <c r="I1846">
        <v>1321.5930175999999</v>
      </c>
      <c r="J1846">
        <v>1317.3083495999999</v>
      </c>
      <c r="K1846">
        <v>2750</v>
      </c>
      <c r="L1846">
        <v>0</v>
      </c>
      <c r="M1846">
        <v>0</v>
      </c>
      <c r="N1846">
        <v>2750</v>
      </c>
    </row>
    <row r="1847" spans="1:14" x14ac:dyDescent="0.25">
      <c r="A1847">
        <v>1106.2681359999999</v>
      </c>
      <c r="B1847" s="1">
        <f>DATE(2013,5,11) + TIME(6,26,6)</f>
        <v>41405.268125000002</v>
      </c>
      <c r="C1847">
        <v>80</v>
      </c>
      <c r="D1847">
        <v>79.973670959000003</v>
      </c>
      <c r="E1847">
        <v>50</v>
      </c>
      <c r="F1847">
        <v>49.307094573999997</v>
      </c>
      <c r="G1847">
        <v>1346.7213135</v>
      </c>
      <c r="H1847">
        <v>1342.2637939000001</v>
      </c>
      <c r="I1847">
        <v>1321.5913086</v>
      </c>
      <c r="J1847">
        <v>1317.3061522999999</v>
      </c>
      <c r="K1847">
        <v>2750</v>
      </c>
      <c r="L1847">
        <v>0</v>
      </c>
      <c r="M1847">
        <v>0</v>
      </c>
      <c r="N1847">
        <v>2750</v>
      </c>
    </row>
    <row r="1848" spans="1:14" x14ac:dyDescent="0.25">
      <c r="A1848">
        <v>1106.5417010000001</v>
      </c>
      <c r="B1848" s="1">
        <f>DATE(2013,5,11) + TIME(13,0,2)</f>
        <v>41405.541689814818</v>
      </c>
      <c r="C1848">
        <v>80</v>
      </c>
      <c r="D1848">
        <v>79.973632812000005</v>
      </c>
      <c r="E1848">
        <v>50</v>
      </c>
      <c r="F1848">
        <v>49.292217254999997</v>
      </c>
      <c r="G1848">
        <v>1346.7069091999999</v>
      </c>
      <c r="H1848">
        <v>1342.2558594</v>
      </c>
      <c r="I1848">
        <v>1321.5894774999999</v>
      </c>
      <c r="J1848">
        <v>1317.3039550999999</v>
      </c>
      <c r="K1848">
        <v>2750</v>
      </c>
      <c r="L1848">
        <v>0</v>
      </c>
      <c r="M1848">
        <v>0</v>
      </c>
      <c r="N1848">
        <v>2750</v>
      </c>
    </row>
    <row r="1849" spans="1:14" x14ac:dyDescent="0.25">
      <c r="A1849">
        <v>1106.8219810000001</v>
      </c>
      <c r="B1849" s="1">
        <f>DATE(2013,5,11) + TIME(19,43,39)</f>
        <v>41405.821979166663</v>
      </c>
      <c r="C1849">
        <v>80</v>
      </c>
      <c r="D1849">
        <v>79.973602295000006</v>
      </c>
      <c r="E1849">
        <v>50</v>
      </c>
      <c r="F1849">
        <v>49.277050017999997</v>
      </c>
      <c r="G1849">
        <v>1346.6922606999999</v>
      </c>
      <c r="H1849">
        <v>1342.2479248</v>
      </c>
      <c r="I1849">
        <v>1321.5876464999999</v>
      </c>
      <c r="J1849">
        <v>1317.3016356999999</v>
      </c>
      <c r="K1849">
        <v>2750</v>
      </c>
      <c r="L1849">
        <v>0</v>
      </c>
      <c r="M1849">
        <v>0</v>
      </c>
      <c r="N1849">
        <v>2750</v>
      </c>
    </row>
    <row r="1850" spans="1:14" x14ac:dyDescent="0.25">
      <c r="A1850">
        <v>1107.107107</v>
      </c>
      <c r="B1850" s="1">
        <f>DATE(2013,5,12) + TIME(2,34,14)</f>
        <v>41406.107106481482</v>
      </c>
      <c r="C1850">
        <v>80</v>
      </c>
      <c r="D1850">
        <v>79.973571777000004</v>
      </c>
      <c r="E1850">
        <v>50</v>
      </c>
      <c r="F1850">
        <v>49.261665344000001</v>
      </c>
      <c r="G1850">
        <v>1346.6776123</v>
      </c>
      <c r="H1850">
        <v>1342.2399902</v>
      </c>
      <c r="I1850">
        <v>1321.5858154</v>
      </c>
      <c r="J1850">
        <v>1317.2993164</v>
      </c>
      <c r="K1850">
        <v>2750</v>
      </c>
      <c r="L1850">
        <v>0</v>
      </c>
      <c r="M1850">
        <v>0</v>
      </c>
      <c r="N1850">
        <v>2750</v>
      </c>
    </row>
    <row r="1851" spans="1:14" x14ac:dyDescent="0.25">
      <c r="A1851">
        <v>1107.397532</v>
      </c>
      <c r="B1851" s="1">
        <f>DATE(2013,5,12) + TIME(9,32,26)</f>
        <v>41406.397523148145</v>
      </c>
      <c r="C1851">
        <v>80</v>
      </c>
      <c r="D1851">
        <v>79.973533630000006</v>
      </c>
      <c r="E1851">
        <v>50</v>
      </c>
      <c r="F1851">
        <v>49.246055603000002</v>
      </c>
      <c r="G1851">
        <v>1346.6630858999999</v>
      </c>
      <c r="H1851">
        <v>1342.2320557</v>
      </c>
      <c r="I1851">
        <v>1321.5838623</v>
      </c>
      <c r="J1851">
        <v>1317.296875</v>
      </c>
      <c r="K1851">
        <v>2750</v>
      </c>
      <c r="L1851">
        <v>0</v>
      </c>
      <c r="M1851">
        <v>0</v>
      </c>
      <c r="N1851">
        <v>2750</v>
      </c>
    </row>
    <row r="1852" spans="1:14" x14ac:dyDescent="0.25">
      <c r="A1852">
        <v>1107.6918969999999</v>
      </c>
      <c r="B1852" s="1">
        <f>DATE(2013,5,12) + TIME(16,36,19)</f>
        <v>41406.691886574074</v>
      </c>
      <c r="C1852">
        <v>80</v>
      </c>
      <c r="D1852">
        <v>79.973503113000007</v>
      </c>
      <c r="E1852">
        <v>50</v>
      </c>
      <c r="F1852">
        <v>49.230285645000002</v>
      </c>
      <c r="G1852">
        <v>1346.6485596</v>
      </c>
      <c r="H1852">
        <v>1342.2242432</v>
      </c>
      <c r="I1852">
        <v>1321.5819091999999</v>
      </c>
      <c r="J1852">
        <v>1317.2944336</v>
      </c>
      <c r="K1852">
        <v>2750</v>
      </c>
      <c r="L1852">
        <v>0</v>
      </c>
      <c r="M1852">
        <v>0</v>
      </c>
      <c r="N1852">
        <v>2750</v>
      </c>
    </row>
    <row r="1853" spans="1:14" x14ac:dyDescent="0.25">
      <c r="A1853">
        <v>1107.990237</v>
      </c>
      <c r="B1853" s="1">
        <f>DATE(2013,5,12) + TIME(23,45,56)</f>
        <v>41406.990231481483</v>
      </c>
      <c r="C1853">
        <v>80</v>
      </c>
      <c r="D1853">
        <v>79.973464965999995</v>
      </c>
      <c r="E1853">
        <v>50</v>
      </c>
      <c r="F1853">
        <v>49.214359283</v>
      </c>
      <c r="G1853">
        <v>1346.6340332</v>
      </c>
      <c r="H1853">
        <v>1342.2164307</v>
      </c>
      <c r="I1853">
        <v>1321.5798339999999</v>
      </c>
      <c r="J1853">
        <v>1317.2918701000001</v>
      </c>
      <c r="K1853">
        <v>2750</v>
      </c>
      <c r="L1853">
        <v>0</v>
      </c>
      <c r="M1853">
        <v>0</v>
      </c>
      <c r="N1853">
        <v>2750</v>
      </c>
    </row>
    <row r="1854" spans="1:14" x14ac:dyDescent="0.25">
      <c r="A1854">
        <v>1108.29324</v>
      </c>
      <c r="B1854" s="1">
        <f>DATE(2013,5,13) + TIME(7,2,15)</f>
        <v>41407.293229166666</v>
      </c>
      <c r="C1854">
        <v>80</v>
      </c>
      <c r="D1854">
        <v>79.973426818999997</v>
      </c>
      <c r="E1854">
        <v>50</v>
      </c>
      <c r="F1854">
        <v>49.198261260999999</v>
      </c>
      <c r="G1854">
        <v>1346.6196289</v>
      </c>
      <c r="H1854">
        <v>1342.2087402</v>
      </c>
      <c r="I1854">
        <v>1321.5778809000001</v>
      </c>
      <c r="J1854">
        <v>1317.2893065999999</v>
      </c>
      <c r="K1854">
        <v>2750</v>
      </c>
      <c r="L1854">
        <v>0</v>
      </c>
      <c r="M1854">
        <v>0</v>
      </c>
      <c r="N1854">
        <v>2750</v>
      </c>
    </row>
    <row r="1855" spans="1:14" x14ac:dyDescent="0.25">
      <c r="A1855">
        <v>1108.6016050000001</v>
      </c>
      <c r="B1855" s="1">
        <f>DATE(2013,5,13) + TIME(14,26,18)</f>
        <v>41407.601597222223</v>
      </c>
      <c r="C1855">
        <v>80</v>
      </c>
      <c r="D1855">
        <v>79.973396300999994</v>
      </c>
      <c r="E1855">
        <v>50</v>
      </c>
      <c r="F1855">
        <v>49.181972504000001</v>
      </c>
      <c r="G1855">
        <v>1346.6053466999999</v>
      </c>
      <c r="H1855">
        <v>1342.2010498</v>
      </c>
      <c r="I1855">
        <v>1321.5758057</v>
      </c>
      <c r="J1855">
        <v>1317.2866211</v>
      </c>
      <c r="K1855">
        <v>2750</v>
      </c>
      <c r="L1855">
        <v>0</v>
      </c>
      <c r="M1855">
        <v>0</v>
      </c>
      <c r="N1855">
        <v>2750</v>
      </c>
    </row>
    <row r="1856" spans="1:14" x14ac:dyDescent="0.25">
      <c r="A1856">
        <v>1108.916142</v>
      </c>
      <c r="B1856" s="1">
        <f>DATE(2013,5,13) + TIME(21,59,14)</f>
        <v>41407.916134259256</v>
      </c>
      <c r="C1856">
        <v>80</v>
      </c>
      <c r="D1856">
        <v>79.973358153999996</v>
      </c>
      <c r="E1856">
        <v>50</v>
      </c>
      <c r="F1856">
        <v>49.165454865000001</v>
      </c>
      <c r="G1856">
        <v>1346.5910644999999</v>
      </c>
      <c r="H1856">
        <v>1342.1933594</v>
      </c>
      <c r="I1856">
        <v>1321.5736084</v>
      </c>
      <c r="J1856">
        <v>1317.2839355000001</v>
      </c>
      <c r="K1856">
        <v>2750</v>
      </c>
      <c r="L1856">
        <v>0</v>
      </c>
      <c r="M1856">
        <v>0</v>
      </c>
      <c r="N1856">
        <v>2750</v>
      </c>
    </row>
    <row r="1857" spans="1:14" x14ac:dyDescent="0.25">
      <c r="A1857">
        <v>1109.2377019999999</v>
      </c>
      <c r="B1857" s="1">
        <f>DATE(2013,5,14) + TIME(5,42,17)</f>
        <v>41408.237696759257</v>
      </c>
      <c r="C1857">
        <v>80</v>
      </c>
      <c r="D1857">
        <v>79.973327636999997</v>
      </c>
      <c r="E1857">
        <v>50</v>
      </c>
      <c r="F1857">
        <v>49.148685454999999</v>
      </c>
      <c r="G1857">
        <v>1346.5767822</v>
      </c>
      <c r="H1857">
        <v>1342.1856689000001</v>
      </c>
      <c r="I1857">
        <v>1321.5714111</v>
      </c>
      <c r="J1857">
        <v>1317.2811279</v>
      </c>
      <c r="K1857">
        <v>2750</v>
      </c>
      <c r="L1857">
        <v>0</v>
      </c>
      <c r="M1857">
        <v>0</v>
      </c>
      <c r="N1857">
        <v>2750</v>
      </c>
    </row>
    <row r="1858" spans="1:14" x14ac:dyDescent="0.25">
      <c r="A1858">
        <v>1109.566356</v>
      </c>
      <c r="B1858" s="1">
        <f>DATE(2013,5,14) + TIME(13,35,33)</f>
        <v>41408.566354166665</v>
      </c>
      <c r="C1858">
        <v>80</v>
      </c>
      <c r="D1858">
        <v>79.973289489999999</v>
      </c>
      <c r="E1858">
        <v>50</v>
      </c>
      <c r="F1858">
        <v>49.131656647</v>
      </c>
      <c r="G1858">
        <v>1346.5623779</v>
      </c>
      <c r="H1858">
        <v>1342.1781006000001</v>
      </c>
      <c r="I1858">
        <v>1321.5692139</v>
      </c>
      <c r="J1858">
        <v>1317.2783202999999</v>
      </c>
      <c r="K1858">
        <v>2750</v>
      </c>
      <c r="L1858">
        <v>0</v>
      </c>
      <c r="M1858">
        <v>0</v>
      </c>
      <c r="N1858">
        <v>2750</v>
      </c>
    </row>
    <row r="1859" spans="1:14" x14ac:dyDescent="0.25">
      <c r="A1859">
        <v>1109.896976</v>
      </c>
      <c r="B1859" s="1">
        <f>DATE(2013,5,14) + TIME(21,31,38)</f>
        <v>41408.896967592591</v>
      </c>
      <c r="C1859">
        <v>80</v>
      </c>
      <c r="D1859">
        <v>79.973251343000001</v>
      </c>
      <c r="E1859">
        <v>50</v>
      </c>
      <c r="F1859">
        <v>49.114547729000002</v>
      </c>
      <c r="G1859">
        <v>1346.5479736</v>
      </c>
      <c r="H1859">
        <v>1342.1704102000001</v>
      </c>
      <c r="I1859">
        <v>1321.5668945</v>
      </c>
      <c r="J1859">
        <v>1317.2753906</v>
      </c>
      <c r="K1859">
        <v>2750</v>
      </c>
      <c r="L1859">
        <v>0</v>
      </c>
      <c r="M1859">
        <v>0</v>
      </c>
      <c r="N1859">
        <v>2750</v>
      </c>
    </row>
    <row r="1860" spans="1:14" x14ac:dyDescent="0.25">
      <c r="A1860">
        <v>1110.2302360000001</v>
      </c>
      <c r="B1860" s="1">
        <f>DATE(2013,5,15) + TIME(5,31,32)</f>
        <v>41409.230231481481</v>
      </c>
      <c r="C1860">
        <v>80</v>
      </c>
      <c r="D1860">
        <v>79.973220824999999</v>
      </c>
      <c r="E1860">
        <v>50</v>
      </c>
      <c r="F1860">
        <v>49.097358704000001</v>
      </c>
      <c r="G1860">
        <v>1346.5338135</v>
      </c>
      <c r="H1860">
        <v>1342.1628418</v>
      </c>
      <c r="I1860">
        <v>1321.5645752</v>
      </c>
      <c r="J1860">
        <v>1317.2723389</v>
      </c>
      <c r="K1860">
        <v>2750</v>
      </c>
      <c r="L1860">
        <v>0</v>
      </c>
      <c r="M1860">
        <v>0</v>
      </c>
      <c r="N1860">
        <v>2750</v>
      </c>
    </row>
    <row r="1861" spans="1:14" x14ac:dyDescent="0.25">
      <c r="A1861">
        <v>1110.567063</v>
      </c>
      <c r="B1861" s="1">
        <f>DATE(2013,5,15) + TIME(13,36,34)</f>
        <v>41409.567060185182</v>
      </c>
      <c r="C1861">
        <v>80</v>
      </c>
      <c r="D1861">
        <v>79.973182678000001</v>
      </c>
      <c r="E1861">
        <v>50</v>
      </c>
      <c r="F1861">
        <v>49.080070495999998</v>
      </c>
      <c r="G1861">
        <v>1346.5197754000001</v>
      </c>
      <c r="H1861">
        <v>1342.1553954999999</v>
      </c>
      <c r="I1861">
        <v>1321.5622559000001</v>
      </c>
      <c r="J1861">
        <v>1317.2694091999999</v>
      </c>
      <c r="K1861">
        <v>2750</v>
      </c>
      <c r="L1861">
        <v>0</v>
      </c>
      <c r="M1861">
        <v>0</v>
      </c>
      <c r="N1861">
        <v>2750</v>
      </c>
    </row>
    <row r="1862" spans="1:14" x14ac:dyDescent="0.25">
      <c r="A1862">
        <v>1110.9087609999999</v>
      </c>
      <c r="B1862" s="1">
        <f>DATE(2013,5,15) + TIME(21,48,36)</f>
        <v>41409.908750000002</v>
      </c>
      <c r="C1862">
        <v>80</v>
      </c>
      <c r="D1862">
        <v>79.973144531000003</v>
      </c>
      <c r="E1862">
        <v>50</v>
      </c>
      <c r="F1862">
        <v>49.062637328999998</v>
      </c>
      <c r="G1862">
        <v>1346.5058594</v>
      </c>
      <c r="H1862">
        <v>1342.1480713000001</v>
      </c>
      <c r="I1862">
        <v>1321.5598144999999</v>
      </c>
      <c r="J1862">
        <v>1317.2663574000001</v>
      </c>
      <c r="K1862">
        <v>2750</v>
      </c>
      <c r="L1862">
        <v>0</v>
      </c>
      <c r="M1862">
        <v>0</v>
      </c>
      <c r="N1862">
        <v>2750</v>
      </c>
    </row>
    <row r="1863" spans="1:14" x14ac:dyDescent="0.25">
      <c r="A1863">
        <v>1111.256122</v>
      </c>
      <c r="B1863" s="1">
        <f>DATE(2013,5,16) + TIME(6,8,48)</f>
        <v>41410.256111111114</v>
      </c>
      <c r="C1863">
        <v>80</v>
      </c>
      <c r="D1863">
        <v>79.973114014000004</v>
      </c>
      <c r="E1863">
        <v>50</v>
      </c>
      <c r="F1863">
        <v>49.045040131</v>
      </c>
      <c r="G1863">
        <v>1346.4919434000001</v>
      </c>
      <c r="H1863">
        <v>1342.1407471</v>
      </c>
      <c r="I1863">
        <v>1321.5573730000001</v>
      </c>
      <c r="J1863">
        <v>1317.2631836</v>
      </c>
      <c r="K1863">
        <v>2750</v>
      </c>
      <c r="L1863">
        <v>0</v>
      </c>
      <c r="M1863">
        <v>0</v>
      </c>
      <c r="N1863">
        <v>2750</v>
      </c>
    </row>
    <row r="1864" spans="1:14" x14ac:dyDescent="0.25">
      <c r="A1864">
        <v>1111.609903</v>
      </c>
      <c r="B1864" s="1">
        <f>DATE(2013,5,16) + TIME(14,38,15)</f>
        <v>41410.609895833331</v>
      </c>
      <c r="C1864">
        <v>80</v>
      </c>
      <c r="D1864">
        <v>79.973075867000006</v>
      </c>
      <c r="E1864">
        <v>50</v>
      </c>
      <c r="F1864">
        <v>49.027240753000001</v>
      </c>
      <c r="G1864">
        <v>1346.4781493999999</v>
      </c>
      <c r="H1864">
        <v>1342.1334228999999</v>
      </c>
      <c r="I1864">
        <v>1321.5548096</v>
      </c>
      <c r="J1864">
        <v>1317.2598877</v>
      </c>
      <c r="K1864">
        <v>2750</v>
      </c>
      <c r="L1864">
        <v>0</v>
      </c>
      <c r="M1864">
        <v>0</v>
      </c>
      <c r="N1864">
        <v>2750</v>
      </c>
    </row>
    <row r="1865" spans="1:14" x14ac:dyDescent="0.25">
      <c r="A1865">
        <v>1111.969889</v>
      </c>
      <c r="B1865" s="1">
        <f>DATE(2013,5,16) + TIME(23,16,38)</f>
        <v>41410.969884259262</v>
      </c>
      <c r="C1865">
        <v>80</v>
      </c>
      <c r="D1865">
        <v>79.973045349000003</v>
      </c>
      <c r="E1865">
        <v>50</v>
      </c>
      <c r="F1865">
        <v>49.009243011000002</v>
      </c>
      <c r="G1865">
        <v>1346.4642334</v>
      </c>
      <c r="H1865">
        <v>1342.1260986</v>
      </c>
      <c r="I1865">
        <v>1321.5522461</v>
      </c>
      <c r="J1865">
        <v>1317.2565918</v>
      </c>
      <c r="K1865">
        <v>2750</v>
      </c>
      <c r="L1865">
        <v>0</v>
      </c>
      <c r="M1865">
        <v>0</v>
      </c>
      <c r="N1865">
        <v>2750</v>
      </c>
    </row>
    <row r="1866" spans="1:14" x14ac:dyDescent="0.25">
      <c r="A1866">
        <v>1112.3365940000001</v>
      </c>
      <c r="B1866" s="1">
        <f>DATE(2013,5,17) + TIME(8,4,41)</f>
        <v>41411.336585648147</v>
      </c>
      <c r="C1866">
        <v>80</v>
      </c>
      <c r="D1866">
        <v>79.973007202000005</v>
      </c>
      <c r="E1866">
        <v>50</v>
      </c>
      <c r="F1866">
        <v>48.991031647</v>
      </c>
      <c r="G1866">
        <v>1346.4504394999999</v>
      </c>
      <c r="H1866">
        <v>1342.1188964999999</v>
      </c>
      <c r="I1866">
        <v>1321.5495605000001</v>
      </c>
      <c r="J1866">
        <v>1317.2532959</v>
      </c>
      <c r="K1866">
        <v>2750</v>
      </c>
      <c r="L1866">
        <v>0</v>
      </c>
      <c r="M1866">
        <v>0</v>
      </c>
      <c r="N1866">
        <v>2750</v>
      </c>
    </row>
    <row r="1867" spans="1:14" x14ac:dyDescent="0.25">
      <c r="A1867">
        <v>1112.7108450000001</v>
      </c>
      <c r="B1867" s="1">
        <f>DATE(2013,5,17) + TIME(17,3,37)</f>
        <v>41411.710844907408</v>
      </c>
      <c r="C1867">
        <v>80</v>
      </c>
      <c r="D1867">
        <v>79.972969054999993</v>
      </c>
      <c r="E1867">
        <v>50</v>
      </c>
      <c r="F1867">
        <v>48.972576140999998</v>
      </c>
      <c r="G1867">
        <v>1346.4366454999999</v>
      </c>
      <c r="H1867">
        <v>1342.1115723</v>
      </c>
      <c r="I1867">
        <v>1321.546875</v>
      </c>
      <c r="J1867">
        <v>1317.2497559000001</v>
      </c>
      <c r="K1867">
        <v>2750</v>
      </c>
      <c r="L1867">
        <v>0</v>
      </c>
      <c r="M1867">
        <v>0</v>
      </c>
      <c r="N1867">
        <v>2750</v>
      </c>
    </row>
    <row r="1868" spans="1:14" x14ac:dyDescent="0.25">
      <c r="A1868">
        <v>1113.093619</v>
      </c>
      <c r="B1868" s="1">
        <f>DATE(2013,5,18) + TIME(2,14,48)</f>
        <v>41412.093611111108</v>
      </c>
      <c r="C1868">
        <v>80</v>
      </c>
      <c r="D1868">
        <v>79.972938537999994</v>
      </c>
      <c r="E1868">
        <v>50</v>
      </c>
      <c r="F1868">
        <v>48.953842162999997</v>
      </c>
      <c r="G1868">
        <v>1346.4227295000001</v>
      </c>
      <c r="H1868">
        <v>1342.1043701000001</v>
      </c>
      <c r="I1868">
        <v>1321.5440673999999</v>
      </c>
      <c r="J1868">
        <v>1317.2462158000001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1113.4859739999999</v>
      </c>
      <c r="B1869" s="1">
        <f>DATE(2013,5,18) + TIME(11,39,48)</f>
        <v>41412.485972222225</v>
      </c>
      <c r="C1869">
        <v>80</v>
      </c>
      <c r="D1869">
        <v>79.972900390999996</v>
      </c>
      <c r="E1869">
        <v>50</v>
      </c>
      <c r="F1869">
        <v>48.934787749999998</v>
      </c>
      <c r="G1869">
        <v>1346.4088135</v>
      </c>
      <c r="H1869">
        <v>1342.0970459</v>
      </c>
      <c r="I1869">
        <v>1321.5412598</v>
      </c>
      <c r="J1869">
        <v>1317.2425536999999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1113.887281</v>
      </c>
      <c r="B1870" s="1">
        <f>DATE(2013,5,18) + TIME(21,17,41)</f>
        <v>41412.887280092589</v>
      </c>
      <c r="C1870">
        <v>80</v>
      </c>
      <c r="D1870">
        <v>79.972862243999998</v>
      </c>
      <c r="E1870">
        <v>50</v>
      </c>
      <c r="F1870">
        <v>48.915428161999998</v>
      </c>
      <c r="G1870">
        <v>1346.3947754000001</v>
      </c>
      <c r="H1870">
        <v>1342.0897216999999</v>
      </c>
      <c r="I1870">
        <v>1321.5383300999999</v>
      </c>
      <c r="J1870">
        <v>1317.2386475000001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1114.293977</v>
      </c>
      <c r="B1871" s="1">
        <f>DATE(2013,5,19) + TIME(7,3,19)</f>
        <v>41413.293969907405</v>
      </c>
      <c r="C1871">
        <v>80</v>
      </c>
      <c r="D1871">
        <v>79.972831725999995</v>
      </c>
      <c r="E1871">
        <v>50</v>
      </c>
      <c r="F1871">
        <v>48.895870209000002</v>
      </c>
      <c r="G1871">
        <v>1346.3806152</v>
      </c>
      <c r="H1871">
        <v>1342.0822754000001</v>
      </c>
      <c r="I1871">
        <v>1321.5352783000001</v>
      </c>
      <c r="J1871">
        <v>1317.2347411999999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1114.7071350000001</v>
      </c>
      <c r="B1872" s="1">
        <f>DATE(2013,5,19) + TIME(16,58,16)</f>
        <v>41413.707129629627</v>
      </c>
      <c r="C1872">
        <v>80</v>
      </c>
      <c r="D1872">
        <v>79.972793578999998</v>
      </c>
      <c r="E1872">
        <v>50</v>
      </c>
      <c r="F1872">
        <v>48.876106262</v>
      </c>
      <c r="G1872">
        <v>1346.3665771000001</v>
      </c>
      <c r="H1872">
        <v>1342.0749512</v>
      </c>
      <c r="I1872">
        <v>1321.5321045000001</v>
      </c>
      <c r="J1872">
        <v>1317.2307129000001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1115.1278890000001</v>
      </c>
      <c r="B1873" s="1">
        <f>DATE(2013,5,20) + TIME(3,4,9)</f>
        <v>41414.127881944441</v>
      </c>
      <c r="C1873">
        <v>80</v>
      </c>
      <c r="D1873">
        <v>79.972755432</v>
      </c>
      <c r="E1873">
        <v>50</v>
      </c>
      <c r="F1873">
        <v>48.856105804000002</v>
      </c>
      <c r="G1873">
        <v>1346.3526611</v>
      </c>
      <c r="H1873">
        <v>1342.0676269999999</v>
      </c>
      <c r="I1873">
        <v>1321.5289307</v>
      </c>
      <c r="J1873">
        <v>1317.2265625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1115.557452</v>
      </c>
      <c r="B1874" s="1">
        <f>DATE(2013,5,20) + TIME(13,22,43)</f>
        <v>41414.557442129626</v>
      </c>
      <c r="C1874">
        <v>80</v>
      </c>
      <c r="D1874">
        <v>79.972724915000001</v>
      </c>
      <c r="E1874">
        <v>50</v>
      </c>
      <c r="F1874">
        <v>48.835842133</v>
      </c>
      <c r="G1874">
        <v>1346.3386230000001</v>
      </c>
      <c r="H1874">
        <v>1342.0604248</v>
      </c>
      <c r="I1874">
        <v>1321.5256348</v>
      </c>
      <c r="J1874">
        <v>1317.2224120999999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1115.994987</v>
      </c>
      <c r="B1875" s="1">
        <f>DATE(2013,5,20) + TIME(23,52,46)</f>
        <v>41414.994976851849</v>
      </c>
      <c r="C1875">
        <v>80</v>
      </c>
      <c r="D1875">
        <v>79.972686768000003</v>
      </c>
      <c r="E1875">
        <v>50</v>
      </c>
      <c r="F1875">
        <v>48.815326691000003</v>
      </c>
      <c r="G1875">
        <v>1346.3245850000001</v>
      </c>
      <c r="H1875">
        <v>1342.0531006000001</v>
      </c>
      <c r="I1875">
        <v>1321.5222168</v>
      </c>
      <c r="J1875">
        <v>1317.2180175999999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1116.4393809999999</v>
      </c>
      <c r="B1876" s="1">
        <f>DATE(2013,5,21) + TIME(10,32,42)</f>
        <v>41415.439375000002</v>
      </c>
      <c r="C1876">
        <v>80</v>
      </c>
      <c r="D1876">
        <v>79.972648621000005</v>
      </c>
      <c r="E1876">
        <v>50</v>
      </c>
      <c r="F1876">
        <v>48.794601440000001</v>
      </c>
      <c r="G1876">
        <v>1346.3104248</v>
      </c>
      <c r="H1876">
        <v>1342.0457764</v>
      </c>
      <c r="I1876">
        <v>1321.5187988</v>
      </c>
      <c r="J1876">
        <v>1317.213501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1116.892065</v>
      </c>
      <c r="B1877" s="1">
        <f>DATE(2013,5,21) + TIME(21,24,34)</f>
        <v>41415.892060185186</v>
      </c>
      <c r="C1877">
        <v>80</v>
      </c>
      <c r="D1877">
        <v>79.972610474000007</v>
      </c>
      <c r="E1877">
        <v>50</v>
      </c>
      <c r="F1877">
        <v>48.773635863999999</v>
      </c>
      <c r="G1877">
        <v>1346.2963867000001</v>
      </c>
      <c r="H1877">
        <v>1342.0384521000001</v>
      </c>
      <c r="I1877">
        <v>1321.5152588000001</v>
      </c>
      <c r="J1877">
        <v>1317.2088623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1117.347663</v>
      </c>
      <c r="B1878" s="1">
        <f>DATE(2013,5,22) + TIME(8,20,38)</f>
        <v>41416.347662037035</v>
      </c>
      <c r="C1878">
        <v>80</v>
      </c>
      <c r="D1878">
        <v>79.972579956000004</v>
      </c>
      <c r="E1878">
        <v>50</v>
      </c>
      <c r="F1878">
        <v>48.752586364999999</v>
      </c>
      <c r="G1878">
        <v>1346.2823486</v>
      </c>
      <c r="H1878">
        <v>1342.0311279</v>
      </c>
      <c r="I1878">
        <v>1321.5115966999999</v>
      </c>
      <c r="J1878">
        <v>1317.2041016000001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1117.804758</v>
      </c>
      <c r="B1879" s="1">
        <f>DATE(2013,5,22) + TIME(19,18,51)</f>
        <v>41416.804756944446</v>
      </c>
      <c r="C1879">
        <v>80</v>
      </c>
      <c r="D1879">
        <v>79.972541809000006</v>
      </c>
      <c r="E1879">
        <v>50</v>
      </c>
      <c r="F1879">
        <v>48.731525421000001</v>
      </c>
      <c r="G1879">
        <v>1346.2685547000001</v>
      </c>
      <c r="H1879">
        <v>1342.0239257999999</v>
      </c>
      <c r="I1879">
        <v>1321.5078125</v>
      </c>
      <c r="J1879">
        <v>1317.1992187999999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1118.264289</v>
      </c>
      <c r="B1880" s="1">
        <f>DATE(2013,5,23) + TIME(6,20,34)</f>
        <v>41417.264282407406</v>
      </c>
      <c r="C1880">
        <v>80</v>
      </c>
      <c r="D1880">
        <v>79.972511291999993</v>
      </c>
      <c r="E1880">
        <v>50</v>
      </c>
      <c r="F1880">
        <v>48.710456848</v>
      </c>
      <c r="G1880">
        <v>1346.2547606999999</v>
      </c>
      <c r="H1880">
        <v>1342.0168457</v>
      </c>
      <c r="I1880">
        <v>1321.5041504000001</v>
      </c>
      <c r="J1880">
        <v>1317.1942139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1118.7278699999999</v>
      </c>
      <c r="B1881" s="1">
        <f>DATE(2013,5,23) + TIME(17,28,7)</f>
        <v>41417.727858796294</v>
      </c>
      <c r="C1881">
        <v>80</v>
      </c>
      <c r="D1881">
        <v>79.972473144999995</v>
      </c>
      <c r="E1881">
        <v>50</v>
      </c>
      <c r="F1881">
        <v>48.689346313000001</v>
      </c>
      <c r="G1881">
        <v>1346.2412108999999</v>
      </c>
      <c r="H1881">
        <v>1342.0097656</v>
      </c>
      <c r="I1881">
        <v>1321.5002440999999</v>
      </c>
      <c r="J1881">
        <v>1317.1892089999999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1119.1973109999999</v>
      </c>
      <c r="B1882" s="1">
        <f>DATE(2013,5,24) + TIME(4,44,7)</f>
        <v>41418.19730324074</v>
      </c>
      <c r="C1882">
        <v>80</v>
      </c>
      <c r="D1882">
        <v>79.972434997999997</v>
      </c>
      <c r="E1882">
        <v>50</v>
      </c>
      <c r="F1882">
        <v>48.668148041000002</v>
      </c>
      <c r="G1882">
        <v>1346.2277832</v>
      </c>
      <c r="H1882">
        <v>1342.0028076000001</v>
      </c>
      <c r="I1882">
        <v>1321.4963379000001</v>
      </c>
      <c r="J1882">
        <v>1317.184082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1119.6738350000001</v>
      </c>
      <c r="B1883" s="1">
        <f>DATE(2013,5,24) + TIME(16,10,19)</f>
        <v>41418.673831018517</v>
      </c>
      <c r="C1883">
        <v>80</v>
      </c>
      <c r="D1883">
        <v>79.972404479999994</v>
      </c>
      <c r="E1883">
        <v>50</v>
      </c>
      <c r="F1883">
        <v>48.646812439000001</v>
      </c>
      <c r="G1883">
        <v>1346.2143555</v>
      </c>
      <c r="H1883">
        <v>1341.9959716999999</v>
      </c>
      <c r="I1883">
        <v>1321.4924315999999</v>
      </c>
      <c r="J1883">
        <v>1317.1788329999999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1120.1587360000001</v>
      </c>
      <c r="B1884" s="1">
        <f>DATE(2013,5,25) + TIME(3,48,34)</f>
        <v>41419.158726851849</v>
      </c>
      <c r="C1884">
        <v>80</v>
      </c>
      <c r="D1884">
        <v>79.972373962000006</v>
      </c>
      <c r="E1884">
        <v>50</v>
      </c>
      <c r="F1884">
        <v>48.625293732000003</v>
      </c>
      <c r="G1884">
        <v>1346.2010498</v>
      </c>
      <c r="H1884">
        <v>1341.9890137</v>
      </c>
      <c r="I1884">
        <v>1321.4882812000001</v>
      </c>
      <c r="J1884">
        <v>1317.1734618999999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1120.6531600000001</v>
      </c>
      <c r="B1885" s="1">
        <f>DATE(2013,5,25) + TIME(15,40,33)</f>
        <v>41419.65315972222</v>
      </c>
      <c r="C1885">
        <v>80</v>
      </c>
      <c r="D1885">
        <v>79.972335814999994</v>
      </c>
      <c r="E1885">
        <v>50</v>
      </c>
      <c r="F1885">
        <v>48.603546143000003</v>
      </c>
      <c r="G1885">
        <v>1346.1876221</v>
      </c>
      <c r="H1885">
        <v>1341.9820557</v>
      </c>
      <c r="I1885">
        <v>1321.4841309000001</v>
      </c>
      <c r="J1885">
        <v>1317.1678466999999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1121.1585889999999</v>
      </c>
      <c r="B1886" s="1">
        <f>DATE(2013,5,26) + TIME(3,48,22)</f>
        <v>41420.158587962964</v>
      </c>
      <c r="C1886">
        <v>80</v>
      </c>
      <c r="D1886">
        <v>79.972305297999995</v>
      </c>
      <c r="E1886">
        <v>50</v>
      </c>
      <c r="F1886">
        <v>48.581520081000001</v>
      </c>
      <c r="G1886">
        <v>1346.1741943</v>
      </c>
      <c r="H1886">
        <v>1341.9750977000001</v>
      </c>
      <c r="I1886">
        <v>1321.4797363</v>
      </c>
      <c r="J1886">
        <v>1317.1621094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1121.676557</v>
      </c>
      <c r="B1887" s="1">
        <f>DATE(2013,5,26) + TIME(16,14,14)</f>
        <v>41420.676550925928</v>
      </c>
      <c r="C1887">
        <v>80</v>
      </c>
      <c r="D1887">
        <v>79.972267150999997</v>
      </c>
      <c r="E1887">
        <v>50</v>
      </c>
      <c r="F1887">
        <v>48.559158324999999</v>
      </c>
      <c r="G1887">
        <v>1346.1607666</v>
      </c>
      <c r="H1887">
        <v>1341.9681396000001</v>
      </c>
      <c r="I1887">
        <v>1321.4753418</v>
      </c>
      <c r="J1887">
        <v>1317.15625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1122.2087550000001</v>
      </c>
      <c r="B1888" s="1">
        <f>DATE(2013,5,27) + TIME(5,0,36)</f>
        <v>41421.208749999998</v>
      </c>
      <c r="C1888">
        <v>80</v>
      </c>
      <c r="D1888">
        <v>79.972236632999994</v>
      </c>
      <c r="E1888">
        <v>50</v>
      </c>
      <c r="F1888">
        <v>48.536403655999997</v>
      </c>
      <c r="G1888">
        <v>1346.1470947</v>
      </c>
      <c r="H1888">
        <v>1341.9610596</v>
      </c>
      <c r="I1888">
        <v>1321.4707031</v>
      </c>
      <c r="J1888">
        <v>1317.1500243999999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1122.757079</v>
      </c>
      <c r="B1889" s="1">
        <f>DATE(2013,5,27) + TIME(18,10,11)</f>
        <v>41421.757071759261</v>
      </c>
      <c r="C1889">
        <v>80</v>
      </c>
      <c r="D1889">
        <v>79.972198485999996</v>
      </c>
      <c r="E1889">
        <v>50</v>
      </c>
      <c r="F1889">
        <v>48.513187408</v>
      </c>
      <c r="G1889">
        <v>1346.1333007999999</v>
      </c>
      <c r="H1889">
        <v>1341.9538574000001</v>
      </c>
      <c r="I1889">
        <v>1321.4658202999999</v>
      </c>
      <c r="J1889">
        <v>1317.1435547000001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1123.3191139999999</v>
      </c>
      <c r="B1890" s="1">
        <f>DATE(2013,5,28) + TIME(7,39,31)</f>
        <v>41422.319108796299</v>
      </c>
      <c r="C1890">
        <v>80</v>
      </c>
      <c r="D1890">
        <v>79.972167968999997</v>
      </c>
      <c r="E1890">
        <v>50</v>
      </c>
      <c r="F1890">
        <v>48.489551544000001</v>
      </c>
      <c r="G1890">
        <v>1346.1193848</v>
      </c>
      <c r="H1890">
        <v>1341.9466553</v>
      </c>
      <c r="I1890">
        <v>1321.4608154</v>
      </c>
      <c r="J1890">
        <v>1317.1368408000001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1123.890629</v>
      </c>
      <c r="B1891" s="1">
        <f>DATE(2013,5,28) + TIME(21,22,30)</f>
        <v>41422.890625</v>
      </c>
      <c r="C1891">
        <v>80</v>
      </c>
      <c r="D1891">
        <v>79.972129821999999</v>
      </c>
      <c r="E1891">
        <v>50</v>
      </c>
      <c r="F1891">
        <v>48.465602875000002</v>
      </c>
      <c r="G1891">
        <v>1346.1053466999999</v>
      </c>
      <c r="H1891">
        <v>1341.9393310999999</v>
      </c>
      <c r="I1891">
        <v>1321.4556885</v>
      </c>
      <c r="J1891">
        <v>1317.1298827999999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1124.4734169999999</v>
      </c>
      <c r="B1892" s="1">
        <f>DATE(2013,5,29) + TIME(11,21,43)</f>
        <v>41423.473414351851</v>
      </c>
      <c r="C1892">
        <v>80</v>
      </c>
      <c r="D1892">
        <v>79.972091675000001</v>
      </c>
      <c r="E1892">
        <v>50</v>
      </c>
      <c r="F1892">
        <v>48.441345214999998</v>
      </c>
      <c r="G1892">
        <v>1346.0913086</v>
      </c>
      <c r="H1892">
        <v>1341.9320068</v>
      </c>
      <c r="I1892">
        <v>1321.4503173999999</v>
      </c>
      <c r="J1892">
        <v>1317.1226807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1125.069309</v>
      </c>
      <c r="B1893" s="1">
        <f>DATE(2013,5,30) + TIME(1,39,48)</f>
        <v>41424.069305555553</v>
      </c>
      <c r="C1893">
        <v>80</v>
      </c>
      <c r="D1893">
        <v>79.972061156999999</v>
      </c>
      <c r="E1893">
        <v>50</v>
      </c>
      <c r="F1893">
        <v>48.416744231999999</v>
      </c>
      <c r="G1893">
        <v>1346.0771483999999</v>
      </c>
      <c r="H1893">
        <v>1341.9246826000001</v>
      </c>
      <c r="I1893">
        <v>1321.4448242000001</v>
      </c>
      <c r="J1893">
        <v>1317.1152344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1125.368334</v>
      </c>
      <c r="B1894" s="1">
        <f>DATE(2013,5,30) + TIME(8,50,24)</f>
        <v>41424.368333333332</v>
      </c>
      <c r="C1894">
        <v>80</v>
      </c>
      <c r="D1894">
        <v>79.97203064</v>
      </c>
      <c r="E1894">
        <v>50</v>
      </c>
      <c r="F1894">
        <v>48.400917053000001</v>
      </c>
      <c r="G1894">
        <v>1346.0628661999999</v>
      </c>
      <c r="H1894">
        <v>1341.9172363</v>
      </c>
      <c r="I1894">
        <v>1321.4390868999999</v>
      </c>
      <c r="J1894">
        <v>1317.1081543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1125.6673579999999</v>
      </c>
      <c r="B1895" s="1">
        <f>DATE(2013,5,30) + TIME(16,0,59)</f>
        <v>41424.667349537034</v>
      </c>
      <c r="C1895">
        <v>80</v>
      </c>
      <c r="D1895">
        <v>79.972007751000007</v>
      </c>
      <c r="E1895">
        <v>50</v>
      </c>
      <c r="F1895">
        <v>48.386081695999998</v>
      </c>
      <c r="G1895">
        <v>1346.0557861</v>
      </c>
      <c r="H1895">
        <v>1341.9135742000001</v>
      </c>
      <c r="I1895">
        <v>1321.4360352000001</v>
      </c>
      <c r="J1895">
        <v>1317.1038818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1126.2654070000001</v>
      </c>
      <c r="B1896" s="1">
        <f>DATE(2013,5,31) + TIME(6,22,11)</f>
        <v>41425.265405092592</v>
      </c>
      <c r="C1896">
        <v>80</v>
      </c>
      <c r="D1896">
        <v>79.971984863000003</v>
      </c>
      <c r="E1896">
        <v>50</v>
      </c>
      <c r="F1896">
        <v>48.364074707</v>
      </c>
      <c r="G1896">
        <v>1346.0489502</v>
      </c>
      <c r="H1896">
        <v>1341.9100341999999</v>
      </c>
      <c r="I1896">
        <v>1321.4331055</v>
      </c>
      <c r="J1896">
        <v>1317.0992432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1126.863607</v>
      </c>
      <c r="B1897" s="1">
        <f>DATE(2013,5,31) + TIME(20,43,35)</f>
        <v>41425.863599537035</v>
      </c>
      <c r="C1897">
        <v>80</v>
      </c>
      <c r="D1897">
        <v>79.971954346000004</v>
      </c>
      <c r="E1897">
        <v>50</v>
      </c>
      <c r="F1897">
        <v>48.341003418</v>
      </c>
      <c r="G1897">
        <v>1346.0351562000001</v>
      </c>
      <c r="H1897">
        <v>1341.902832</v>
      </c>
      <c r="I1897">
        <v>1321.4272461</v>
      </c>
      <c r="J1897">
        <v>1317.0914307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1127</v>
      </c>
      <c r="B1898" s="1">
        <f>DATE(2013,6,1) + TIME(0,0,0)</f>
        <v>41426</v>
      </c>
      <c r="C1898">
        <v>80</v>
      </c>
      <c r="D1898">
        <v>79.971939086999996</v>
      </c>
      <c r="E1898">
        <v>50</v>
      </c>
      <c r="F1898">
        <v>48.332859038999999</v>
      </c>
      <c r="G1898">
        <v>1346.0216064000001</v>
      </c>
      <c r="H1898">
        <v>1341.8957519999999</v>
      </c>
      <c r="I1898">
        <v>1321.4213867000001</v>
      </c>
      <c r="J1898">
        <v>1317.0844727000001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1127.6008340000001</v>
      </c>
      <c r="B1899" s="1">
        <f>DATE(2013,6,1) + TIME(14,25,12)</f>
        <v>41426.60083333333</v>
      </c>
      <c r="C1899">
        <v>80</v>
      </c>
      <c r="D1899">
        <v>79.971908568999993</v>
      </c>
      <c r="E1899">
        <v>50</v>
      </c>
      <c r="F1899">
        <v>48.310394287000001</v>
      </c>
      <c r="G1899">
        <v>1346.0185547000001</v>
      </c>
      <c r="H1899">
        <v>1341.8941649999999</v>
      </c>
      <c r="I1899">
        <v>1321.4197998</v>
      </c>
      <c r="J1899">
        <v>1317.0812988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1128.209744</v>
      </c>
      <c r="B1900" s="1">
        <f>DATE(2013,6,2) + TIME(5,2,1)</f>
        <v>41427.209733796299</v>
      </c>
      <c r="C1900">
        <v>80</v>
      </c>
      <c r="D1900">
        <v>79.971878051999994</v>
      </c>
      <c r="E1900">
        <v>50</v>
      </c>
      <c r="F1900">
        <v>48.287029265999998</v>
      </c>
      <c r="G1900">
        <v>1346.0051269999999</v>
      </c>
      <c r="H1900">
        <v>1341.887207</v>
      </c>
      <c r="I1900">
        <v>1321.4138184000001</v>
      </c>
      <c r="J1900">
        <v>1317.0731201000001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1128.8268889999999</v>
      </c>
      <c r="B1901" s="1">
        <f>DATE(2013,6,2) + TIME(19,50,43)</f>
        <v>41427.826886574076</v>
      </c>
      <c r="C1901">
        <v>80</v>
      </c>
      <c r="D1901">
        <v>79.971847534000005</v>
      </c>
      <c r="E1901">
        <v>50</v>
      </c>
      <c r="F1901">
        <v>48.263095856</v>
      </c>
      <c r="G1901">
        <v>1345.9918213000001</v>
      </c>
      <c r="H1901">
        <v>1341.8801269999999</v>
      </c>
      <c r="I1901">
        <v>1321.4075928</v>
      </c>
      <c r="J1901">
        <v>1317.0645752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1129.454168</v>
      </c>
      <c r="B1902" s="1">
        <f>DATE(2013,6,3) + TIME(10,54,0)</f>
        <v>41428.45416666667</v>
      </c>
      <c r="C1902">
        <v>80</v>
      </c>
      <c r="D1902">
        <v>79.971817017000006</v>
      </c>
      <c r="E1902">
        <v>50</v>
      </c>
      <c r="F1902">
        <v>48.238739013999997</v>
      </c>
      <c r="G1902">
        <v>1345.9783935999999</v>
      </c>
      <c r="H1902">
        <v>1341.8731689000001</v>
      </c>
      <c r="I1902">
        <v>1321.4011230000001</v>
      </c>
      <c r="J1902">
        <v>1317.0559082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1130.093468</v>
      </c>
      <c r="B1903" s="1">
        <f>DATE(2013,6,4) + TIME(2,14,35)</f>
        <v>41429.093460648146</v>
      </c>
      <c r="C1903">
        <v>80</v>
      </c>
      <c r="D1903">
        <v>79.971786499000004</v>
      </c>
      <c r="E1903">
        <v>50</v>
      </c>
      <c r="F1903">
        <v>48.214019774999997</v>
      </c>
      <c r="G1903">
        <v>1345.9650879000001</v>
      </c>
      <c r="H1903">
        <v>1341.8662108999999</v>
      </c>
      <c r="I1903">
        <v>1321.3945312000001</v>
      </c>
      <c r="J1903">
        <v>1317.0467529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1130.7466179999999</v>
      </c>
      <c r="B1904" s="1">
        <f>DATE(2013,6,4) + TIME(17,55,7)</f>
        <v>41429.746608796297</v>
      </c>
      <c r="C1904">
        <v>80</v>
      </c>
      <c r="D1904">
        <v>79.971748352000006</v>
      </c>
      <c r="E1904">
        <v>50</v>
      </c>
      <c r="F1904">
        <v>48.188938141000001</v>
      </c>
      <c r="G1904">
        <v>1345.9516602000001</v>
      </c>
      <c r="H1904">
        <v>1341.8591309000001</v>
      </c>
      <c r="I1904">
        <v>1321.3876952999999</v>
      </c>
      <c r="J1904">
        <v>1317.0374756000001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1131.4157439999999</v>
      </c>
      <c r="B1905" s="1">
        <f>DATE(2013,6,5) + TIME(9,58,40)</f>
        <v>41430.41574074074</v>
      </c>
      <c r="C1905">
        <v>80</v>
      </c>
      <c r="D1905">
        <v>79.971717834000003</v>
      </c>
      <c r="E1905">
        <v>50</v>
      </c>
      <c r="F1905">
        <v>48.163471221999998</v>
      </c>
      <c r="G1905">
        <v>1345.9382324000001</v>
      </c>
      <c r="H1905">
        <v>1341.8520507999999</v>
      </c>
      <c r="I1905">
        <v>1321.3807373</v>
      </c>
      <c r="J1905">
        <v>1317.0277100000001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1132.1001040000001</v>
      </c>
      <c r="B1906" s="1">
        <f>DATE(2013,6,6) + TIME(2,24,8)</f>
        <v>41431.100092592591</v>
      </c>
      <c r="C1906">
        <v>80</v>
      </c>
      <c r="D1906">
        <v>79.971687317000004</v>
      </c>
      <c r="E1906">
        <v>50</v>
      </c>
      <c r="F1906">
        <v>48.137619018999999</v>
      </c>
      <c r="G1906">
        <v>1345.9245605000001</v>
      </c>
      <c r="H1906">
        <v>1341.8449707</v>
      </c>
      <c r="I1906">
        <v>1321.3734131000001</v>
      </c>
      <c r="J1906">
        <v>1317.0175781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1132.799035</v>
      </c>
      <c r="B1907" s="1">
        <f>DATE(2013,6,6) + TIME(19,10,36)</f>
        <v>41431.799027777779</v>
      </c>
      <c r="C1907">
        <v>80</v>
      </c>
      <c r="D1907">
        <v>79.971656799000002</v>
      </c>
      <c r="E1907">
        <v>50</v>
      </c>
      <c r="F1907">
        <v>48.111412047999998</v>
      </c>
      <c r="G1907">
        <v>1345.9108887</v>
      </c>
      <c r="H1907">
        <v>1341.8376464999999</v>
      </c>
      <c r="I1907">
        <v>1321.3657227000001</v>
      </c>
      <c r="J1907">
        <v>1317.0070800999999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1133.514572</v>
      </c>
      <c r="B1908" s="1">
        <f>DATE(2013,6,7) + TIME(12,20,59)</f>
        <v>41432.51457175926</v>
      </c>
      <c r="C1908">
        <v>80</v>
      </c>
      <c r="D1908">
        <v>79.971618652000004</v>
      </c>
      <c r="E1908">
        <v>50</v>
      </c>
      <c r="F1908">
        <v>48.084823608000001</v>
      </c>
      <c r="G1908">
        <v>1345.8970947</v>
      </c>
      <c r="H1908">
        <v>1341.8304443</v>
      </c>
      <c r="I1908">
        <v>1321.3579102000001</v>
      </c>
      <c r="J1908">
        <v>1316.9960937999999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1134.2491620000001</v>
      </c>
      <c r="B1909" s="1">
        <f>DATE(2013,6,8) + TIME(5,58,47)</f>
        <v>41433.249155092592</v>
      </c>
      <c r="C1909">
        <v>80</v>
      </c>
      <c r="D1909">
        <v>79.971588135000005</v>
      </c>
      <c r="E1909">
        <v>50</v>
      </c>
      <c r="F1909">
        <v>48.057804107999999</v>
      </c>
      <c r="G1909">
        <v>1345.8833007999999</v>
      </c>
      <c r="H1909">
        <v>1341.8231201000001</v>
      </c>
      <c r="I1909">
        <v>1321.3497314000001</v>
      </c>
      <c r="J1909">
        <v>1316.9847411999999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1135.0055339999999</v>
      </c>
      <c r="B1910" s="1">
        <f>DATE(2013,6,9) + TIME(0,7,58)</f>
        <v>41434.005532407406</v>
      </c>
      <c r="C1910">
        <v>80</v>
      </c>
      <c r="D1910">
        <v>79.971557617000002</v>
      </c>
      <c r="E1910">
        <v>50</v>
      </c>
      <c r="F1910">
        <v>48.030284881999997</v>
      </c>
      <c r="G1910">
        <v>1345.8692627</v>
      </c>
      <c r="H1910">
        <v>1341.8156738</v>
      </c>
      <c r="I1910">
        <v>1321.3413086</v>
      </c>
      <c r="J1910">
        <v>1316.9729004000001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1135.394399</v>
      </c>
      <c r="B1911" s="1">
        <f>DATE(2013,6,9) + TIME(9,27,56)</f>
        <v>41434.39439814815</v>
      </c>
      <c r="C1911">
        <v>80</v>
      </c>
      <c r="D1911">
        <v>79.971527100000003</v>
      </c>
      <c r="E1911">
        <v>50</v>
      </c>
      <c r="F1911">
        <v>48.011524199999997</v>
      </c>
      <c r="G1911">
        <v>1345.8548584</v>
      </c>
      <c r="H1911">
        <v>1341.8079834</v>
      </c>
      <c r="I1911">
        <v>1321.3326416</v>
      </c>
      <c r="J1911">
        <v>1316.9615478999999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1135.783263</v>
      </c>
      <c r="B1912" s="1">
        <f>DATE(2013,6,9) + TIME(18,47,53)</f>
        <v>41434.783252314817</v>
      </c>
      <c r="C1912">
        <v>80</v>
      </c>
      <c r="D1912">
        <v>79.971504210999996</v>
      </c>
      <c r="E1912">
        <v>50</v>
      </c>
      <c r="F1912">
        <v>47.994316101000003</v>
      </c>
      <c r="G1912">
        <v>1345.8476562000001</v>
      </c>
      <c r="H1912">
        <v>1341.8041992000001</v>
      </c>
      <c r="I1912">
        <v>1321.3278809000001</v>
      </c>
      <c r="J1912">
        <v>1316.9544678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1136.1721279999999</v>
      </c>
      <c r="B1913" s="1">
        <f>DATE(2013,6,10) + TIME(4,7,51)</f>
        <v>41435.172118055554</v>
      </c>
      <c r="C1913">
        <v>80</v>
      </c>
      <c r="D1913">
        <v>79.971488953000005</v>
      </c>
      <c r="E1913">
        <v>50</v>
      </c>
      <c r="F1913">
        <v>47.978157043000003</v>
      </c>
      <c r="G1913">
        <v>1345.8405762</v>
      </c>
      <c r="H1913">
        <v>1341.8004149999999</v>
      </c>
      <c r="I1913">
        <v>1321.3229980000001</v>
      </c>
      <c r="J1913">
        <v>1316.9476318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1136.5609919999999</v>
      </c>
      <c r="B1914" s="1">
        <f>DATE(2013,6,10) + TIME(13,27,49)</f>
        <v>41435.560983796298</v>
      </c>
      <c r="C1914">
        <v>80</v>
      </c>
      <c r="D1914">
        <v>79.971466063999998</v>
      </c>
      <c r="E1914">
        <v>50</v>
      </c>
      <c r="F1914">
        <v>47.962715148999997</v>
      </c>
      <c r="G1914">
        <v>1345.833374</v>
      </c>
      <c r="H1914">
        <v>1341.7965088000001</v>
      </c>
      <c r="I1914">
        <v>1321.3182373</v>
      </c>
      <c r="J1914">
        <v>1316.9407959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1136.9498570000001</v>
      </c>
      <c r="B1915" s="1">
        <f>DATE(2013,6,10) + TIME(22,47,47)</f>
        <v>41435.949849537035</v>
      </c>
      <c r="C1915">
        <v>80</v>
      </c>
      <c r="D1915">
        <v>79.971450806000007</v>
      </c>
      <c r="E1915">
        <v>50</v>
      </c>
      <c r="F1915">
        <v>47.947765349999997</v>
      </c>
      <c r="G1915">
        <v>1345.8264160000001</v>
      </c>
      <c r="H1915">
        <v>1341.7928466999999</v>
      </c>
      <c r="I1915">
        <v>1321.3134766000001</v>
      </c>
      <c r="J1915">
        <v>1316.9339600000001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1137.3387210000001</v>
      </c>
      <c r="B1916" s="1">
        <f>DATE(2013,6,11) + TIME(8,7,45)</f>
        <v>41436.33871527778</v>
      </c>
      <c r="C1916">
        <v>80</v>
      </c>
      <c r="D1916">
        <v>79.971435546999999</v>
      </c>
      <c r="E1916">
        <v>50</v>
      </c>
      <c r="F1916">
        <v>47.933162689</v>
      </c>
      <c r="G1916">
        <v>1345.8194579999999</v>
      </c>
      <c r="H1916">
        <v>1341.7890625</v>
      </c>
      <c r="I1916">
        <v>1321.3087158000001</v>
      </c>
      <c r="J1916">
        <v>1316.927124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1138.11645</v>
      </c>
      <c r="B1917" s="1">
        <f>DATE(2013,6,12) + TIME(2,47,41)</f>
        <v>41437.116446759261</v>
      </c>
      <c r="C1917">
        <v>80</v>
      </c>
      <c r="D1917">
        <v>79.971420288000004</v>
      </c>
      <c r="E1917">
        <v>50</v>
      </c>
      <c r="F1917">
        <v>47.911720275999997</v>
      </c>
      <c r="G1917">
        <v>1345.8125</v>
      </c>
      <c r="H1917">
        <v>1341.7854004000001</v>
      </c>
      <c r="I1917">
        <v>1321.3035889</v>
      </c>
      <c r="J1917">
        <v>1316.9195557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1138.8953690000001</v>
      </c>
      <c r="B1918" s="1">
        <f>DATE(2013,6,12) + TIME(21,29,19)</f>
        <v>41437.895358796297</v>
      </c>
      <c r="C1918">
        <v>80</v>
      </c>
      <c r="D1918">
        <v>79.971389771000005</v>
      </c>
      <c r="E1918">
        <v>50</v>
      </c>
      <c r="F1918">
        <v>47.887153625000003</v>
      </c>
      <c r="G1918">
        <v>1345.7988281</v>
      </c>
      <c r="H1918">
        <v>1341.7780762</v>
      </c>
      <c r="I1918">
        <v>1321.2943115</v>
      </c>
      <c r="J1918">
        <v>1316.9067382999999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1139.6841059999999</v>
      </c>
      <c r="B1919" s="1">
        <f>DATE(2013,6,13) + TIME(16,25,6)</f>
        <v>41438.68409722222</v>
      </c>
      <c r="C1919">
        <v>80</v>
      </c>
      <c r="D1919">
        <v>79.971366881999998</v>
      </c>
      <c r="E1919">
        <v>50</v>
      </c>
      <c r="F1919">
        <v>47.861011505</v>
      </c>
      <c r="G1919">
        <v>1345.7852783000001</v>
      </c>
      <c r="H1919">
        <v>1341.7707519999999</v>
      </c>
      <c r="I1919">
        <v>1321.2847899999999</v>
      </c>
      <c r="J1919">
        <v>1316.8931885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1140.483837</v>
      </c>
      <c r="B1920" s="1">
        <f>DATE(2013,6,14) + TIME(11,36,43)</f>
        <v>41439.483831018515</v>
      </c>
      <c r="C1920">
        <v>80</v>
      </c>
      <c r="D1920">
        <v>79.971336364999999</v>
      </c>
      <c r="E1920">
        <v>50</v>
      </c>
      <c r="F1920">
        <v>47.834014893000003</v>
      </c>
      <c r="G1920">
        <v>1345.7717285000001</v>
      </c>
      <c r="H1920">
        <v>1341.7635498</v>
      </c>
      <c r="I1920">
        <v>1321.2749022999999</v>
      </c>
      <c r="J1920">
        <v>1316.8792725000001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1141.2885510000001</v>
      </c>
      <c r="B1921" s="1">
        <f>DATE(2013,6,15) + TIME(6,55,30)</f>
        <v>41440.288541666669</v>
      </c>
      <c r="C1921">
        <v>80</v>
      </c>
      <c r="D1921">
        <v>79.971305846999996</v>
      </c>
      <c r="E1921">
        <v>50</v>
      </c>
      <c r="F1921">
        <v>47.806629180999998</v>
      </c>
      <c r="G1921">
        <v>1345.7581786999999</v>
      </c>
      <c r="H1921">
        <v>1341.7562256000001</v>
      </c>
      <c r="I1921">
        <v>1321.2646483999999</v>
      </c>
      <c r="J1921">
        <v>1316.8647461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1142.103963</v>
      </c>
      <c r="B1922" s="1">
        <f>DATE(2013,6,16) + TIME(2,29,42)</f>
        <v>41441.103958333333</v>
      </c>
      <c r="C1922">
        <v>80</v>
      </c>
      <c r="D1922">
        <v>79.971275329999997</v>
      </c>
      <c r="E1922">
        <v>50</v>
      </c>
      <c r="F1922">
        <v>47.779003142999997</v>
      </c>
      <c r="G1922">
        <v>1345.744751</v>
      </c>
      <c r="H1922">
        <v>1341.7489014</v>
      </c>
      <c r="I1922">
        <v>1321.2541504000001</v>
      </c>
      <c r="J1922">
        <v>1316.8498535000001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1142.933133</v>
      </c>
      <c r="B1923" s="1">
        <f>DATE(2013,6,16) + TIME(22,23,42)</f>
        <v>41441.933125000003</v>
      </c>
      <c r="C1923">
        <v>80</v>
      </c>
      <c r="D1923">
        <v>79.971244811999995</v>
      </c>
      <c r="E1923">
        <v>50</v>
      </c>
      <c r="F1923">
        <v>47.751152038999997</v>
      </c>
      <c r="G1923">
        <v>1345.7313231999999</v>
      </c>
      <c r="H1923">
        <v>1341.7416992000001</v>
      </c>
      <c r="I1923">
        <v>1321.2434082</v>
      </c>
      <c r="J1923">
        <v>1316.8344727000001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1143.778906</v>
      </c>
      <c r="B1924" s="1">
        <f>DATE(2013,6,17) + TIME(18,41,37)</f>
        <v>41442.778900462959</v>
      </c>
      <c r="C1924">
        <v>80</v>
      </c>
      <c r="D1924">
        <v>79.971214294000006</v>
      </c>
      <c r="E1924">
        <v>50</v>
      </c>
      <c r="F1924">
        <v>47.723041533999996</v>
      </c>
      <c r="G1924">
        <v>1345.7178954999999</v>
      </c>
      <c r="H1924">
        <v>1341.734375</v>
      </c>
      <c r="I1924">
        <v>1321.2324219</v>
      </c>
      <c r="J1924">
        <v>1316.8187256000001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1144.6442500000001</v>
      </c>
      <c r="B1925" s="1">
        <f>DATE(2013,6,18) + TIME(15,27,43)</f>
        <v>41443.644247685188</v>
      </c>
      <c r="C1925">
        <v>80</v>
      </c>
      <c r="D1925">
        <v>79.971191406000003</v>
      </c>
      <c r="E1925">
        <v>50</v>
      </c>
      <c r="F1925">
        <v>47.69461441</v>
      </c>
      <c r="G1925">
        <v>1345.7043457</v>
      </c>
      <c r="H1925">
        <v>1341.7270507999999</v>
      </c>
      <c r="I1925">
        <v>1321.2209473</v>
      </c>
      <c r="J1925">
        <v>1316.8023682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1145.532097</v>
      </c>
      <c r="B1926" s="1">
        <f>DATE(2013,6,19) + TIME(12,46,13)</f>
        <v>41444.532094907408</v>
      </c>
      <c r="C1926">
        <v>80</v>
      </c>
      <c r="D1926">
        <v>79.971160889000004</v>
      </c>
      <c r="E1926">
        <v>50</v>
      </c>
      <c r="F1926">
        <v>47.665805816999999</v>
      </c>
      <c r="G1926">
        <v>1345.6906738</v>
      </c>
      <c r="H1926">
        <v>1341.7196045000001</v>
      </c>
      <c r="I1926">
        <v>1321.2092285000001</v>
      </c>
      <c r="J1926">
        <v>1316.7854004000001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1146.4459649999999</v>
      </c>
      <c r="B1927" s="1">
        <f>DATE(2013,6,20) + TIME(10,42,11)</f>
        <v>41445.445960648147</v>
      </c>
      <c r="C1927">
        <v>80</v>
      </c>
      <c r="D1927">
        <v>79.971130371000001</v>
      </c>
      <c r="E1927">
        <v>50</v>
      </c>
      <c r="F1927">
        <v>47.636524199999997</v>
      </c>
      <c r="G1927">
        <v>1345.6768798999999</v>
      </c>
      <c r="H1927">
        <v>1341.7120361</v>
      </c>
      <c r="I1927">
        <v>1321.1968993999999</v>
      </c>
      <c r="J1927">
        <v>1316.7677002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1147.3871819999999</v>
      </c>
      <c r="B1928" s="1">
        <f>DATE(2013,6,21) + TIME(9,17,32)</f>
        <v>41446.387175925927</v>
      </c>
      <c r="C1928">
        <v>80</v>
      </c>
      <c r="D1928">
        <v>79.971099854000002</v>
      </c>
      <c r="E1928">
        <v>50</v>
      </c>
      <c r="F1928">
        <v>47.606723785</v>
      </c>
      <c r="G1928">
        <v>1345.6629639</v>
      </c>
      <c r="H1928">
        <v>1341.7043457</v>
      </c>
      <c r="I1928">
        <v>1321.1842041</v>
      </c>
      <c r="J1928">
        <v>1316.7492675999999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1148.3403269999999</v>
      </c>
      <c r="B1929" s="1">
        <f>DATE(2013,6,22) + TIME(8,10,4)</f>
        <v>41447.340324074074</v>
      </c>
      <c r="C1929">
        <v>80</v>
      </c>
      <c r="D1929">
        <v>79.971076964999995</v>
      </c>
      <c r="E1929">
        <v>50</v>
      </c>
      <c r="F1929">
        <v>47.576595306000002</v>
      </c>
      <c r="G1929">
        <v>1345.6486815999999</v>
      </c>
      <c r="H1929">
        <v>1341.6965332</v>
      </c>
      <c r="I1929">
        <v>1321.1708983999999</v>
      </c>
      <c r="J1929">
        <v>1316.7301024999999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1149.314372</v>
      </c>
      <c r="B1930" s="1">
        <f>DATE(2013,6,23) + TIME(7,32,41)</f>
        <v>41448.314363425925</v>
      </c>
      <c r="C1930">
        <v>80</v>
      </c>
      <c r="D1930">
        <v>79.971046447999996</v>
      </c>
      <c r="E1930">
        <v>50</v>
      </c>
      <c r="F1930">
        <v>47.546173095999997</v>
      </c>
      <c r="G1930">
        <v>1345.6345214999999</v>
      </c>
      <c r="H1930">
        <v>1341.6887207</v>
      </c>
      <c r="I1930">
        <v>1321.1573486</v>
      </c>
      <c r="J1930">
        <v>1316.7103271000001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1149.8086209999999</v>
      </c>
      <c r="B1931" s="1">
        <f>DATE(2013,6,23) + TIME(19,24,24)</f>
        <v>41448.808611111112</v>
      </c>
      <c r="C1931">
        <v>80</v>
      </c>
      <c r="D1931">
        <v>79.971015929999993</v>
      </c>
      <c r="E1931">
        <v>50</v>
      </c>
      <c r="F1931">
        <v>47.524776459000002</v>
      </c>
      <c r="G1931">
        <v>1345.6202393000001</v>
      </c>
      <c r="H1931">
        <v>1341.6807861</v>
      </c>
      <c r="I1931">
        <v>1321.1439209</v>
      </c>
      <c r="J1931">
        <v>1316.6915283000001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1150.3028690000001</v>
      </c>
      <c r="B1932" s="1">
        <f>DATE(2013,6,24) + TIME(7,16,7)</f>
        <v>41449.302858796298</v>
      </c>
      <c r="C1932">
        <v>80</v>
      </c>
      <c r="D1932">
        <v>79.971000670999999</v>
      </c>
      <c r="E1932">
        <v>50</v>
      </c>
      <c r="F1932">
        <v>47.505798339999998</v>
      </c>
      <c r="G1932">
        <v>1345.6131591999999</v>
      </c>
      <c r="H1932">
        <v>1341.6768798999999</v>
      </c>
      <c r="I1932">
        <v>1321.1359863</v>
      </c>
      <c r="J1932">
        <v>1316.6796875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1150.797118</v>
      </c>
      <c r="B1933" s="1">
        <f>DATE(2013,6,24) + TIME(19,7,50)</f>
        <v>41449.797106481485</v>
      </c>
      <c r="C1933">
        <v>80</v>
      </c>
      <c r="D1933">
        <v>79.970977782999995</v>
      </c>
      <c r="E1933">
        <v>50</v>
      </c>
      <c r="F1933">
        <v>47.488307953000003</v>
      </c>
      <c r="G1933">
        <v>1345.6060791</v>
      </c>
      <c r="H1933">
        <v>1341.6729736</v>
      </c>
      <c r="I1933">
        <v>1321.128418</v>
      </c>
      <c r="J1933">
        <v>1316.6683350000001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1151.2913659999999</v>
      </c>
      <c r="B1934" s="1">
        <f>DATE(2013,6,25) + TIME(6,59,34)</f>
        <v>41450.291365740741</v>
      </c>
      <c r="C1934">
        <v>80</v>
      </c>
      <c r="D1934">
        <v>79.970962524000001</v>
      </c>
      <c r="E1934">
        <v>50</v>
      </c>
      <c r="F1934">
        <v>47.471752166999998</v>
      </c>
      <c r="G1934">
        <v>1345.598999</v>
      </c>
      <c r="H1934">
        <v>1341.6689452999999</v>
      </c>
      <c r="I1934">
        <v>1321.1208495999999</v>
      </c>
      <c r="J1934">
        <v>1316.6572266000001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1151.785615</v>
      </c>
      <c r="B1935" s="1">
        <f>DATE(2013,6,25) + TIME(18,51,17)</f>
        <v>41450.785613425927</v>
      </c>
      <c r="C1935">
        <v>80</v>
      </c>
      <c r="D1935">
        <v>79.970954895000006</v>
      </c>
      <c r="E1935">
        <v>50</v>
      </c>
      <c r="F1935">
        <v>47.455791472999998</v>
      </c>
      <c r="G1935">
        <v>1345.5920410000001</v>
      </c>
      <c r="H1935">
        <v>1341.6651611</v>
      </c>
      <c r="I1935">
        <v>1321.1132812000001</v>
      </c>
      <c r="J1935">
        <v>1316.6461182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1152.279863</v>
      </c>
      <c r="B1936" s="1">
        <f>DATE(2013,6,26) + TIME(6,43,0)</f>
        <v>41451.279861111114</v>
      </c>
      <c r="C1936">
        <v>80</v>
      </c>
      <c r="D1936">
        <v>79.970939635999997</v>
      </c>
      <c r="E1936">
        <v>50</v>
      </c>
      <c r="F1936">
        <v>47.440227509000003</v>
      </c>
      <c r="G1936">
        <v>1345.5852050999999</v>
      </c>
      <c r="H1936">
        <v>1341.6612548999999</v>
      </c>
      <c r="I1936">
        <v>1321.1058350000001</v>
      </c>
      <c r="J1936">
        <v>1316.6351318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1153.2683609999999</v>
      </c>
      <c r="B1937" s="1">
        <f>DATE(2013,6,27) + TIME(6,26,26)</f>
        <v>41452.26835648148</v>
      </c>
      <c r="C1937">
        <v>80</v>
      </c>
      <c r="D1937">
        <v>79.970924377000003</v>
      </c>
      <c r="E1937">
        <v>50</v>
      </c>
      <c r="F1937">
        <v>47.418334960999999</v>
      </c>
      <c r="G1937">
        <v>1345.5783690999999</v>
      </c>
      <c r="H1937">
        <v>1341.6574707</v>
      </c>
      <c r="I1937">
        <v>1321.0977783000001</v>
      </c>
      <c r="J1937">
        <v>1316.6228027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1154.257077</v>
      </c>
      <c r="B1938" s="1">
        <f>DATE(2013,6,28) + TIME(6,10,11)</f>
        <v>41453.257071759261</v>
      </c>
      <c r="C1938">
        <v>80</v>
      </c>
      <c r="D1938">
        <v>79.970901488999999</v>
      </c>
      <c r="E1938">
        <v>50</v>
      </c>
      <c r="F1938">
        <v>47.392101287999999</v>
      </c>
      <c r="G1938">
        <v>1345.5646973</v>
      </c>
      <c r="H1938">
        <v>1341.6497803</v>
      </c>
      <c r="I1938">
        <v>1321.0837402</v>
      </c>
      <c r="J1938">
        <v>1316.6025391000001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1155.254234</v>
      </c>
      <c r="B1939" s="1">
        <f>DATE(2013,6,29) + TIME(6,6,5)</f>
        <v>41454.254224537035</v>
      </c>
      <c r="C1939">
        <v>80</v>
      </c>
      <c r="D1939">
        <v>79.970878600999995</v>
      </c>
      <c r="E1939">
        <v>50</v>
      </c>
      <c r="F1939">
        <v>47.364101410000004</v>
      </c>
      <c r="G1939">
        <v>1345.5512695</v>
      </c>
      <c r="H1939">
        <v>1341.6422118999999</v>
      </c>
      <c r="I1939">
        <v>1321.0689697</v>
      </c>
      <c r="J1939">
        <v>1316.5809326000001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1156.26917</v>
      </c>
      <c r="B1940" s="1">
        <f>DATE(2013,6,30) + TIME(6,27,36)</f>
        <v>41455.269166666665</v>
      </c>
      <c r="C1940">
        <v>80</v>
      </c>
      <c r="D1940">
        <v>79.970855713000006</v>
      </c>
      <c r="E1940">
        <v>50</v>
      </c>
      <c r="F1940">
        <v>47.335285186999997</v>
      </c>
      <c r="G1940">
        <v>1345.5379639</v>
      </c>
      <c r="H1940">
        <v>1341.6346435999999</v>
      </c>
      <c r="I1940">
        <v>1321.0537108999999</v>
      </c>
      <c r="J1940">
        <v>1316.5585937999999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1157</v>
      </c>
      <c r="B1941" s="1">
        <f>DATE(2013,7,1) + TIME(0,0,0)</f>
        <v>41456</v>
      </c>
      <c r="C1941">
        <v>80</v>
      </c>
      <c r="D1941">
        <v>79.970832825000002</v>
      </c>
      <c r="E1941">
        <v>50</v>
      </c>
      <c r="F1941">
        <v>47.310371398999997</v>
      </c>
      <c r="G1941">
        <v>1345.5244141000001</v>
      </c>
      <c r="H1941">
        <v>1341.6270752</v>
      </c>
      <c r="I1941">
        <v>1321.0384521000001</v>
      </c>
      <c r="J1941">
        <v>1316.5363769999999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1158.036222</v>
      </c>
      <c r="B1942" s="1">
        <f>DATE(2013,7,2) + TIME(0,52,9)</f>
        <v>41457.036215277774</v>
      </c>
      <c r="C1942">
        <v>80</v>
      </c>
      <c r="D1942">
        <v>79.970809936999999</v>
      </c>
      <c r="E1942">
        <v>50</v>
      </c>
      <c r="F1942">
        <v>47.283512115000001</v>
      </c>
      <c r="G1942">
        <v>1345.5148925999999</v>
      </c>
      <c r="H1942">
        <v>1341.6217041</v>
      </c>
      <c r="I1942">
        <v>1321.0261230000001</v>
      </c>
      <c r="J1942">
        <v>1316.5175781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1159.1185829999999</v>
      </c>
      <c r="B1943" s="1">
        <f>DATE(2013,7,3) + TIME(2,50,45)</f>
        <v>41458.118576388886</v>
      </c>
      <c r="C1943">
        <v>80</v>
      </c>
      <c r="D1943">
        <v>79.970787048000005</v>
      </c>
      <c r="E1943">
        <v>50</v>
      </c>
      <c r="F1943">
        <v>47.254837035999998</v>
      </c>
      <c r="G1943">
        <v>1345.5015868999999</v>
      </c>
      <c r="H1943">
        <v>1341.6140137</v>
      </c>
      <c r="I1943">
        <v>1321.0101318</v>
      </c>
      <c r="J1943">
        <v>1316.4938964999999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1160.2332429999999</v>
      </c>
      <c r="B1944" s="1">
        <f>DATE(2013,7,4) + TIME(5,35,52)</f>
        <v>41459.233240740738</v>
      </c>
      <c r="C1944">
        <v>80</v>
      </c>
      <c r="D1944">
        <v>79.970764160000002</v>
      </c>
      <c r="E1944">
        <v>50</v>
      </c>
      <c r="F1944">
        <v>47.225048065000003</v>
      </c>
      <c r="G1944">
        <v>1345.487793</v>
      </c>
      <c r="H1944">
        <v>1341.6062012</v>
      </c>
      <c r="I1944">
        <v>1320.9930420000001</v>
      </c>
      <c r="J1944">
        <v>1316.4686279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1161.3716469999999</v>
      </c>
      <c r="B1945" s="1">
        <f>DATE(2013,7,5) + TIME(8,55,10)</f>
        <v>41460.37164351852</v>
      </c>
      <c r="C1945">
        <v>80</v>
      </c>
      <c r="D1945">
        <v>79.970741271999998</v>
      </c>
      <c r="E1945">
        <v>50</v>
      </c>
      <c r="F1945">
        <v>47.194660186999997</v>
      </c>
      <c r="G1945">
        <v>1345.4737548999999</v>
      </c>
      <c r="H1945">
        <v>1341.5981445</v>
      </c>
      <c r="I1945">
        <v>1320.9753418</v>
      </c>
      <c r="J1945">
        <v>1316.4422606999999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1162.533555</v>
      </c>
      <c r="B1946" s="1">
        <f>DATE(2013,7,6) + TIME(12,48,19)</f>
        <v>41461.533553240741</v>
      </c>
      <c r="C1946">
        <v>80</v>
      </c>
      <c r="D1946">
        <v>79.970718383999994</v>
      </c>
      <c r="E1946">
        <v>50</v>
      </c>
      <c r="F1946">
        <v>47.163963318</v>
      </c>
      <c r="G1946">
        <v>1345.4597168</v>
      </c>
      <c r="H1946">
        <v>1341.5900879000001</v>
      </c>
      <c r="I1946">
        <v>1320.9570312000001</v>
      </c>
      <c r="J1946">
        <v>1316.4149170000001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1163.724031</v>
      </c>
      <c r="B1947" s="1">
        <f>DATE(2013,7,7) + TIME(17,22,36)</f>
        <v>41462.724027777775</v>
      </c>
      <c r="C1947">
        <v>80</v>
      </c>
      <c r="D1947">
        <v>79.970695496000005</v>
      </c>
      <c r="E1947">
        <v>50</v>
      </c>
      <c r="F1947">
        <v>47.133060454999999</v>
      </c>
      <c r="G1947">
        <v>1345.4454346</v>
      </c>
      <c r="H1947">
        <v>1341.5819091999999</v>
      </c>
      <c r="I1947">
        <v>1320.9382324000001</v>
      </c>
      <c r="J1947">
        <v>1316.3867187999999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1164.3301719999999</v>
      </c>
      <c r="B1948" s="1">
        <f>DATE(2013,7,8) + TIME(7,55,26)</f>
        <v>41463.33016203704</v>
      </c>
      <c r="C1948">
        <v>80</v>
      </c>
      <c r="D1948">
        <v>79.970672606999997</v>
      </c>
      <c r="E1948">
        <v>50</v>
      </c>
      <c r="F1948">
        <v>47.110584258999999</v>
      </c>
      <c r="G1948">
        <v>1345.4311522999999</v>
      </c>
      <c r="H1948">
        <v>1341.5734863</v>
      </c>
      <c r="I1948">
        <v>1320.9197998</v>
      </c>
      <c r="J1948">
        <v>1316.3598632999999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1164.936312</v>
      </c>
      <c r="B1949" s="1">
        <f>DATE(2013,7,8) + TIME(22,28,17)</f>
        <v>41463.936307870368</v>
      </c>
      <c r="C1949">
        <v>80</v>
      </c>
      <c r="D1949">
        <v>79.970649718999994</v>
      </c>
      <c r="E1949">
        <v>50</v>
      </c>
      <c r="F1949">
        <v>47.091323852999999</v>
      </c>
      <c r="G1949">
        <v>1345.4239502</v>
      </c>
      <c r="H1949">
        <v>1341.5693358999999</v>
      </c>
      <c r="I1949">
        <v>1320.9086914</v>
      </c>
      <c r="J1949">
        <v>1316.3427733999999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1166.1485929999999</v>
      </c>
      <c r="B1950" s="1">
        <f>DATE(2013,7,10) + TIME(3,33,58)</f>
        <v>41465.148587962962</v>
      </c>
      <c r="C1950">
        <v>80</v>
      </c>
      <c r="D1950">
        <v>79.970642089999998</v>
      </c>
      <c r="E1950">
        <v>50</v>
      </c>
      <c r="F1950">
        <v>47.067298889</v>
      </c>
      <c r="G1950">
        <v>1345.4168701000001</v>
      </c>
      <c r="H1950">
        <v>1341.5651855000001</v>
      </c>
      <c r="I1950">
        <v>1320.8972168</v>
      </c>
      <c r="J1950">
        <v>1316.3245850000001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1167.361725</v>
      </c>
      <c r="B1951" s="1">
        <f>DATE(2013,7,11) + TIME(8,40,53)</f>
        <v>41466.361724537041</v>
      </c>
      <c r="C1951">
        <v>80</v>
      </c>
      <c r="D1951">
        <v>79.970626831000004</v>
      </c>
      <c r="E1951">
        <v>50</v>
      </c>
      <c r="F1951">
        <v>47.039592743</v>
      </c>
      <c r="G1951">
        <v>1345.4027100000001</v>
      </c>
      <c r="H1951">
        <v>1341.5570068</v>
      </c>
      <c r="I1951">
        <v>1320.8780518000001</v>
      </c>
      <c r="J1951">
        <v>1316.2961425999999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1168.5836650000001</v>
      </c>
      <c r="B1952" s="1">
        <f>DATE(2013,7,12) + TIME(14,0,28)</f>
        <v>41467.583657407406</v>
      </c>
      <c r="C1952">
        <v>80</v>
      </c>
      <c r="D1952">
        <v>79.970603943</v>
      </c>
      <c r="E1952">
        <v>50</v>
      </c>
      <c r="F1952">
        <v>47.010852814000003</v>
      </c>
      <c r="G1952">
        <v>1345.3886719</v>
      </c>
      <c r="H1952">
        <v>1341.5488281</v>
      </c>
      <c r="I1952">
        <v>1320.8582764</v>
      </c>
      <c r="J1952">
        <v>1316.2661132999999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1169.8216620000001</v>
      </c>
      <c r="B1953" s="1">
        <f>DATE(2013,7,13) + TIME(19,43,11)</f>
        <v>41468.821655092594</v>
      </c>
      <c r="C1953">
        <v>80</v>
      </c>
      <c r="D1953">
        <v>79.970581054999997</v>
      </c>
      <c r="E1953">
        <v>50</v>
      </c>
      <c r="F1953">
        <v>46.981998443999998</v>
      </c>
      <c r="G1953">
        <v>1345.3748779</v>
      </c>
      <c r="H1953">
        <v>1341.5406493999999</v>
      </c>
      <c r="I1953">
        <v>1320.8378906</v>
      </c>
      <c r="J1953">
        <v>1316.2353516000001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1171.0703249999999</v>
      </c>
      <c r="B1954" s="1">
        <f>DATE(2013,7,15) + TIME(1,41,16)</f>
        <v>41470.070324074077</v>
      </c>
      <c r="C1954">
        <v>80</v>
      </c>
      <c r="D1954">
        <v>79.970558166999993</v>
      </c>
      <c r="E1954">
        <v>50</v>
      </c>
      <c r="F1954">
        <v>46.953411101999997</v>
      </c>
      <c r="G1954">
        <v>1345.3609618999999</v>
      </c>
      <c r="H1954">
        <v>1341.5324707</v>
      </c>
      <c r="I1954">
        <v>1320.8171387</v>
      </c>
      <c r="J1954">
        <v>1316.2037353999999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1172.339962</v>
      </c>
      <c r="B1955" s="1">
        <f>DATE(2013,7,16) + TIME(8,9,32)</f>
        <v>41471.339953703704</v>
      </c>
      <c r="C1955">
        <v>80</v>
      </c>
      <c r="D1955">
        <v>79.970542907999999</v>
      </c>
      <c r="E1955">
        <v>50</v>
      </c>
      <c r="F1955">
        <v>46.925228119000003</v>
      </c>
      <c r="G1955">
        <v>1345.347168</v>
      </c>
      <c r="H1955">
        <v>1341.5242920000001</v>
      </c>
      <c r="I1955">
        <v>1320.7960204999999</v>
      </c>
      <c r="J1955">
        <v>1316.1715088000001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1173.639185</v>
      </c>
      <c r="B1956" s="1">
        <f>DATE(2013,7,17) + TIME(15,20,25)</f>
        <v>41472.639178240737</v>
      </c>
      <c r="C1956">
        <v>80</v>
      </c>
      <c r="D1956">
        <v>79.970520019999995</v>
      </c>
      <c r="E1956">
        <v>50</v>
      </c>
      <c r="F1956">
        <v>46.897430419999999</v>
      </c>
      <c r="G1956">
        <v>1345.333374</v>
      </c>
      <c r="H1956">
        <v>1341.5161132999999</v>
      </c>
      <c r="I1956">
        <v>1320.7745361</v>
      </c>
      <c r="J1956">
        <v>1316.1386719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1174.971155</v>
      </c>
      <c r="B1957" s="1">
        <f>DATE(2013,7,18) + TIME(23,18,27)</f>
        <v>41473.971145833333</v>
      </c>
      <c r="C1957">
        <v>80</v>
      </c>
      <c r="D1957">
        <v>79.970504761000001</v>
      </c>
      <c r="E1957">
        <v>50</v>
      </c>
      <c r="F1957">
        <v>46.870010376000003</v>
      </c>
      <c r="G1957">
        <v>1345.3194579999999</v>
      </c>
      <c r="H1957">
        <v>1341.5078125</v>
      </c>
      <c r="I1957">
        <v>1320.7524414</v>
      </c>
      <c r="J1957">
        <v>1316.1047363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1176.314664</v>
      </c>
      <c r="B1958" s="1">
        <f>DATE(2013,7,20) + TIME(7,33,7)</f>
        <v>41475.314664351848</v>
      </c>
      <c r="C1958">
        <v>80</v>
      </c>
      <c r="D1958">
        <v>79.970481872999997</v>
      </c>
      <c r="E1958">
        <v>50</v>
      </c>
      <c r="F1958">
        <v>46.843185425000001</v>
      </c>
      <c r="G1958">
        <v>1345.3052978999999</v>
      </c>
      <c r="H1958">
        <v>1341.4992675999999</v>
      </c>
      <c r="I1958">
        <v>1320.7298584</v>
      </c>
      <c r="J1958">
        <v>1316.0699463000001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1177.674381</v>
      </c>
      <c r="B1959" s="1">
        <f>DATE(2013,7,21) + TIME(16,11,6)</f>
        <v>41476.674375000002</v>
      </c>
      <c r="C1959">
        <v>80</v>
      </c>
      <c r="D1959">
        <v>79.970466614000003</v>
      </c>
      <c r="E1959">
        <v>50</v>
      </c>
      <c r="F1959">
        <v>46.817180634000003</v>
      </c>
      <c r="G1959">
        <v>1345.2913818</v>
      </c>
      <c r="H1959">
        <v>1341.4908447</v>
      </c>
      <c r="I1959">
        <v>1320.7069091999999</v>
      </c>
      <c r="J1959">
        <v>1316.034668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1179.0579379999999</v>
      </c>
      <c r="B1960" s="1">
        <f>DATE(2013,7,23) + TIME(1,23,25)</f>
        <v>41478.057928240742</v>
      </c>
      <c r="C1960">
        <v>80</v>
      </c>
      <c r="D1960">
        <v>79.970443725999999</v>
      </c>
      <c r="E1960">
        <v>50</v>
      </c>
      <c r="F1960">
        <v>46.792087555000002</v>
      </c>
      <c r="G1960">
        <v>1345.2773437999999</v>
      </c>
      <c r="H1960">
        <v>1341.4824219</v>
      </c>
      <c r="I1960">
        <v>1320.6837158000001</v>
      </c>
      <c r="J1960">
        <v>1315.9986572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1180.4796630000001</v>
      </c>
      <c r="B1961" s="1">
        <f>DATE(2013,7,24) + TIME(11,30,42)</f>
        <v>41479.47965277778</v>
      </c>
      <c r="C1961">
        <v>80</v>
      </c>
      <c r="D1961">
        <v>79.970428467000005</v>
      </c>
      <c r="E1961">
        <v>50</v>
      </c>
      <c r="F1961">
        <v>46.767902374000002</v>
      </c>
      <c r="G1961">
        <v>1345.2633057</v>
      </c>
      <c r="H1961">
        <v>1341.4738769999999</v>
      </c>
      <c r="I1961">
        <v>1320.6600341999999</v>
      </c>
      <c r="J1961">
        <v>1315.9619141000001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1181.923458</v>
      </c>
      <c r="B1962" s="1">
        <f>DATE(2013,7,25) + TIME(22,9,46)</f>
        <v>41480.923449074071</v>
      </c>
      <c r="C1962">
        <v>80</v>
      </c>
      <c r="D1962">
        <v>79.970413207999997</v>
      </c>
      <c r="E1962">
        <v>50</v>
      </c>
      <c r="F1962">
        <v>46.744762420999997</v>
      </c>
      <c r="G1962">
        <v>1345.2490233999999</v>
      </c>
      <c r="H1962">
        <v>1341.4652100000001</v>
      </c>
      <c r="I1962">
        <v>1320.6358643000001</v>
      </c>
      <c r="J1962">
        <v>1315.9241943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1183.377489</v>
      </c>
      <c r="B1963" s="1">
        <f>DATE(2013,7,27) + TIME(9,3,35)</f>
        <v>41482.377488425926</v>
      </c>
      <c r="C1963">
        <v>80</v>
      </c>
      <c r="D1963">
        <v>79.970397949000002</v>
      </c>
      <c r="E1963">
        <v>50</v>
      </c>
      <c r="F1963">
        <v>46.722995758000003</v>
      </c>
      <c r="G1963">
        <v>1345.2348632999999</v>
      </c>
      <c r="H1963">
        <v>1341.4564209</v>
      </c>
      <c r="I1963">
        <v>1320.6112060999999</v>
      </c>
      <c r="J1963">
        <v>1315.8857422000001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1184.8475530000001</v>
      </c>
      <c r="B1964" s="1">
        <f>DATE(2013,7,28) + TIME(20,20,28)</f>
        <v>41483.847546296296</v>
      </c>
      <c r="C1964">
        <v>80</v>
      </c>
      <c r="D1964">
        <v>79.970375060999999</v>
      </c>
      <c r="E1964">
        <v>50</v>
      </c>
      <c r="F1964">
        <v>46.702869415000002</v>
      </c>
      <c r="G1964">
        <v>1345.2207031</v>
      </c>
      <c r="H1964">
        <v>1341.4477539</v>
      </c>
      <c r="I1964">
        <v>1320.5865478999999</v>
      </c>
      <c r="J1964">
        <v>1315.8469238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1186.3552119999999</v>
      </c>
      <c r="B1965" s="1">
        <f>DATE(2013,7,30) + TIME(8,31,30)</f>
        <v>41485.355208333334</v>
      </c>
      <c r="C1965">
        <v>80</v>
      </c>
      <c r="D1965">
        <v>79.970359802000004</v>
      </c>
      <c r="E1965">
        <v>50</v>
      </c>
      <c r="F1965">
        <v>46.684497833000002</v>
      </c>
      <c r="G1965">
        <v>1345.206543</v>
      </c>
      <c r="H1965">
        <v>1341.4390868999999</v>
      </c>
      <c r="I1965">
        <v>1320.5615233999999</v>
      </c>
      <c r="J1965">
        <v>1315.8076172000001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1187.8901840000001</v>
      </c>
      <c r="B1966" s="1">
        <f>DATE(2013,7,31) + TIME(21,21,51)</f>
        <v>41486.890173611115</v>
      </c>
      <c r="C1966">
        <v>80</v>
      </c>
      <c r="D1966">
        <v>79.970344542999996</v>
      </c>
      <c r="E1966">
        <v>50</v>
      </c>
      <c r="F1966">
        <v>46.668064117</v>
      </c>
      <c r="G1966">
        <v>1345.1923827999999</v>
      </c>
      <c r="H1966">
        <v>1341.4301757999999</v>
      </c>
      <c r="I1966">
        <v>1320.5361327999999</v>
      </c>
      <c r="J1966">
        <v>1315.7673339999999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1188</v>
      </c>
      <c r="B1967" s="1">
        <f>DATE(2013,8,1) + TIME(0,0,0)</f>
        <v>41487</v>
      </c>
      <c r="C1967">
        <v>80</v>
      </c>
      <c r="D1967">
        <v>79.970336914000001</v>
      </c>
      <c r="E1967">
        <v>50</v>
      </c>
      <c r="F1967">
        <v>46.665302277000002</v>
      </c>
      <c r="G1967">
        <v>1345.1782227000001</v>
      </c>
      <c r="H1967">
        <v>1341.4215088000001</v>
      </c>
      <c r="I1967">
        <v>1320.5161132999999</v>
      </c>
      <c r="J1967">
        <v>1315.7369385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1189.5483449999999</v>
      </c>
      <c r="B1968" s="1">
        <f>DATE(2013,8,2) + TIME(13,9,37)</f>
        <v>41488.548344907409</v>
      </c>
      <c r="C1968">
        <v>80</v>
      </c>
      <c r="D1968">
        <v>79.970329285000005</v>
      </c>
      <c r="E1968">
        <v>50</v>
      </c>
      <c r="F1968">
        <v>46.652545928999999</v>
      </c>
      <c r="G1968">
        <v>1345.1770019999999</v>
      </c>
      <c r="H1968">
        <v>1341.4206543</v>
      </c>
      <c r="I1968">
        <v>1320.5076904</v>
      </c>
      <c r="J1968">
        <v>1315.722168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1191.1181770000001</v>
      </c>
      <c r="B1969" s="1">
        <f>DATE(2013,8,4) + TIME(2,50,10)</f>
        <v>41490.118171296293</v>
      </c>
      <c r="C1969">
        <v>80</v>
      </c>
      <c r="D1969">
        <v>79.970314025999997</v>
      </c>
      <c r="E1969">
        <v>50</v>
      </c>
      <c r="F1969">
        <v>46.641651154000002</v>
      </c>
      <c r="G1969">
        <v>1345.1627197</v>
      </c>
      <c r="H1969">
        <v>1341.4117432</v>
      </c>
      <c r="I1969">
        <v>1320.4824219</v>
      </c>
      <c r="J1969">
        <v>1315.6818848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1192.7208350000001</v>
      </c>
      <c r="B1970" s="1">
        <f>DATE(2013,8,5) + TIME(17,18,0)</f>
        <v>41491.720833333333</v>
      </c>
      <c r="C1970">
        <v>80</v>
      </c>
      <c r="D1970">
        <v>79.970306395999998</v>
      </c>
      <c r="E1970">
        <v>50</v>
      </c>
      <c r="F1970">
        <v>46.633472443000002</v>
      </c>
      <c r="G1970">
        <v>1345.1485596</v>
      </c>
      <c r="H1970">
        <v>1341.402832</v>
      </c>
      <c r="I1970">
        <v>1320.456543</v>
      </c>
      <c r="J1970">
        <v>1315.6405029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1194.3396319999999</v>
      </c>
      <c r="B1971" s="1">
        <f>DATE(2013,8,7) + TIME(8,9,4)</f>
        <v>41493.339629629627</v>
      </c>
      <c r="C1971">
        <v>80</v>
      </c>
      <c r="D1971">
        <v>79.970291137999993</v>
      </c>
      <c r="E1971">
        <v>50</v>
      </c>
      <c r="F1971">
        <v>46.628570557000003</v>
      </c>
      <c r="G1971">
        <v>1345.1342772999999</v>
      </c>
      <c r="H1971">
        <v>1341.3937988</v>
      </c>
      <c r="I1971">
        <v>1320.4302978999999</v>
      </c>
      <c r="J1971">
        <v>1315.5982666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1195.9761980000001</v>
      </c>
      <c r="B1972" s="1">
        <f>DATE(2013,8,8) + TIME(23,25,43)</f>
        <v>41494.97619212963</v>
      </c>
      <c r="C1972">
        <v>80</v>
      </c>
      <c r="D1972">
        <v>79.970275878999999</v>
      </c>
      <c r="E1972">
        <v>50</v>
      </c>
      <c r="F1972">
        <v>46.627483368</v>
      </c>
      <c r="G1972">
        <v>1345.1199951000001</v>
      </c>
      <c r="H1972">
        <v>1341.3847656</v>
      </c>
      <c r="I1972">
        <v>1320.4040527</v>
      </c>
      <c r="J1972">
        <v>1315.5557861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1197.6367949999999</v>
      </c>
      <c r="B1973" s="1">
        <f>DATE(2013,8,10) + TIME(15,16,59)</f>
        <v>41496.636793981481</v>
      </c>
      <c r="C1973">
        <v>80</v>
      </c>
      <c r="D1973">
        <v>79.970268250000004</v>
      </c>
      <c r="E1973">
        <v>50</v>
      </c>
      <c r="F1973">
        <v>46.630687713999997</v>
      </c>
      <c r="G1973">
        <v>1345.1057129000001</v>
      </c>
      <c r="H1973">
        <v>1341.3756103999999</v>
      </c>
      <c r="I1973">
        <v>1320.3776855000001</v>
      </c>
      <c r="J1973">
        <v>1315.5130615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1199.3358700000001</v>
      </c>
      <c r="B1974" s="1">
        <f>DATE(2013,8,12) + TIME(8,3,39)</f>
        <v>41498.335868055554</v>
      </c>
      <c r="C1974">
        <v>80</v>
      </c>
      <c r="D1974">
        <v>79.970252990999995</v>
      </c>
      <c r="E1974">
        <v>50</v>
      </c>
      <c r="F1974">
        <v>46.638751984000002</v>
      </c>
      <c r="G1974">
        <v>1345.0914307</v>
      </c>
      <c r="H1974">
        <v>1341.3665771000001</v>
      </c>
      <c r="I1974">
        <v>1320.3513184000001</v>
      </c>
      <c r="J1974">
        <v>1315.4699707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1201.075331</v>
      </c>
      <c r="B1975" s="1">
        <f>DATE(2013,8,14) + TIME(1,48,28)</f>
        <v>41500.075324074074</v>
      </c>
      <c r="C1975">
        <v>80</v>
      </c>
      <c r="D1975">
        <v>79.970245360999996</v>
      </c>
      <c r="E1975">
        <v>50</v>
      </c>
      <c r="F1975">
        <v>46.652404785000002</v>
      </c>
      <c r="G1975">
        <v>1345.0771483999999</v>
      </c>
      <c r="H1975">
        <v>1341.3572998</v>
      </c>
      <c r="I1975">
        <v>1320.324707</v>
      </c>
      <c r="J1975">
        <v>1315.4263916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1202.839798</v>
      </c>
      <c r="B1976" s="1">
        <f>DATE(2013,8,15) + TIME(20,9,18)</f>
        <v>41501.839791666665</v>
      </c>
      <c r="C1976">
        <v>80</v>
      </c>
      <c r="D1976">
        <v>79.970237732000001</v>
      </c>
      <c r="E1976">
        <v>50</v>
      </c>
      <c r="F1976">
        <v>46.672447204999997</v>
      </c>
      <c r="G1976">
        <v>1345.0626221</v>
      </c>
      <c r="H1976">
        <v>1341.3479004000001</v>
      </c>
      <c r="I1976">
        <v>1320.2980957</v>
      </c>
      <c r="J1976">
        <v>1315.3823242000001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1204.6229619999999</v>
      </c>
      <c r="B1977" s="1">
        <f>DATE(2013,8,17) + TIME(14,57,3)</f>
        <v>41503.62295138889</v>
      </c>
      <c r="C1977">
        <v>80</v>
      </c>
      <c r="D1977">
        <v>79.970222473000007</v>
      </c>
      <c r="E1977">
        <v>50</v>
      </c>
      <c r="F1977">
        <v>46.699645996000001</v>
      </c>
      <c r="G1977">
        <v>1345.0480957</v>
      </c>
      <c r="H1977">
        <v>1341.338501</v>
      </c>
      <c r="I1977">
        <v>1320.2714844</v>
      </c>
      <c r="J1977">
        <v>1315.3381348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1206.4225670000001</v>
      </c>
      <c r="B1978" s="1">
        <f>DATE(2013,8,19) + TIME(10,8,29)</f>
        <v>41505.42255787037</v>
      </c>
      <c r="C1978">
        <v>80</v>
      </c>
      <c r="D1978">
        <v>79.970214843999997</v>
      </c>
      <c r="E1978">
        <v>50</v>
      </c>
      <c r="F1978">
        <v>46.734806061</v>
      </c>
      <c r="G1978">
        <v>1345.0335693</v>
      </c>
      <c r="H1978">
        <v>1341.3289795000001</v>
      </c>
      <c r="I1978">
        <v>1320.2449951000001</v>
      </c>
      <c r="J1978">
        <v>1315.2941894999999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1208.2469369999999</v>
      </c>
      <c r="B1979" s="1">
        <f>DATE(2013,8,21) + TIME(5,55,35)</f>
        <v>41507.246932870374</v>
      </c>
      <c r="C1979">
        <v>80</v>
      </c>
      <c r="D1979">
        <v>79.970207213999998</v>
      </c>
      <c r="E1979">
        <v>50</v>
      </c>
      <c r="F1979">
        <v>46.778854369999998</v>
      </c>
      <c r="G1979">
        <v>1345.0191649999999</v>
      </c>
      <c r="H1979">
        <v>1341.3195800999999</v>
      </c>
      <c r="I1979">
        <v>1320.2189940999999</v>
      </c>
      <c r="J1979">
        <v>1315.2504882999999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1210.1048330000001</v>
      </c>
      <c r="B1980" s="1">
        <f>DATE(2013,8,23) + TIME(2,30,57)</f>
        <v>41509.104826388888</v>
      </c>
      <c r="C1980">
        <v>80</v>
      </c>
      <c r="D1980">
        <v>79.970199585000003</v>
      </c>
      <c r="E1980">
        <v>50</v>
      </c>
      <c r="F1980">
        <v>46.833003998000002</v>
      </c>
      <c r="G1980">
        <v>1345.0047606999999</v>
      </c>
      <c r="H1980">
        <v>1341.3100586</v>
      </c>
      <c r="I1980">
        <v>1320.1932373</v>
      </c>
      <c r="J1980">
        <v>1315.2070312000001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1212.017535</v>
      </c>
      <c r="B1981" s="1">
        <f>DATE(2013,8,25) + TIME(0,25,14)</f>
        <v>41511.017523148148</v>
      </c>
      <c r="C1981">
        <v>80</v>
      </c>
      <c r="D1981">
        <v>79.970191955999994</v>
      </c>
      <c r="E1981">
        <v>50</v>
      </c>
      <c r="F1981">
        <v>46.898868561</v>
      </c>
      <c r="G1981">
        <v>1344.9902344</v>
      </c>
      <c r="H1981">
        <v>1341.3004149999999</v>
      </c>
      <c r="I1981">
        <v>1320.1677245999999</v>
      </c>
      <c r="J1981">
        <v>1315.1638184000001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1214.009292</v>
      </c>
      <c r="B1982" s="1">
        <f>DATE(2013,8,27) + TIME(0,13,22)</f>
        <v>41513.009282407409</v>
      </c>
      <c r="C1982">
        <v>80</v>
      </c>
      <c r="D1982">
        <v>79.970191955999994</v>
      </c>
      <c r="E1982">
        <v>50</v>
      </c>
      <c r="F1982">
        <v>46.978816985999998</v>
      </c>
      <c r="G1982">
        <v>1344.9754639</v>
      </c>
      <c r="H1982">
        <v>1341.2906493999999</v>
      </c>
      <c r="I1982">
        <v>1320.1422118999999</v>
      </c>
      <c r="J1982">
        <v>1315.1204834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1216.0328569999999</v>
      </c>
      <c r="B1983" s="1">
        <f>DATE(2013,8,29) + TIME(0,47,18)</f>
        <v>41515.032847222225</v>
      </c>
      <c r="C1983">
        <v>80</v>
      </c>
      <c r="D1983">
        <v>79.970184325999995</v>
      </c>
      <c r="E1983">
        <v>50</v>
      </c>
      <c r="F1983">
        <v>47.075218200999998</v>
      </c>
      <c r="G1983">
        <v>1344.9604492000001</v>
      </c>
      <c r="H1983">
        <v>1341.2805175999999</v>
      </c>
      <c r="I1983">
        <v>1320.1168213000001</v>
      </c>
      <c r="J1983">
        <v>1315.0767822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1218.079843</v>
      </c>
      <c r="B1984" s="1">
        <f>DATE(2013,8,31) + TIME(1,54,58)</f>
        <v>41517.079837962963</v>
      </c>
      <c r="C1984">
        <v>80</v>
      </c>
      <c r="D1984">
        <v>79.970176696999999</v>
      </c>
      <c r="E1984">
        <v>50</v>
      </c>
      <c r="F1984">
        <v>47.189002991000002</v>
      </c>
      <c r="G1984">
        <v>1344.9451904</v>
      </c>
      <c r="H1984">
        <v>1341.2703856999999</v>
      </c>
      <c r="I1984">
        <v>1320.0917969</v>
      </c>
      <c r="J1984">
        <v>1315.0336914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1219</v>
      </c>
      <c r="B1985" s="1">
        <f>DATE(2013,9,1) + TIME(0,0,0)</f>
        <v>41518</v>
      </c>
      <c r="C1985">
        <v>80</v>
      </c>
      <c r="D1985">
        <v>79.970161438000005</v>
      </c>
      <c r="E1985">
        <v>50</v>
      </c>
      <c r="F1985">
        <v>47.290645599000001</v>
      </c>
      <c r="G1985">
        <v>1344.9300536999999</v>
      </c>
      <c r="H1985">
        <v>1341.2601318</v>
      </c>
      <c r="I1985">
        <v>1320.0710449000001</v>
      </c>
      <c r="J1985">
        <v>1314.9954834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1221.080369</v>
      </c>
      <c r="B1986" s="1">
        <f>DATE(2013,9,3) + TIME(1,55,43)</f>
        <v>41520.080358796295</v>
      </c>
      <c r="C1986">
        <v>80</v>
      </c>
      <c r="D1986">
        <v>79.970169067</v>
      </c>
      <c r="E1986">
        <v>50</v>
      </c>
      <c r="F1986">
        <v>47.399578093999999</v>
      </c>
      <c r="G1986">
        <v>1344.9234618999999</v>
      </c>
      <c r="H1986">
        <v>1341.2556152</v>
      </c>
      <c r="I1986">
        <v>1320.0544434000001</v>
      </c>
      <c r="J1986">
        <v>1314.9702147999999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1223.16787</v>
      </c>
      <c r="B1987" s="1">
        <f>DATE(2013,9,5) + TIME(4,1,43)</f>
        <v>41522.167858796296</v>
      </c>
      <c r="C1987">
        <v>80</v>
      </c>
      <c r="D1987">
        <v>79.970169067</v>
      </c>
      <c r="E1987">
        <v>50</v>
      </c>
      <c r="F1987">
        <v>47.553550719999997</v>
      </c>
      <c r="G1987">
        <v>1344.9083252</v>
      </c>
      <c r="H1987">
        <v>1341.2453613</v>
      </c>
      <c r="I1987">
        <v>1320.0332031</v>
      </c>
      <c r="J1987">
        <v>1314.9324951000001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1225.272794</v>
      </c>
      <c r="B1988" s="1">
        <f>DATE(2013,9,7) + TIME(6,32,49)</f>
        <v>41524.272789351853</v>
      </c>
      <c r="C1988">
        <v>80</v>
      </c>
      <c r="D1988">
        <v>79.970169067</v>
      </c>
      <c r="E1988">
        <v>50</v>
      </c>
      <c r="F1988">
        <v>47.734722136999999</v>
      </c>
      <c r="G1988">
        <v>1344.8934326000001</v>
      </c>
      <c r="H1988">
        <v>1341.2352295000001</v>
      </c>
      <c r="I1988">
        <v>1320.0115966999999</v>
      </c>
      <c r="J1988">
        <v>1314.8947754000001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1227.406594</v>
      </c>
      <c r="B1989" s="1">
        <f>DATE(2013,9,9) + TIME(9,45,29)</f>
        <v>41526.406585648147</v>
      </c>
      <c r="C1989">
        <v>80</v>
      </c>
      <c r="D1989">
        <v>79.970169067</v>
      </c>
      <c r="E1989">
        <v>50</v>
      </c>
      <c r="F1989">
        <v>47.940166472999998</v>
      </c>
      <c r="G1989">
        <v>1344.8786620999999</v>
      </c>
      <c r="H1989">
        <v>1341.2250977000001</v>
      </c>
      <c r="I1989">
        <v>1319.9906006000001</v>
      </c>
      <c r="J1989">
        <v>1314.8583983999999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1229.5807649999999</v>
      </c>
      <c r="B1990" s="1">
        <f>DATE(2013,9,11) + TIME(13,56,18)</f>
        <v>41528.580763888887</v>
      </c>
      <c r="C1990">
        <v>80</v>
      </c>
      <c r="D1990">
        <v>79.970161438000005</v>
      </c>
      <c r="E1990">
        <v>50</v>
      </c>
      <c r="F1990">
        <v>48.170696259000003</v>
      </c>
      <c r="G1990">
        <v>1344.8638916</v>
      </c>
      <c r="H1990">
        <v>1341.2148437999999</v>
      </c>
      <c r="I1990">
        <v>1319.9703368999999</v>
      </c>
      <c r="J1990">
        <v>1314.8234863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1231.8087909999999</v>
      </c>
      <c r="B1991" s="1">
        <f>DATE(2013,9,13) + TIME(19,24,39)</f>
        <v>41530.80878472222</v>
      </c>
      <c r="C1991">
        <v>80</v>
      </c>
      <c r="D1991">
        <v>79.970161438000005</v>
      </c>
      <c r="E1991">
        <v>50</v>
      </c>
      <c r="F1991">
        <v>48.428188323999997</v>
      </c>
      <c r="G1991">
        <v>1344.848999</v>
      </c>
      <c r="H1991">
        <v>1341.2045897999999</v>
      </c>
      <c r="I1991">
        <v>1319.9510498</v>
      </c>
      <c r="J1991">
        <v>1314.7902832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1234.1058849999999</v>
      </c>
      <c r="B1992" s="1">
        <f>DATE(2013,9,16) + TIME(2,32,28)</f>
        <v>41533.105879629627</v>
      </c>
      <c r="C1992">
        <v>80</v>
      </c>
      <c r="D1992">
        <v>79.970169067</v>
      </c>
      <c r="E1992">
        <v>50</v>
      </c>
      <c r="F1992">
        <v>48.714946746999999</v>
      </c>
      <c r="G1992">
        <v>1344.8339844</v>
      </c>
      <c r="H1992">
        <v>1341.1940918</v>
      </c>
      <c r="I1992">
        <v>1319.9324951000001</v>
      </c>
      <c r="J1992">
        <v>1314.7586670000001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1236.42201</v>
      </c>
      <c r="B1993" s="1">
        <f>DATE(2013,9,18) + TIME(10,7,41)</f>
        <v>41535.422002314815</v>
      </c>
      <c r="C1993">
        <v>80</v>
      </c>
      <c r="D1993">
        <v>79.970169067</v>
      </c>
      <c r="E1993">
        <v>50</v>
      </c>
      <c r="F1993">
        <v>49.031494141000003</v>
      </c>
      <c r="G1993">
        <v>1344.8187256000001</v>
      </c>
      <c r="H1993">
        <v>1341.1834716999999</v>
      </c>
      <c r="I1993">
        <v>1319.9147949000001</v>
      </c>
      <c r="J1993">
        <v>1314.7287598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1238.7699170000001</v>
      </c>
      <c r="B1994" s="1">
        <f>DATE(2013,9,20) + TIME(18,28,40)</f>
        <v>41537.769907407404</v>
      </c>
      <c r="C1994">
        <v>80</v>
      </c>
      <c r="D1994">
        <v>79.970169067</v>
      </c>
      <c r="E1994">
        <v>50</v>
      </c>
      <c r="F1994">
        <v>49.373527527</v>
      </c>
      <c r="G1994">
        <v>1344.8034668</v>
      </c>
      <c r="H1994">
        <v>1341.1728516000001</v>
      </c>
      <c r="I1994">
        <v>1319.8980713000001</v>
      </c>
      <c r="J1994">
        <v>1314.7011719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1241.1631769999999</v>
      </c>
      <c r="B1995" s="1">
        <f>DATE(2013,9,23) + TIME(3,54,58)</f>
        <v>41540.163171296299</v>
      </c>
      <c r="C1995">
        <v>80</v>
      </c>
      <c r="D1995">
        <v>79.970169067</v>
      </c>
      <c r="E1995">
        <v>50</v>
      </c>
      <c r="F1995">
        <v>49.739776611000003</v>
      </c>
      <c r="G1995">
        <v>1344.7883300999999</v>
      </c>
      <c r="H1995">
        <v>1341.1621094</v>
      </c>
      <c r="I1995">
        <v>1319.8825684000001</v>
      </c>
      <c r="J1995">
        <v>1314.6757812000001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1243.6157740000001</v>
      </c>
      <c r="B1996" s="1">
        <f>DATE(2013,9,25) + TIME(14,46,42)</f>
        <v>41542.615763888891</v>
      </c>
      <c r="C1996">
        <v>80</v>
      </c>
      <c r="D1996">
        <v>79.970176696999999</v>
      </c>
      <c r="E1996">
        <v>50</v>
      </c>
      <c r="F1996">
        <v>50.129653931</v>
      </c>
      <c r="G1996">
        <v>1344.7731934000001</v>
      </c>
      <c r="H1996">
        <v>1341.1513672000001</v>
      </c>
      <c r="I1996">
        <v>1319.8679199000001</v>
      </c>
      <c r="J1996">
        <v>1314.6527100000001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1246.143853</v>
      </c>
      <c r="B1997" s="1">
        <f>DATE(2013,9,28) + TIME(3,27,8)</f>
        <v>41545.143842592595</v>
      </c>
      <c r="C1997">
        <v>80</v>
      </c>
      <c r="D1997">
        <v>79.970184325999995</v>
      </c>
      <c r="E1997">
        <v>50</v>
      </c>
      <c r="F1997">
        <v>50.542667389000002</v>
      </c>
      <c r="G1997">
        <v>1344.7579346</v>
      </c>
      <c r="H1997">
        <v>1341.1405029</v>
      </c>
      <c r="I1997">
        <v>1319.8543701000001</v>
      </c>
      <c r="J1997">
        <v>1314.6315918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1248.7117129999999</v>
      </c>
      <c r="B1998" s="1">
        <f>DATE(2013,9,30) + TIME(17,4,52)</f>
        <v>41547.711712962962</v>
      </c>
      <c r="C1998">
        <v>80</v>
      </c>
      <c r="D1998">
        <v>79.970184325999995</v>
      </c>
      <c r="E1998">
        <v>50</v>
      </c>
      <c r="F1998">
        <v>50.977088928000001</v>
      </c>
      <c r="G1998">
        <v>1344.7424315999999</v>
      </c>
      <c r="H1998">
        <v>1341.1295166</v>
      </c>
      <c r="I1998">
        <v>1319.8417969</v>
      </c>
      <c r="J1998">
        <v>1314.6125488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1249</v>
      </c>
      <c r="B1999" s="1">
        <f>DATE(2013,10,1) + TIME(0,0,0)</f>
        <v>41548</v>
      </c>
      <c r="C1999">
        <v>80</v>
      </c>
      <c r="D1999">
        <v>79.970176696999999</v>
      </c>
      <c r="E1999">
        <v>50</v>
      </c>
      <c r="F1999">
        <v>51.156703948999997</v>
      </c>
      <c r="G1999">
        <v>1344.7270507999999</v>
      </c>
      <c r="H1999">
        <v>1341.1186522999999</v>
      </c>
      <c r="I1999">
        <v>1319.8459473</v>
      </c>
      <c r="J1999">
        <v>1314.6014404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1251.614673</v>
      </c>
      <c r="B2000" s="1">
        <f>DATE(2013,10,3) + TIME(14,45,7)</f>
        <v>41550.614664351851</v>
      </c>
      <c r="C2000">
        <v>80</v>
      </c>
      <c r="D2000">
        <v>79.970191955999994</v>
      </c>
      <c r="E2000">
        <v>50</v>
      </c>
      <c r="F2000">
        <v>51.500926970999998</v>
      </c>
      <c r="G2000">
        <v>1344.7252197</v>
      </c>
      <c r="H2000">
        <v>1341.1171875</v>
      </c>
      <c r="I2000">
        <v>1319.828125</v>
      </c>
      <c r="J2000">
        <v>1314.5949707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1254.2948919999999</v>
      </c>
      <c r="B2001" s="1">
        <f>DATE(2013,10,6) + TIME(7,4,38)</f>
        <v>41553.29488425926</v>
      </c>
      <c r="C2001">
        <v>80</v>
      </c>
      <c r="D2001">
        <v>79.970199585000003</v>
      </c>
      <c r="E2001">
        <v>50</v>
      </c>
      <c r="F2001">
        <v>51.940814971999998</v>
      </c>
      <c r="G2001">
        <v>1344.7098389</v>
      </c>
      <c r="H2001">
        <v>1341.1062012</v>
      </c>
      <c r="I2001">
        <v>1319.8184814000001</v>
      </c>
      <c r="J2001">
        <v>1314.5795897999999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1256.9821569999999</v>
      </c>
      <c r="B2002" s="1">
        <f>DATE(2013,10,8) + TIME(23,34,18)</f>
        <v>41555.982152777775</v>
      </c>
      <c r="C2002">
        <v>80</v>
      </c>
      <c r="D2002">
        <v>79.970207213999998</v>
      </c>
      <c r="E2002">
        <v>50</v>
      </c>
      <c r="F2002">
        <v>52.4049263</v>
      </c>
      <c r="G2002">
        <v>1344.6942139</v>
      </c>
      <c r="H2002">
        <v>1341.0950928</v>
      </c>
      <c r="I2002">
        <v>1319.8093262</v>
      </c>
      <c r="J2002">
        <v>1314.5668945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1259.6935100000001</v>
      </c>
      <c r="B2003" s="1">
        <f>DATE(2013,10,11) + TIME(16,38,39)</f>
        <v>41558.693506944444</v>
      </c>
      <c r="C2003">
        <v>80</v>
      </c>
      <c r="D2003">
        <v>79.970214843999997</v>
      </c>
      <c r="E2003">
        <v>50</v>
      </c>
      <c r="F2003">
        <v>52.870403289999999</v>
      </c>
      <c r="G2003">
        <v>1344.6789550999999</v>
      </c>
      <c r="H2003">
        <v>1341.0839844</v>
      </c>
      <c r="I2003">
        <v>1319.8010254000001</v>
      </c>
      <c r="J2003">
        <v>1314.5563964999999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1262.446492</v>
      </c>
      <c r="B2004" s="1">
        <f>DATE(2013,10,14) + TIME(10,42,56)</f>
        <v>41561.446481481478</v>
      </c>
      <c r="C2004">
        <v>80</v>
      </c>
      <c r="D2004">
        <v>79.970222473000007</v>
      </c>
      <c r="E2004">
        <v>50</v>
      </c>
      <c r="F2004">
        <v>53.333427428999997</v>
      </c>
      <c r="G2004">
        <v>1344.6639404</v>
      </c>
      <c r="H2004">
        <v>1341.0731201000001</v>
      </c>
      <c r="I2004">
        <v>1319.7938231999999</v>
      </c>
      <c r="J2004">
        <v>1314.5474853999999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1265.2583529999999</v>
      </c>
      <c r="B2005" s="1">
        <f>DATE(2013,10,17) + TIME(6,12,1)</f>
        <v>41564.258344907408</v>
      </c>
      <c r="C2005">
        <v>80</v>
      </c>
      <c r="D2005">
        <v>79.970237732000001</v>
      </c>
      <c r="E2005">
        <v>50</v>
      </c>
      <c r="F2005">
        <v>53.794181823999999</v>
      </c>
      <c r="G2005">
        <v>1344.6489257999999</v>
      </c>
      <c r="H2005">
        <v>1341.0622559000001</v>
      </c>
      <c r="I2005">
        <v>1319.7873535000001</v>
      </c>
      <c r="J2005">
        <v>1314.5400391000001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1268.1472650000001</v>
      </c>
      <c r="B2006" s="1">
        <f>DATE(2013,10,20) + TIME(3,32,3)</f>
        <v>41567.147256944445</v>
      </c>
      <c r="C2006">
        <v>80</v>
      </c>
      <c r="D2006">
        <v>79.970245360999996</v>
      </c>
      <c r="E2006">
        <v>50</v>
      </c>
      <c r="F2006">
        <v>54.252147675000003</v>
      </c>
      <c r="G2006">
        <v>1344.6339111</v>
      </c>
      <c r="H2006">
        <v>1341.0513916</v>
      </c>
      <c r="I2006">
        <v>1319.7817382999999</v>
      </c>
      <c r="J2006">
        <v>1314.5339355000001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1271.1386660000001</v>
      </c>
      <c r="B2007" s="1">
        <f>DATE(2013,10,23) + TIME(3,19,40)</f>
        <v>41570.138657407406</v>
      </c>
      <c r="C2007">
        <v>80</v>
      </c>
      <c r="D2007">
        <v>79.970260620000005</v>
      </c>
      <c r="E2007">
        <v>50</v>
      </c>
      <c r="F2007">
        <v>54.709159851000003</v>
      </c>
      <c r="G2007">
        <v>1344.6187743999999</v>
      </c>
      <c r="H2007">
        <v>1341.0404053</v>
      </c>
      <c r="I2007">
        <v>1319.7768555</v>
      </c>
      <c r="J2007">
        <v>1314.5289307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1274.2633989999999</v>
      </c>
      <c r="B2008" s="1">
        <f>DATE(2013,10,26) + TIME(6,19,17)</f>
        <v>41573.263391203705</v>
      </c>
      <c r="C2008">
        <v>80</v>
      </c>
      <c r="D2008">
        <v>79.970275878999999</v>
      </c>
      <c r="E2008">
        <v>50</v>
      </c>
      <c r="F2008">
        <v>55.166072845000002</v>
      </c>
      <c r="G2008">
        <v>1344.6033935999999</v>
      </c>
      <c r="H2008">
        <v>1341.0291748</v>
      </c>
      <c r="I2008">
        <v>1319.7727050999999</v>
      </c>
      <c r="J2008">
        <v>1314.5250243999999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1277.4078999999999</v>
      </c>
      <c r="B2009" s="1">
        <f>DATE(2013,10,29) + TIME(9,47,22)</f>
        <v>41576.407893518517</v>
      </c>
      <c r="C2009">
        <v>80</v>
      </c>
      <c r="D2009">
        <v>79.970291137999993</v>
      </c>
      <c r="E2009">
        <v>50</v>
      </c>
      <c r="F2009">
        <v>55.622425079000003</v>
      </c>
      <c r="G2009">
        <v>1344.5877685999999</v>
      </c>
      <c r="H2009">
        <v>1341.0178223</v>
      </c>
      <c r="I2009">
        <v>1319.7692870999999</v>
      </c>
      <c r="J2009">
        <v>1314.5220947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1280</v>
      </c>
      <c r="B2010" s="1">
        <f>DATE(2013,11,1) + TIME(0,0,0)</f>
        <v>41579</v>
      </c>
      <c r="C2010">
        <v>80</v>
      </c>
      <c r="D2010">
        <v>79.970298767000003</v>
      </c>
      <c r="E2010">
        <v>50</v>
      </c>
      <c r="F2010">
        <v>56.051212311</v>
      </c>
      <c r="G2010">
        <v>1344.5722656</v>
      </c>
      <c r="H2010">
        <v>1341.0064697</v>
      </c>
      <c r="I2010">
        <v>1319.7674560999999</v>
      </c>
      <c r="J2010">
        <v>1314.5207519999999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1280.0000010000001</v>
      </c>
      <c r="B2011" s="1">
        <f>DATE(2013,11,1) + TIME(0,0,0)</f>
        <v>41579</v>
      </c>
      <c r="C2011">
        <v>80</v>
      </c>
      <c r="D2011">
        <v>79.970184325999995</v>
      </c>
      <c r="E2011">
        <v>50</v>
      </c>
      <c r="F2011">
        <v>56.051349639999998</v>
      </c>
      <c r="G2011">
        <v>1340.1931152</v>
      </c>
      <c r="H2011">
        <v>1337.9569091999999</v>
      </c>
      <c r="I2011">
        <v>1326.0455322</v>
      </c>
      <c r="J2011">
        <v>1320.8875731999999</v>
      </c>
      <c r="K2011">
        <v>0</v>
      </c>
      <c r="L2011">
        <v>2750</v>
      </c>
      <c r="M2011">
        <v>2750</v>
      </c>
      <c r="N2011">
        <v>0</v>
      </c>
    </row>
    <row r="2012" spans="1:14" x14ac:dyDescent="0.25">
      <c r="A2012">
        <v>1280.000004</v>
      </c>
      <c r="B2012" s="1">
        <f>DATE(2013,11,1) + TIME(0,0,0)</f>
        <v>41579</v>
      </c>
      <c r="C2012">
        <v>80</v>
      </c>
      <c r="D2012">
        <v>79.969985961999996</v>
      </c>
      <c r="E2012">
        <v>50</v>
      </c>
      <c r="F2012">
        <v>56.051589966000002</v>
      </c>
      <c r="G2012">
        <v>1338.8024902</v>
      </c>
      <c r="H2012">
        <v>1336.5662841999999</v>
      </c>
      <c r="I2012">
        <v>1327.9122314000001</v>
      </c>
      <c r="J2012">
        <v>1322.9737548999999</v>
      </c>
      <c r="K2012">
        <v>0</v>
      </c>
      <c r="L2012">
        <v>2750</v>
      </c>
      <c r="M2012">
        <v>2750</v>
      </c>
      <c r="N2012">
        <v>0</v>
      </c>
    </row>
    <row r="2013" spans="1:14" x14ac:dyDescent="0.25">
      <c r="A2013">
        <v>1280.0000130000001</v>
      </c>
      <c r="B2013" s="1">
        <f>DATE(2013,11,1) + TIME(0,0,1)</f>
        <v>41579.000011574077</v>
      </c>
      <c r="C2013">
        <v>80</v>
      </c>
      <c r="D2013">
        <v>79.969741821</v>
      </c>
      <c r="E2013">
        <v>50</v>
      </c>
      <c r="F2013">
        <v>56.051860808999997</v>
      </c>
      <c r="G2013">
        <v>1337.1008300999999</v>
      </c>
      <c r="H2013">
        <v>1334.8642577999999</v>
      </c>
      <c r="I2013">
        <v>1330.6634521000001</v>
      </c>
      <c r="J2013">
        <v>1325.7784423999999</v>
      </c>
      <c r="K2013">
        <v>0</v>
      </c>
      <c r="L2013">
        <v>2750</v>
      </c>
      <c r="M2013">
        <v>2750</v>
      </c>
      <c r="N2013">
        <v>0</v>
      </c>
    </row>
    <row r="2014" spans="1:14" x14ac:dyDescent="0.25">
      <c r="A2014">
        <v>1280.0000399999999</v>
      </c>
      <c r="B2014" s="1">
        <f>DATE(2013,11,1) + TIME(0,0,3)</f>
        <v>41579.000034722223</v>
      </c>
      <c r="C2014">
        <v>80</v>
      </c>
      <c r="D2014">
        <v>79.969490050999994</v>
      </c>
      <c r="E2014">
        <v>50</v>
      </c>
      <c r="F2014">
        <v>56.051975249999998</v>
      </c>
      <c r="G2014">
        <v>1335.3819579999999</v>
      </c>
      <c r="H2014">
        <v>1333.1387939000001</v>
      </c>
      <c r="I2014">
        <v>1333.7541504000001</v>
      </c>
      <c r="J2014">
        <v>1328.8128661999999</v>
      </c>
      <c r="K2014">
        <v>0</v>
      </c>
      <c r="L2014">
        <v>2750</v>
      </c>
      <c r="M2014">
        <v>2750</v>
      </c>
      <c r="N2014">
        <v>0</v>
      </c>
    </row>
    <row r="2015" spans="1:14" x14ac:dyDescent="0.25">
      <c r="A2015">
        <v>1280.000121</v>
      </c>
      <c r="B2015" s="1">
        <f>DATE(2013,11,1) + TIME(0,0,10)</f>
        <v>41579.000115740739</v>
      </c>
      <c r="C2015">
        <v>80</v>
      </c>
      <c r="D2015">
        <v>79.969238281000003</v>
      </c>
      <c r="E2015">
        <v>50</v>
      </c>
      <c r="F2015">
        <v>56.051517486999998</v>
      </c>
      <c r="G2015">
        <v>1333.6661377</v>
      </c>
      <c r="H2015">
        <v>1331.3916016000001</v>
      </c>
      <c r="I2015">
        <v>1336.8658447</v>
      </c>
      <c r="J2015">
        <v>1331.8620605000001</v>
      </c>
      <c r="K2015">
        <v>0</v>
      </c>
      <c r="L2015">
        <v>2750</v>
      </c>
      <c r="M2015">
        <v>2750</v>
      </c>
      <c r="N2015">
        <v>0</v>
      </c>
    </row>
    <row r="2016" spans="1:14" x14ac:dyDescent="0.25">
      <c r="A2016">
        <v>1280.000364</v>
      </c>
      <c r="B2016" s="1">
        <f>DATE(2013,11,1) + TIME(0,0,31)</f>
        <v>41579.000358796293</v>
      </c>
      <c r="C2016">
        <v>80</v>
      </c>
      <c r="D2016">
        <v>79.968948363999999</v>
      </c>
      <c r="E2016">
        <v>50</v>
      </c>
      <c r="F2016">
        <v>56.049324036000002</v>
      </c>
      <c r="G2016">
        <v>1331.8635254000001</v>
      </c>
      <c r="H2016">
        <v>1329.5123291</v>
      </c>
      <c r="I2016">
        <v>1339.9827881000001</v>
      </c>
      <c r="J2016">
        <v>1334.9035644999999</v>
      </c>
      <c r="K2016">
        <v>0</v>
      </c>
      <c r="L2016">
        <v>2750</v>
      </c>
      <c r="M2016">
        <v>2750</v>
      </c>
      <c r="N2016">
        <v>0</v>
      </c>
    </row>
    <row r="2017" spans="1:14" x14ac:dyDescent="0.25">
      <c r="A2017">
        <v>1280.0010930000001</v>
      </c>
      <c r="B2017" s="1">
        <f>DATE(2013,11,1) + TIME(0,1,34)</f>
        <v>41579.001087962963</v>
      </c>
      <c r="C2017">
        <v>80</v>
      </c>
      <c r="D2017">
        <v>79.968559264999996</v>
      </c>
      <c r="E2017">
        <v>50</v>
      </c>
      <c r="F2017">
        <v>56.041793822999999</v>
      </c>
      <c r="G2017">
        <v>1329.9498291</v>
      </c>
      <c r="H2017">
        <v>1327.4923096</v>
      </c>
      <c r="I2017">
        <v>1343.0385742000001</v>
      </c>
      <c r="J2017">
        <v>1337.8569336</v>
      </c>
      <c r="K2017">
        <v>0</v>
      </c>
      <c r="L2017">
        <v>2750</v>
      </c>
      <c r="M2017">
        <v>2750</v>
      </c>
      <c r="N2017">
        <v>0</v>
      </c>
    </row>
    <row r="2018" spans="1:14" x14ac:dyDescent="0.25">
      <c r="A2018">
        <v>1280.0032799999999</v>
      </c>
      <c r="B2018" s="1">
        <f>DATE(2013,11,1) + TIME(0,4,43)</f>
        <v>41579.003275462965</v>
      </c>
      <c r="C2018">
        <v>80</v>
      </c>
      <c r="D2018">
        <v>79.967971801999994</v>
      </c>
      <c r="E2018">
        <v>50</v>
      </c>
      <c r="F2018">
        <v>56.018020630000002</v>
      </c>
      <c r="G2018">
        <v>1328.2103271000001</v>
      </c>
      <c r="H2018">
        <v>1325.6713867000001</v>
      </c>
      <c r="I2018">
        <v>1345.6367187999999</v>
      </c>
      <c r="J2018">
        <v>1340.3530272999999</v>
      </c>
      <c r="K2018">
        <v>0</v>
      </c>
      <c r="L2018">
        <v>2750</v>
      </c>
      <c r="M2018">
        <v>2750</v>
      </c>
      <c r="N2018">
        <v>0</v>
      </c>
    </row>
    <row r="2019" spans="1:14" x14ac:dyDescent="0.25">
      <c r="A2019">
        <v>1280.0098410000001</v>
      </c>
      <c r="B2019" s="1">
        <f>DATE(2013,11,1) + TIME(0,14,10)</f>
        <v>41579.009837962964</v>
      </c>
      <c r="C2019">
        <v>80</v>
      </c>
      <c r="D2019">
        <v>79.966773986999996</v>
      </c>
      <c r="E2019">
        <v>50</v>
      </c>
      <c r="F2019">
        <v>55.946098327999998</v>
      </c>
      <c r="G2019">
        <v>1327.1274414</v>
      </c>
      <c r="H2019">
        <v>1324.5548096</v>
      </c>
      <c r="I2019">
        <v>1347.1859131000001</v>
      </c>
      <c r="J2019">
        <v>1341.8446045000001</v>
      </c>
      <c r="K2019">
        <v>0</v>
      </c>
      <c r="L2019">
        <v>2750</v>
      </c>
      <c r="M2019">
        <v>2750</v>
      </c>
      <c r="N2019">
        <v>0</v>
      </c>
    </row>
    <row r="2020" spans="1:14" x14ac:dyDescent="0.25">
      <c r="A2020">
        <v>1280.029524</v>
      </c>
      <c r="B2020" s="1">
        <f>DATE(2013,11,1) + TIME(0,42,30)</f>
        <v>41579.029513888891</v>
      </c>
      <c r="C2020">
        <v>80</v>
      </c>
      <c r="D2020">
        <v>79.963653563999998</v>
      </c>
      <c r="E2020">
        <v>50</v>
      </c>
      <c r="F2020">
        <v>55.737579345999997</v>
      </c>
      <c r="G2020">
        <v>1326.7764893000001</v>
      </c>
      <c r="H2020">
        <v>1324.1960449000001</v>
      </c>
      <c r="I2020">
        <v>1347.6470947</v>
      </c>
      <c r="J2020">
        <v>1342.293457</v>
      </c>
      <c r="K2020">
        <v>0</v>
      </c>
      <c r="L2020">
        <v>2750</v>
      </c>
      <c r="M2020">
        <v>2750</v>
      </c>
      <c r="N2020">
        <v>0</v>
      </c>
    </row>
    <row r="2021" spans="1:14" x14ac:dyDescent="0.25">
      <c r="A2021">
        <v>1280.0700139999999</v>
      </c>
      <c r="B2021" s="1">
        <f>DATE(2013,11,1) + TIME(1,40,49)</f>
        <v>41579.070011574076</v>
      </c>
      <c r="C2021">
        <v>80</v>
      </c>
      <c r="D2021">
        <v>79.957527161000002</v>
      </c>
      <c r="E2021">
        <v>50</v>
      </c>
      <c r="F2021">
        <v>55.341171265</v>
      </c>
      <c r="G2021">
        <v>1326.7302245999999</v>
      </c>
      <c r="H2021">
        <v>1324.1488036999999</v>
      </c>
      <c r="I2021">
        <v>1347.6550293</v>
      </c>
      <c r="J2021">
        <v>1342.3087158000001</v>
      </c>
      <c r="K2021">
        <v>0</v>
      </c>
      <c r="L2021">
        <v>2750</v>
      </c>
      <c r="M2021">
        <v>2750</v>
      </c>
      <c r="N2021">
        <v>0</v>
      </c>
    </row>
    <row r="2022" spans="1:14" x14ac:dyDescent="0.25">
      <c r="A2022">
        <v>1280.1116549999999</v>
      </c>
      <c r="B2022" s="1">
        <f>DATE(2013,11,1) + TIME(2,40,47)</f>
        <v>41579.111655092594</v>
      </c>
      <c r="C2022">
        <v>80</v>
      </c>
      <c r="D2022">
        <v>79.951324463000006</v>
      </c>
      <c r="E2022">
        <v>50</v>
      </c>
      <c r="F2022">
        <v>54.965030669999997</v>
      </c>
      <c r="G2022">
        <v>1326.7263184000001</v>
      </c>
      <c r="H2022">
        <v>1324.1446533000001</v>
      </c>
      <c r="I2022">
        <v>1347.6115723</v>
      </c>
      <c r="J2022">
        <v>1342.2735596</v>
      </c>
      <c r="K2022">
        <v>0</v>
      </c>
      <c r="L2022">
        <v>2750</v>
      </c>
      <c r="M2022">
        <v>2750</v>
      </c>
      <c r="N2022">
        <v>0</v>
      </c>
    </row>
    <row r="2023" spans="1:14" x14ac:dyDescent="0.25">
      <c r="A2023">
        <v>1280.154585</v>
      </c>
      <c r="B2023" s="1">
        <f>DATE(2013,11,1) + TIME(3,42,36)</f>
        <v>41579.154583333337</v>
      </c>
      <c r="C2023">
        <v>80</v>
      </c>
      <c r="D2023">
        <v>79.945030212000006</v>
      </c>
      <c r="E2023">
        <v>50</v>
      </c>
      <c r="F2023">
        <v>54.607761383000003</v>
      </c>
      <c r="G2023">
        <v>1326.7250977000001</v>
      </c>
      <c r="H2023">
        <v>1324.1433105000001</v>
      </c>
      <c r="I2023">
        <v>1347.5662841999999</v>
      </c>
      <c r="J2023">
        <v>1342.2366943</v>
      </c>
      <c r="K2023">
        <v>0</v>
      </c>
      <c r="L2023">
        <v>2750</v>
      </c>
      <c r="M2023">
        <v>2750</v>
      </c>
      <c r="N2023">
        <v>0</v>
      </c>
    </row>
    <row r="2024" spans="1:14" x14ac:dyDescent="0.25">
      <c r="A2024">
        <v>1280.198905</v>
      </c>
      <c r="B2024" s="1">
        <f>DATE(2013,11,1) + TIME(4,46,25)</f>
        <v>41579.198900462965</v>
      </c>
      <c r="C2024">
        <v>80</v>
      </c>
      <c r="D2024">
        <v>79.938629149999997</v>
      </c>
      <c r="E2024">
        <v>50</v>
      </c>
      <c r="F2024">
        <v>54.268444060999997</v>
      </c>
      <c r="G2024">
        <v>1326.7241211</v>
      </c>
      <c r="H2024">
        <v>1324.1422118999999</v>
      </c>
      <c r="I2024">
        <v>1347.5224608999999</v>
      </c>
      <c r="J2024">
        <v>1342.2011719</v>
      </c>
      <c r="K2024">
        <v>0</v>
      </c>
      <c r="L2024">
        <v>2750</v>
      </c>
      <c r="M2024">
        <v>2750</v>
      </c>
      <c r="N2024">
        <v>0</v>
      </c>
    </row>
    <row r="2025" spans="1:14" x14ac:dyDescent="0.25">
      <c r="A2025">
        <v>1280.2447380000001</v>
      </c>
      <c r="B2025" s="1">
        <f>DATE(2013,11,1) + TIME(5,52,25)</f>
        <v>41579.244733796295</v>
      </c>
      <c r="C2025">
        <v>80</v>
      </c>
      <c r="D2025">
        <v>79.932113646999994</v>
      </c>
      <c r="E2025">
        <v>50</v>
      </c>
      <c r="F2025">
        <v>53.946182251000003</v>
      </c>
      <c r="G2025">
        <v>1326.7231445</v>
      </c>
      <c r="H2025">
        <v>1324.1409911999999</v>
      </c>
      <c r="I2025">
        <v>1347.4802245999999</v>
      </c>
      <c r="J2025">
        <v>1342.1671143000001</v>
      </c>
      <c r="K2025">
        <v>0</v>
      </c>
      <c r="L2025">
        <v>2750</v>
      </c>
      <c r="M2025">
        <v>2750</v>
      </c>
      <c r="N2025">
        <v>0</v>
      </c>
    </row>
    <row r="2026" spans="1:14" x14ac:dyDescent="0.25">
      <c r="A2026">
        <v>1280.2922450000001</v>
      </c>
      <c r="B2026" s="1">
        <f>DATE(2013,11,1) + TIME(7,0,49)</f>
        <v>41579.292233796295</v>
      </c>
      <c r="C2026">
        <v>80</v>
      </c>
      <c r="D2026">
        <v>79.925453185999999</v>
      </c>
      <c r="E2026">
        <v>50</v>
      </c>
      <c r="F2026">
        <v>53.640010834000002</v>
      </c>
      <c r="G2026">
        <v>1326.7220459</v>
      </c>
      <c r="H2026">
        <v>1324.1397704999999</v>
      </c>
      <c r="I2026">
        <v>1347.4395752</v>
      </c>
      <c r="J2026">
        <v>1342.1343993999999</v>
      </c>
      <c r="K2026">
        <v>0</v>
      </c>
      <c r="L2026">
        <v>2750</v>
      </c>
      <c r="M2026">
        <v>2750</v>
      </c>
      <c r="N2026">
        <v>0</v>
      </c>
    </row>
    <row r="2027" spans="1:14" x14ac:dyDescent="0.25">
      <c r="A2027">
        <v>1280.34159</v>
      </c>
      <c r="B2027" s="1">
        <f>DATE(2013,11,1) + TIME(8,11,53)</f>
        <v>41579.341585648152</v>
      </c>
      <c r="C2027">
        <v>80</v>
      </c>
      <c r="D2027">
        <v>79.918647766000007</v>
      </c>
      <c r="E2027">
        <v>50</v>
      </c>
      <c r="F2027">
        <v>53.349178314</v>
      </c>
      <c r="G2027">
        <v>1326.7209473</v>
      </c>
      <c r="H2027">
        <v>1324.1385498</v>
      </c>
      <c r="I2027">
        <v>1347.4002685999999</v>
      </c>
      <c r="J2027">
        <v>1342.1031493999999</v>
      </c>
      <c r="K2027">
        <v>0</v>
      </c>
      <c r="L2027">
        <v>2750</v>
      </c>
      <c r="M2027">
        <v>2750</v>
      </c>
      <c r="N2027">
        <v>0</v>
      </c>
    </row>
    <row r="2028" spans="1:14" x14ac:dyDescent="0.25">
      <c r="A2028">
        <v>1280.392955</v>
      </c>
      <c r="B2028" s="1">
        <f>DATE(2013,11,1) + TIME(9,25,51)</f>
        <v>41579.392951388887</v>
      </c>
      <c r="C2028">
        <v>80</v>
      </c>
      <c r="D2028">
        <v>79.911674500000004</v>
      </c>
      <c r="E2028">
        <v>50</v>
      </c>
      <c r="F2028">
        <v>53.072998046999999</v>
      </c>
      <c r="G2028">
        <v>1326.7198486</v>
      </c>
      <c r="H2028">
        <v>1324.137207</v>
      </c>
      <c r="I2028">
        <v>1347.3624268000001</v>
      </c>
      <c r="J2028">
        <v>1342.0731201000001</v>
      </c>
      <c r="K2028">
        <v>0</v>
      </c>
      <c r="L2028">
        <v>2750</v>
      </c>
      <c r="M2028">
        <v>2750</v>
      </c>
      <c r="N2028">
        <v>0</v>
      </c>
    </row>
    <row r="2029" spans="1:14" x14ac:dyDescent="0.25">
      <c r="A2029">
        <v>1280.446547</v>
      </c>
      <c r="B2029" s="1">
        <f>DATE(2013,11,1) + TIME(10,43,1)</f>
        <v>41579.446539351855</v>
      </c>
      <c r="C2029">
        <v>80</v>
      </c>
      <c r="D2029">
        <v>79.904510497999993</v>
      </c>
      <c r="E2029">
        <v>50</v>
      </c>
      <c r="F2029">
        <v>52.810871124000002</v>
      </c>
      <c r="G2029">
        <v>1326.71875</v>
      </c>
      <c r="H2029">
        <v>1324.1358643000001</v>
      </c>
      <c r="I2029">
        <v>1347.3258057</v>
      </c>
      <c r="J2029">
        <v>1342.0443115</v>
      </c>
      <c r="K2029">
        <v>0</v>
      </c>
      <c r="L2029">
        <v>2750</v>
      </c>
      <c r="M2029">
        <v>2750</v>
      </c>
      <c r="N2029">
        <v>0</v>
      </c>
    </row>
    <row r="2030" spans="1:14" x14ac:dyDescent="0.25">
      <c r="A2030">
        <v>1280.5025949999999</v>
      </c>
      <c r="B2030" s="1">
        <f>DATE(2013,11,1) + TIME(12,3,44)</f>
        <v>41579.502592592595</v>
      </c>
      <c r="C2030">
        <v>80</v>
      </c>
      <c r="D2030">
        <v>79.897132873999993</v>
      </c>
      <c r="E2030">
        <v>50</v>
      </c>
      <c r="F2030">
        <v>52.562274932999998</v>
      </c>
      <c r="G2030">
        <v>1326.7174072</v>
      </c>
      <c r="H2030">
        <v>1324.1343993999999</v>
      </c>
      <c r="I2030">
        <v>1347.2904053</v>
      </c>
      <c r="J2030">
        <v>1342.0167236</v>
      </c>
      <c r="K2030">
        <v>0</v>
      </c>
      <c r="L2030">
        <v>2750</v>
      </c>
      <c r="M2030">
        <v>2750</v>
      </c>
      <c r="N2030">
        <v>0</v>
      </c>
    </row>
    <row r="2031" spans="1:14" x14ac:dyDescent="0.25">
      <c r="A2031">
        <v>1280.5613820000001</v>
      </c>
      <c r="B2031" s="1">
        <f>DATE(2013,11,1) + TIME(13,28,23)</f>
        <v>41579.561377314814</v>
      </c>
      <c r="C2031">
        <v>80</v>
      </c>
      <c r="D2031">
        <v>79.889518738000007</v>
      </c>
      <c r="E2031">
        <v>50</v>
      </c>
      <c r="F2031">
        <v>52.326675414999997</v>
      </c>
      <c r="G2031">
        <v>1326.7161865</v>
      </c>
      <c r="H2031">
        <v>1324.1328125</v>
      </c>
      <c r="I2031">
        <v>1347.2563477000001</v>
      </c>
      <c r="J2031">
        <v>1341.9901123</v>
      </c>
      <c r="K2031">
        <v>0</v>
      </c>
      <c r="L2031">
        <v>2750</v>
      </c>
      <c r="M2031">
        <v>2750</v>
      </c>
      <c r="N2031">
        <v>0</v>
      </c>
    </row>
    <row r="2032" spans="1:14" x14ac:dyDescent="0.25">
      <c r="A2032">
        <v>1280.6232230000001</v>
      </c>
      <c r="B2032" s="1">
        <f>DATE(2013,11,1) + TIME(14,57,26)</f>
        <v>41579.623217592591</v>
      </c>
      <c r="C2032">
        <v>80</v>
      </c>
      <c r="D2032">
        <v>79.881637573000006</v>
      </c>
      <c r="E2032">
        <v>50</v>
      </c>
      <c r="F2032">
        <v>52.103630066000001</v>
      </c>
      <c r="G2032">
        <v>1326.7148437999999</v>
      </c>
      <c r="H2032">
        <v>1324.1312256000001</v>
      </c>
      <c r="I2032">
        <v>1347.2232666</v>
      </c>
      <c r="J2032">
        <v>1341.9647216999999</v>
      </c>
      <c r="K2032">
        <v>0</v>
      </c>
      <c r="L2032">
        <v>2750</v>
      </c>
      <c r="M2032">
        <v>2750</v>
      </c>
      <c r="N2032">
        <v>0</v>
      </c>
    </row>
    <row r="2033" spans="1:14" x14ac:dyDescent="0.25">
      <c r="A2033">
        <v>1280.6884889999999</v>
      </c>
      <c r="B2033" s="1">
        <f>DATE(2013,11,1) + TIME(16,31,25)</f>
        <v>41579.688483796293</v>
      </c>
      <c r="C2033">
        <v>80</v>
      </c>
      <c r="D2033">
        <v>79.873458862000007</v>
      </c>
      <c r="E2033">
        <v>50</v>
      </c>
      <c r="F2033">
        <v>51.892749786000003</v>
      </c>
      <c r="G2033">
        <v>1326.7133789</v>
      </c>
      <c r="H2033">
        <v>1324.1295166</v>
      </c>
      <c r="I2033">
        <v>1347.1912841999999</v>
      </c>
      <c r="J2033">
        <v>1341.9403076000001</v>
      </c>
      <c r="K2033">
        <v>0</v>
      </c>
      <c r="L2033">
        <v>2750</v>
      </c>
      <c r="M2033">
        <v>2750</v>
      </c>
      <c r="N2033">
        <v>0</v>
      </c>
    </row>
    <row r="2034" spans="1:14" x14ac:dyDescent="0.25">
      <c r="A2034">
        <v>1280.7576140000001</v>
      </c>
      <c r="B2034" s="1">
        <f>DATE(2013,11,1) + TIME(18,10,57)</f>
        <v>41579.757604166669</v>
      </c>
      <c r="C2034">
        <v>80</v>
      </c>
      <c r="D2034">
        <v>79.864936829000001</v>
      </c>
      <c r="E2034">
        <v>50</v>
      </c>
      <c r="F2034">
        <v>51.693691254000001</v>
      </c>
      <c r="G2034">
        <v>1326.7117920000001</v>
      </c>
      <c r="H2034">
        <v>1324.1276855000001</v>
      </c>
      <c r="I2034">
        <v>1347.1601562000001</v>
      </c>
      <c r="J2034">
        <v>1341.9167480000001</v>
      </c>
      <c r="K2034">
        <v>0</v>
      </c>
      <c r="L2034">
        <v>2750</v>
      </c>
      <c r="M2034">
        <v>2750</v>
      </c>
      <c r="N2034">
        <v>0</v>
      </c>
    </row>
    <row r="2035" spans="1:14" x14ac:dyDescent="0.25">
      <c r="A2035">
        <v>1280.831113</v>
      </c>
      <c r="B2035" s="1">
        <f>DATE(2013,11,1) + TIME(19,56,48)</f>
        <v>41579.831111111111</v>
      </c>
      <c r="C2035">
        <v>80</v>
      </c>
      <c r="D2035">
        <v>79.856025696000003</v>
      </c>
      <c r="E2035">
        <v>50</v>
      </c>
      <c r="F2035">
        <v>51.506164550999998</v>
      </c>
      <c r="G2035">
        <v>1326.7102050999999</v>
      </c>
      <c r="H2035">
        <v>1324.1257324000001</v>
      </c>
      <c r="I2035">
        <v>1347.1301269999999</v>
      </c>
      <c r="J2035">
        <v>1341.8941649999999</v>
      </c>
      <c r="K2035">
        <v>0</v>
      </c>
      <c r="L2035">
        <v>2750</v>
      </c>
      <c r="M2035">
        <v>2750</v>
      </c>
      <c r="N2035">
        <v>0</v>
      </c>
    </row>
    <row r="2036" spans="1:14" x14ac:dyDescent="0.25">
      <c r="A2036">
        <v>1280.909609</v>
      </c>
      <c r="B2036" s="1">
        <f>DATE(2013,11,1) + TIME(21,49,50)</f>
        <v>41579.90960648148</v>
      </c>
      <c r="C2036">
        <v>80</v>
      </c>
      <c r="D2036">
        <v>79.846679687999995</v>
      </c>
      <c r="E2036">
        <v>50</v>
      </c>
      <c r="F2036">
        <v>51.329906463999997</v>
      </c>
      <c r="G2036">
        <v>1326.7084961</v>
      </c>
      <c r="H2036">
        <v>1324.1235352000001</v>
      </c>
      <c r="I2036">
        <v>1347.1008300999999</v>
      </c>
      <c r="J2036">
        <v>1341.8725586</v>
      </c>
      <c r="K2036">
        <v>0</v>
      </c>
      <c r="L2036">
        <v>2750</v>
      </c>
      <c r="M2036">
        <v>2750</v>
      </c>
      <c r="N2036">
        <v>0</v>
      </c>
    </row>
    <row r="2037" spans="1:14" x14ac:dyDescent="0.25">
      <c r="A2037">
        <v>1280.9938520000001</v>
      </c>
      <c r="B2037" s="1">
        <f>DATE(2013,11,1) + TIME(23,51,8)</f>
        <v>41579.993842592594</v>
      </c>
      <c r="C2037">
        <v>80</v>
      </c>
      <c r="D2037">
        <v>79.836822510000005</v>
      </c>
      <c r="E2037">
        <v>50</v>
      </c>
      <c r="F2037">
        <v>51.164710999</v>
      </c>
      <c r="G2037">
        <v>1326.706543</v>
      </c>
      <c r="H2037">
        <v>1324.1212158000001</v>
      </c>
      <c r="I2037">
        <v>1347.0722656</v>
      </c>
      <c r="J2037">
        <v>1341.8515625</v>
      </c>
      <c r="K2037">
        <v>0</v>
      </c>
      <c r="L2037">
        <v>2750</v>
      </c>
      <c r="M2037">
        <v>2750</v>
      </c>
      <c r="N2037">
        <v>0</v>
      </c>
    </row>
    <row r="2038" spans="1:14" x14ac:dyDescent="0.25">
      <c r="A2038">
        <v>1281.0847719999999</v>
      </c>
      <c r="B2038" s="1">
        <f>DATE(2013,11,2) + TIME(2,2,4)</f>
        <v>41580.084768518522</v>
      </c>
      <c r="C2038">
        <v>80</v>
      </c>
      <c r="D2038">
        <v>79.826377868999998</v>
      </c>
      <c r="E2038">
        <v>50</v>
      </c>
      <c r="F2038">
        <v>51.010410309000001</v>
      </c>
      <c r="G2038">
        <v>1326.7045897999999</v>
      </c>
      <c r="H2038">
        <v>1324.1187743999999</v>
      </c>
      <c r="I2038">
        <v>1347.0444336</v>
      </c>
      <c r="J2038">
        <v>1341.831543</v>
      </c>
      <c r="K2038">
        <v>0</v>
      </c>
      <c r="L2038">
        <v>2750</v>
      </c>
      <c r="M2038">
        <v>2750</v>
      </c>
      <c r="N2038">
        <v>0</v>
      </c>
    </row>
    <row r="2039" spans="1:14" x14ac:dyDescent="0.25">
      <c r="A2039">
        <v>1281.183524</v>
      </c>
      <c r="B2039" s="1">
        <f>DATE(2013,11,2) + TIME(4,24,16)</f>
        <v>41580.183518518519</v>
      </c>
      <c r="C2039">
        <v>80</v>
      </c>
      <c r="D2039">
        <v>79.815254210999996</v>
      </c>
      <c r="E2039">
        <v>50</v>
      </c>
      <c r="F2039">
        <v>50.86687088</v>
      </c>
      <c r="G2039">
        <v>1326.7022704999999</v>
      </c>
      <c r="H2039">
        <v>1324.1160889</v>
      </c>
      <c r="I2039">
        <v>1347.0172118999999</v>
      </c>
      <c r="J2039">
        <v>1341.8120117000001</v>
      </c>
      <c r="K2039">
        <v>0</v>
      </c>
      <c r="L2039">
        <v>2750</v>
      </c>
      <c r="M2039">
        <v>2750</v>
      </c>
      <c r="N2039">
        <v>0</v>
      </c>
    </row>
    <row r="2040" spans="1:14" x14ac:dyDescent="0.25">
      <c r="A2040">
        <v>1281.2915640000001</v>
      </c>
      <c r="B2040" s="1">
        <f>DATE(2013,11,2) + TIME(6,59,51)</f>
        <v>41580.291562500002</v>
      </c>
      <c r="C2040">
        <v>80</v>
      </c>
      <c r="D2040">
        <v>79.803321838000002</v>
      </c>
      <c r="E2040">
        <v>50</v>
      </c>
      <c r="F2040">
        <v>50.734016418000003</v>
      </c>
      <c r="G2040">
        <v>1326.6998291</v>
      </c>
      <c r="H2040">
        <v>1324.1130370999999</v>
      </c>
      <c r="I2040">
        <v>1346.9904785000001</v>
      </c>
      <c r="J2040">
        <v>1341.7933350000001</v>
      </c>
      <c r="K2040">
        <v>0</v>
      </c>
      <c r="L2040">
        <v>2750</v>
      </c>
      <c r="M2040">
        <v>2750</v>
      </c>
      <c r="N2040">
        <v>0</v>
      </c>
    </row>
    <row r="2041" spans="1:14" x14ac:dyDescent="0.25">
      <c r="A2041">
        <v>1281.4107939999999</v>
      </c>
      <c r="B2041" s="1">
        <f>DATE(2013,11,2) + TIME(9,51,32)</f>
        <v>41580.410787037035</v>
      </c>
      <c r="C2041">
        <v>80</v>
      </c>
      <c r="D2041">
        <v>79.790428161999998</v>
      </c>
      <c r="E2041">
        <v>50</v>
      </c>
      <c r="F2041">
        <v>50.611797332999998</v>
      </c>
      <c r="G2041">
        <v>1326.6971435999999</v>
      </c>
      <c r="H2041">
        <v>1324.1096190999999</v>
      </c>
      <c r="I2041">
        <v>1346.9641113</v>
      </c>
      <c r="J2041">
        <v>1341.7751464999999</v>
      </c>
      <c r="K2041">
        <v>0</v>
      </c>
      <c r="L2041">
        <v>2750</v>
      </c>
      <c r="M2041">
        <v>2750</v>
      </c>
      <c r="N2041">
        <v>0</v>
      </c>
    </row>
    <row r="2042" spans="1:14" x14ac:dyDescent="0.25">
      <c r="A2042">
        <v>1281.543741</v>
      </c>
      <c r="B2042" s="1">
        <f>DATE(2013,11,2) + TIME(13,2,59)</f>
        <v>41580.543738425928</v>
      </c>
      <c r="C2042">
        <v>80</v>
      </c>
      <c r="D2042">
        <v>79.776374817000004</v>
      </c>
      <c r="E2042">
        <v>50</v>
      </c>
      <c r="F2042">
        <v>50.500190734999997</v>
      </c>
      <c r="G2042">
        <v>1326.6942139</v>
      </c>
      <c r="H2042">
        <v>1324.1058350000001</v>
      </c>
      <c r="I2042">
        <v>1346.9381103999999</v>
      </c>
      <c r="J2042">
        <v>1341.7575684000001</v>
      </c>
      <c r="K2042">
        <v>0</v>
      </c>
      <c r="L2042">
        <v>2750</v>
      </c>
      <c r="M2042">
        <v>2750</v>
      </c>
      <c r="N2042">
        <v>0</v>
      </c>
    </row>
    <row r="2043" spans="1:14" x14ac:dyDescent="0.25">
      <c r="A2043">
        <v>1281.693831</v>
      </c>
      <c r="B2043" s="1">
        <f>DATE(2013,11,2) + TIME(16,39,7)</f>
        <v>41580.693831018521</v>
      </c>
      <c r="C2043">
        <v>80</v>
      </c>
      <c r="D2043">
        <v>79.760887146000002</v>
      </c>
      <c r="E2043">
        <v>50</v>
      </c>
      <c r="F2043">
        <v>50.399234772</v>
      </c>
      <c r="G2043">
        <v>1326.6907959</v>
      </c>
      <c r="H2043">
        <v>1324.1015625</v>
      </c>
      <c r="I2043">
        <v>1346.9122314000001</v>
      </c>
      <c r="J2043">
        <v>1341.7403564000001</v>
      </c>
      <c r="K2043">
        <v>0</v>
      </c>
      <c r="L2043">
        <v>2750</v>
      </c>
      <c r="M2043">
        <v>2750</v>
      </c>
      <c r="N2043">
        <v>0</v>
      </c>
    </row>
    <row r="2044" spans="1:14" x14ac:dyDescent="0.25">
      <c r="A2044">
        <v>1281.859455</v>
      </c>
      <c r="B2044" s="1">
        <f>DATE(2013,11,2) + TIME(20,37,36)</f>
        <v>41580.859444444446</v>
      </c>
      <c r="C2044">
        <v>80</v>
      </c>
      <c r="D2044">
        <v>79.744140625</v>
      </c>
      <c r="E2044">
        <v>50</v>
      </c>
      <c r="F2044">
        <v>50.311656952</v>
      </c>
      <c r="G2044">
        <v>1326.6868896000001</v>
      </c>
      <c r="H2044">
        <v>1324.0966797000001</v>
      </c>
      <c r="I2044">
        <v>1346.887207</v>
      </c>
      <c r="J2044">
        <v>1341.7242432</v>
      </c>
      <c r="K2044">
        <v>0</v>
      </c>
      <c r="L2044">
        <v>2750</v>
      </c>
      <c r="M2044">
        <v>2750</v>
      </c>
      <c r="N2044">
        <v>0</v>
      </c>
    </row>
    <row r="2045" spans="1:14" x14ac:dyDescent="0.25">
      <c r="A2045">
        <v>1282.026016</v>
      </c>
      <c r="B2045" s="1">
        <f>DATE(2013,11,3) + TIME(0,37,27)</f>
        <v>41581.026006944441</v>
      </c>
      <c r="C2045">
        <v>80</v>
      </c>
      <c r="D2045">
        <v>79.727348328000005</v>
      </c>
      <c r="E2045">
        <v>50</v>
      </c>
      <c r="F2045">
        <v>50.242420197000001</v>
      </c>
      <c r="G2045">
        <v>1326.6824951000001</v>
      </c>
      <c r="H2045">
        <v>1324.0911865</v>
      </c>
      <c r="I2045">
        <v>1346.8647461</v>
      </c>
      <c r="J2045">
        <v>1341.7102050999999</v>
      </c>
      <c r="K2045">
        <v>0</v>
      </c>
      <c r="L2045">
        <v>2750</v>
      </c>
      <c r="M2045">
        <v>2750</v>
      </c>
      <c r="N2045">
        <v>0</v>
      </c>
    </row>
    <row r="2046" spans="1:14" x14ac:dyDescent="0.25">
      <c r="A2046">
        <v>1282.1957829999999</v>
      </c>
      <c r="B2046" s="1">
        <f>DATE(2013,11,3) + TIME(4,41,55)</f>
        <v>41581.195775462962</v>
      </c>
      <c r="C2046">
        <v>80</v>
      </c>
      <c r="D2046">
        <v>79.710327148000005</v>
      </c>
      <c r="E2046">
        <v>50</v>
      </c>
      <c r="F2046">
        <v>50.187114716000004</v>
      </c>
      <c r="G2046">
        <v>1326.6779785000001</v>
      </c>
      <c r="H2046">
        <v>1324.0854492000001</v>
      </c>
      <c r="I2046">
        <v>1346.8441161999999</v>
      </c>
      <c r="J2046">
        <v>1341.6976318</v>
      </c>
      <c r="K2046">
        <v>0</v>
      </c>
      <c r="L2046">
        <v>2750</v>
      </c>
      <c r="M2046">
        <v>2750</v>
      </c>
      <c r="N2046">
        <v>0</v>
      </c>
    </row>
    <row r="2047" spans="1:14" x14ac:dyDescent="0.25">
      <c r="A2047">
        <v>1282.3691369999999</v>
      </c>
      <c r="B2047" s="1">
        <f>DATE(2013,11,3) + TIME(8,51,33)</f>
        <v>41581.369131944448</v>
      </c>
      <c r="C2047">
        <v>80</v>
      </c>
      <c r="D2047">
        <v>79.693069457999997</v>
      </c>
      <c r="E2047">
        <v>50</v>
      </c>
      <c r="F2047">
        <v>50.143013000000003</v>
      </c>
      <c r="G2047">
        <v>1326.6733397999999</v>
      </c>
      <c r="H2047">
        <v>1324.0793457</v>
      </c>
      <c r="I2047">
        <v>1346.8249512</v>
      </c>
      <c r="J2047">
        <v>1341.6861572</v>
      </c>
      <c r="K2047">
        <v>0</v>
      </c>
      <c r="L2047">
        <v>2750</v>
      </c>
      <c r="M2047">
        <v>2750</v>
      </c>
      <c r="N2047">
        <v>0</v>
      </c>
    </row>
    <row r="2048" spans="1:14" x14ac:dyDescent="0.25">
      <c r="A2048">
        <v>1282.546848</v>
      </c>
      <c r="B2048" s="1">
        <f>DATE(2013,11,3) + TIME(13,7,27)</f>
        <v>41581.546840277777</v>
      </c>
      <c r="C2048">
        <v>80</v>
      </c>
      <c r="D2048">
        <v>79.675498962000006</v>
      </c>
      <c r="E2048">
        <v>50</v>
      </c>
      <c r="F2048">
        <v>50.107860565000003</v>
      </c>
      <c r="G2048">
        <v>1326.668457</v>
      </c>
      <c r="H2048">
        <v>1324.0731201000001</v>
      </c>
      <c r="I2048">
        <v>1346.8070068</v>
      </c>
      <c r="J2048">
        <v>1341.6756591999999</v>
      </c>
      <c r="K2048">
        <v>0</v>
      </c>
      <c r="L2048">
        <v>2750</v>
      </c>
      <c r="M2048">
        <v>2750</v>
      </c>
      <c r="N2048">
        <v>0</v>
      </c>
    </row>
    <row r="2049" spans="1:14" x14ac:dyDescent="0.25">
      <c r="A2049">
        <v>1282.729967</v>
      </c>
      <c r="B2049" s="1">
        <f>DATE(2013,11,3) + TIME(17,31,9)</f>
        <v>41581.72996527778</v>
      </c>
      <c r="C2049">
        <v>80</v>
      </c>
      <c r="D2049">
        <v>79.657554626000007</v>
      </c>
      <c r="E2049">
        <v>50</v>
      </c>
      <c r="F2049">
        <v>50.079864502</v>
      </c>
      <c r="G2049">
        <v>1326.6633300999999</v>
      </c>
      <c r="H2049">
        <v>1324.0665283000001</v>
      </c>
      <c r="I2049">
        <v>1346.7901611</v>
      </c>
      <c r="J2049">
        <v>1341.6658935999999</v>
      </c>
      <c r="K2049">
        <v>0</v>
      </c>
      <c r="L2049">
        <v>2750</v>
      </c>
      <c r="M2049">
        <v>2750</v>
      </c>
      <c r="N2049">
        <v>0</v>
      </c>
    </row>
    <row r="2050" spans="1:14" x14ac:dyDescent="0.25">
      <c r="A2050">
        <v>1282.919592</v>
      </c>
      <c r="B2050" s="1">
        <f>DATE(2013,11,3) + TIME(22,4,12)</f>
        <v>41581.919583333336</v>
      </c>
      <c r="C2050">
        <v>80</v>
      </c>
      <c r="D2050">
        <v>79.639137267999999</v>
      </c>
      <c r="E2050">
        <v>50</v>
      </c>
      <c r="F2050">
        <v>50.057613373000002</v>
      </c>
      <c r="G2050">
        <v>1326.6579589999999</v>
      </c>
      <c r="H2050">
        <v>1324.0595702999999</v>
      </c>
      <c r="I2050">
        <v>1346.7740478999999</v>
      </c>
      <c r="J2050">
        <v>1341.6567382999999</v>
      </c>
      <c r="K2050">
        <v>0</v>
      </c>
      <c r="L2050">
        <v>2750</v>
      </c>
      <c r="M2050">
        <v>2750</v>
      </c>
      <c r="N2050">
        <v>0</v>
      </c>
    </row>
    <row r="2051" spans="1:14" x14ac:dyDescent="0.25">
      <c r="A2051">
        <v>1283.116931</v>
      </c>
      <c r="B2051" s="1">
        <f>DATE(2013,11,4) + TIME(2,48,22)</f>
        <v>41582.1169212963</v>
      </c>
      <c r="C2051">
        <v>80</v>
      </c>
      <c r="D2051">
        <v>79.620170592999997</v>
      </c>
      <c r="E2051">
        <v>50</v>
      </c>
      <c r="F2051">
        <v>50.039989470999998</v>
      </c>
      <c r="G2051">
        <v>1326.6523437999999</v>
      </c>
      <c r="H2051">
        <v>1324.052124</v>
      </c>
      <c r="I2051">
        <v>1346.7585449000001</v>
      </c>
      <c r="J2051">
        <v>1341.6479492000001</v>
      </c>
      <c r="K2051">
        <v>0</v>
      </c>
      <c r="L2051">
        <v>2750</v>
      </c>
      <c r="M2051">
        <v>2750</v>
      </c>
      <c r="N2051">
        <v>0</v>
      </c>
    </row>
    <row r="2052" spans="1:14" x14ac:dyDescent="0.25">
      <c r="A2052">
        <v>1283.3233439999999</v>
      </c>
      <c r="B2052" s="1">
        <f>DATE(2013,11,4) + TIME(7,45,36)</f>
        <v>41582.323333333334</v>
      </c>
      <c r="C2052">
        <v>80</v>
      </c>
      <c r="D2052">
        <v>79.600547790999997</v>
      </c>
      <c r="E2052">
        <v>50</v>
      </c>
      <c r="F2052">
        <v>50.026092529000003</v>
      </c>
      <c r="G2052">
        <v>1326.6463623</v>
      </c>
      <c r="H2052">
        <v>1324.0441894999999</v>
      </c>
      <c r="I2052">
        <v>1346.7436522999999</v>
      </c>
      <c r="J2052">
        <v>1341.6396483999999</v>
      </c>
      <c r="K2052">
        <v>0</v>
      </c>
      <c r="L2052">
        <v>2750</v>
      </c>
      <c r="M2052">
        <v>2750</v>
      </c>
      <c r="N2052">
        <v>0</v>
      </c>
    </row>
    <row r="2053" spans="1:14" x14ac:dyDescent="0.25">
      <c r="A2053">
        <v>1283.540401</v>
      </c>
      <c r="B2053" s="1">
        <f>DATE(2013,11,4) + TIME(12,58,10)</f>
        <v>41582.540393518517</v>
      </c>
      <c r="C2053">
        <v>80</v>
      </c>
      <c r="D2053">
        <v>79.580146790000001</v>
      </c>
      <c r="E2053">
        <v>50</v>
      </c>
      <c r="F2053">
        <v>50.015201568999998</v>
      </c>
      <c r="G2053">
        <v>1326.6400146000001</v>
      </c>
      <c r="H2053">
        <v>1324.0357666</v>
      </c>
      <c r="I2053">
        <v>1346.7290039</v>
      </c>
      <c r="J2053">
        <v>1341.6317139</v>
      </c>
      <c r="K2053">
        <v>0</v>
      </c>
      <c r="L2053">
        <v>2750</v>
      </c>
      <c r="M2053">
        <v>2750</v>
      </c>
      <c r="N2053">
        <v>0</v>
      </c>
    </row>
    <row r="2054" spans="1:14" x14ac:dyDescent="0.25">
      <c r="A2054">
        <v>1283.769947</v>
      </c>
      <c r="B2054" s="1">
        <f>DATE(2013,11,4) + TIME(18,28,43)</f>
        <v>41582.769942129627</v>
      </c>
      <c r="C2054">
        <v>80</v>
      </c>
      <c r="D2054">
        <v>79.558837890999996</v>
      </c>
      <c r="E2054">
        <v>50</v>
      </c>
      <c r="F2054">
        <v>50.006729126000003</v>
      </c>
      <c r="G2054">
        <v>1326.6331786999999</v>
      </c>
      <c r="H2054">
        <v>1324.0267334</v>
      </c>
      <c r="I2054">
        <v>1346.7147216999999</v>
      </c>
      <c r="J2054">
        <v>1341.6239014</v>
      </c>
      <c r="K2054">
        <v>0</v>
      </c>
      <c r="L2054">
        <v>2750</v>
      </c>
      <c r="M2054">
        <v>2750</v>
      </c>
      <c r="N2054">
        <v>0</v>
      </c>
    </row>
    <row r="2055" spans="1:14" x14ac:dyDescent="0.25">
      <c r="A2055">
        <v>1284.0083119999999</v>
      </c>
      <c r="B2055" s="1">
        <f>DATE(2013,11,5) + TIME(0,11,58)</f>
        <v>41583.008310185185</v>
      </c>
      <c r="C2055">
        <v>80</v>
      </c>
      <c r="D2055">
        <v>79.536872864000003</v>
      </c>
      <c r="E2055">
        <v>50</v>
      </c>
      <c r="F2055">
        <v>50.000312805</v>
      </c>
      <c r="G2055">
        <v>1326.6258545000001</v>
      </c>
      <c r="H2055">
        <v>1324.0169678</v>
      </c>
      <c r="I2055">
        <v>1346.7006836</v>
      </c>
      <c r="J2055">
        <v>1341.6163329999999</v>
      </c>
      <c r="K2055">
        <v>0</v>
      </c>
      <c r="L2055">
        <v>2750</v>
      </c>
      <c r="M2055">
        <v>2750</v>
      </c>
      <c r="N2055">
        <v>0</v>
      </c>
    </row>
    <row r="2056" spans="1:14" x14ac:dyDescent="0.25">
      <c r="A2056">
        <v>1284.254792</v>
      </c>
      <c r="B2056" s="1">
        <f>DATE(2013,11,5) + TIME(6,6,53)</f>
        <v>41583.254780092589</v>
      </c>
      <c r="C2056">
        <v>80</v>
      </c>
      <c r="D2056">
        <v>79.514320373999993</v>
      </c>
      <c r="E2056">
        <v>50</v>
      </c>
      <c r="F2056">
        <v>49.995502471999998</v>
      </c>
      <c r="G2056">
        <v>1326.6180420000001</v>
      </c>
      <c r="H2056">
        <v>1324.0067139</v>
      </c>
      <c r="I2056">
        <v>1346.6870117000001</v>
      </c>
      <c r="J2056">
        <v>1341.6088867000001</v>
      </c>
      <c r="K2056">
        <v>0</v>
      </c>
      <c r="L2056">
        <v>2750</v>
      </c>
      <c r="M2056">
        <v>2750</v>
      </c>
      <c r="N2056">
        <v>0</v>
      </c>
    </row>
    <row r="2057" spans="1:14" x14ac:dyDescent="0.25">
      <c r="A2057">
        <v>1284.506382</v>
      </c>
      <c r="B2057" s="1">
        <f>DATE(2013,11,5) + TIME(12,9,11)</f>
        <v>41583.506377314814</v>
      </c>
      <c r="C2057">
        <v>80</v>
      </c>
      <c r="D2057">
        <v>79.491386414000004</v>
      </c>
      <c r="E2057">
        <v>50</v>
      </c>
      <c r="F2057">
        <v>49.991954802999999</v>
      </c>
      <c r="G2057">
        <v>1326.6099853999999</v>
      </c>
      <c r="H2057">
        <v>1323.9958495999999</v>
      </c>
      <c r="I2057">
        <v>1346.6737060999999</v>
      </c>
      <c r="J2057">
        <v>1341.6018065999999</v>
      </c>
      <c r="K2057">
        <v>0</v>
      </c>
      <c r="L2057">
        <v>2750</v>
      </c>
      <c r="M2057">
        <v>2750</v>
      </c>
      <c r="N2057">
        <v>0</v>
      </c>
    </row>
    <row r="2058" spans="1:14" x14ac:dyDescent="0.25">
      <c r="A2058">
        <v>1284.763528</v>
      </c>
      <c r="B2058" s="1">
        <f>DATE(2013,11,5) + TIME(18,19,28)</f>
        <v>41583.763518518521</v>
      </c>
      <c r="C2058">
        <v>80</v>
      </c>
      <c r="D2058">
        <v>79.468070983999993</v>
      </c>
      <c r="E2058">
        <v>50</v>
      </c>
      <c r="F2058">
        <v>49.989345551</v>
      </c>
      <c r="G2058">
        <v>1326.6015625</v>
      </c>
      <c r="H2058">
        <v>1323.9844971</v>
      </c>
      <c r="I2058">
        <v>1346.6608887</v>
      </c>
      <c r="J2058">
        <v>1341.5948486</v>
      </c>
      <c r="K2058">
        <v>0</v>
      </c>
      <c r="L2058">
        <v>2750</v>
      </c>
      <c r="M2058">
        <v>2750</v>
      </c>
      <c r="N2058">
        <v>0</v>
      </c>
    </row>
    <row r="2059" spans="1:14" x14ac:dyDescent="0.25">
      <c r="A2059">
        <v>1285.0267940000001</v>
      </c>
      <c r="B2059" s="1">
        <f>DATE(2013,11,6) + TIME(0,38,35)</f>
        <v>41584.02679398148</v>
      </c>
      <c r="C2059">
        <v>80</v>
      </c>
      <c r="D2059">
        <v>79.444358825999998</v>
      </c>
      <c r="E2059">
        <v>50</v>
      </c>
      <c r="F2059">
        <v>49.987426757999998</v>
      </c>
      <c r="G2059">
        <v>1326.5927733999999</v>
      </c>
      <c r="H2059">
        <v>1323.9727783000001</v>
      </c>
      <c r="I2059">
        <v>1346.6484375</v>
      </c>
      <c r="J2059">
        <v>1341.5882568</v>
      </c>
      <c r="K2059">
        <v>0</v>
      </c>
      <c r="L2059">
        <v>2750</v>
      </c>
      <c r="M2059">
        <v>2750</v>
      </c>
      <c r="N2059">
        <v>0</v>
      </c>
    </row>
    <row r="2060" spans="1:14" x14ac:dyDescent="0.25">
      <c r="A2060">
        <v>1285.296664</v>
      </c>
      <c r="B2060" s="1">
        <f>DATE(2013,11,6) + TIME(7,7,11)</f>
        <v>41584.296655092592</v>
      </c>
      <c r="C2060">
        <v>80</v>
      </c>
      <c r="D2060">
        <v>79.420219420999999</v>
      </c>
      <c r="E2060">
        <v>50</v>
      </c>
      <c r="F2060">
        <v>49.986019134999999</v>
      </c>
      <c r="G2060">
        <v>1326.5837402</v>
      </c>
      <c r="H2060">
        <v>1323.9604492000001</v>
      </c>
      <c r="I2060">
        <v>1346.6363524999999</v>
      </c>
      <c r="J2060">
        <v>1341.5817870999999</v>
      </c>
      <c r="K2060">
        <v>0</v>
      </c>
      <c r="L2060">
        <v>2750</v>
      </c>
      <c r="M2060">
        <v>2750</v>
      </c>
      <c r="N2060">
        <v>0</v>
      </c>
    </row>
    <row r="2061" spans="1:14" x14ac:dyDescent="0.25">
      <c r="A2061">
        <v>1285.571132</v>
      </c>
      <c r="B2061" s="1">
        <f>DATE(2013,11,6) + TIME(13,42,25)</f>
        <v>41584.571122685185</v>
      </c>
      <c r="C2061">
        <v>80</v>
      </c>
      <c r="D2061">
        <v>79.395797728999995</v>
      </c>
      <c r="E2061">
        <v>50</v>
      </c>
      <c r="F2061">
        <v>49.984992980999998</v>
      </c>
      <c r="G2061">
        <v>1326.5743408000001</v>
      </c>
      <c r="H2061">
        <v>1323.9476318</v>
      </c>
      <c r="I2061">
        <v>1346.6246338000001</v>
      </c>
      <c r="J2061">
        <v>1341.5754394999999</v>
      </c>
      <c r="K2061">
        <v>0</v>
      </c>
      <c r="L2061">
        <v>2750</v>
      </c>
      <c r="M2061">
        <v>2750</v>
      </c>
      <c r="N2061">
        <v>0</v>
      </c>
    </row>
    <row r="2062" spans="1:14" x14ac:dyDescent="0.25">
      <c r="A2062">
        <v>1285.8503920000001</v>
      </c>
      <c r="B2062" s="1">
        <f>DATE(2013,11,6) + TIME(20,24,33)</f>
        <v>41584.850381944445</v>
      </c>
      <c r="C2062">
        <v>80</v>
      </c>
      <c r="D2062">
        <v>79.37109375</v>
      </c>
      <c r="E2062">
        <v>50</v>
      </c>
      <c r="F2062">
        <v>49.984245299999998</v>
      </c>
      <c r="G2062">
        <v>1326.5645752</v>
      </c>
      <c r="H2062">
        <v>1323.9344481999999</v>
      </c>
      <c r="I2062">
        <v>1346.6132812000001</v>
      </c>
      <c r="J2062">
        <v>1341.5693358999999</v>
      </c>
      <c r="K2062">
        <v>0</v>
      </c>
      <c r="L2062">
        <v>2750</v>
      </c>
      <c r="M2062">
        <v>2750</v>
      </c>
      <c r="N2062">
        <v>0</v>
      </c>
    </row>
    <row r="2063" spans="1:14" x14ac:dyDescent="0.25">
      <c r="A2063">
        <v>1286.135053</v>
      </c>
      <c r="B2063" s="1">
        <f>DATE(2013,11,7) + TIME(3,14,28)</f>
        <v>41585.135046296295</v>
      </c>
      <c r="C2063">
        <v>80</v>
      </c>
      <c r="D2063">
        <v>79.346092224000003</v>
      </c>
      <c r="E2063">
        <v>50</v>
      </c>
      <c r="F2063">
        <v>49.983699799</v>
      </c>
      <c r="G2063">
        <v>1326.5545654</v>
      </c>
      <c r="H2063">
        <v>1323.9207764</v>
      </c>
      <c r="I2063">
        <v>1346.6021728999999</v>
      </c>
      <c r="J2063">
        <v>1341.5634766000001</v>
      </c>
      <c r="K2063">
        <v>0</v>
      </c>
      <c r="L2063">
        <v>2750</v>
      </c>
      <c r="M2063">
        <v>2750</v>
      </c>
      <c r="N2063">
        <v>0</v>
      </c>
    </row>
    <row r="2064" spans="1:14" x14ac:dyDescent="0.25">
      <c r="A2064">
        <v>1286.4257030000001</v>
      </c>
      <c r="B2064" s="1">
        <f>DATE(2013,11,7) + TIME(10,13,0)</f>
        <v>41585.425694444442</v>
      </c>
      <c r="C2064">
        <v>80</v>
      </c>
      <c r="D2064">
        <v>79.320762634000005</v>
      </c>
      <c r="E2064">
        <v>50</v>
      </c>
      <c r="F2064">
        <v>49.983295441000003</v>
      </c>
      <c r="G2064">
        <v>1326.5441894999999</v>
      </c>
      <c r="H2064">
        <v>1323.9066161999999</v>
      </c>
      <c r="I2064">
        <v>1346.5914307</v>
      </c>
      <c r="J2064">
        <v>1341.5576172000001</v>
      </c>
      <c r="K2064">
        <v>0</v>
      </c>
      <c r="L2064">
        <v>2750</v>
      </c>
      <c r="M2064">
        <v>2750</v>
      </c>
      <c r="N2064">
        <v>0</v>
      </c>
    </row>
    <row r="2065" spans="1:14" x14ac:dyDescent="0.25">
      <c r="A2065">
        <v>1286.722894</v>
      </c>
      <c r="B2065" s="1">
        <f>DATE(2013,11,7) + TIME(17,20,58)</f>
        <v>41585.722893518519</v>
      </c>
      <c r="C2065">
        <v>80</v>
      </c>
      <c r="D2065">
        <v>79.295066833000007</v>
      </c>
      <c r="E2065">
        <v>50</v>
      </c>
      <c r="F2065">
        <v>49.982997894</v>
      </c>
      <c r="G2065">
        <v>1326.5334473</v>
      </c>
      <c r="H2065">
        <v>1323.8920897999999</v>
      </c>
      <c r="I2065">
        <v>1346.5809326000001</v>
      </c>
      <c r="J2065">
        <v>1341.5520019999999</v>
      </c>
      <c r="K2065">
        <v>0</v>
      </c>
      <c r="L2065">
        <v>2750</v>
      </c>
      <c r="M2065">
        <v>2750</v>
      </c>
      <c r="N2065">
        <v>0</v>
      </c>
    </row>
    <row r="2066" spans="1:14" x14ac:dyDescent="0.25">
      <c r="A2066">
        <v>1287.027163</v>
      </c>
      <c r="B2066" s="1">
        <f>DATE(2013,11,8) + TIME(0,39,6)</f>
        <v>41586.02715277778</v>
      </c>
      <c r="C2066">
        <v>80</v>
      </c>
      <c r="D2066">
        <v>79.268974303999997</v>
      </c>
      <c r="E2066">
        <v>50</v>
      </c>
      <c r="F2066">
        <v>49.982776641999997</v>
      </c>
      <c r="G2066">
        <v>1326.5224608999999</v>
      </c>
      <c r="H2066">
        <v>1323.8769531</v>
      </c>
      <c r="I2066">
        <v>1346.5705565999999</v>
      </c>
      <c r="J2066">
        <v>1341.5463867000001</v>
      </c>
      <c r="K2066">
        <v>0</v>
      </c>
      <c r="L2066">
        <v>2750</v>
      </c>
      <c r="M2066">
        <v>2750</v>
      </c>
      <c r="N2066">
        <v>0</v>
      </c>
    </row>
    <row r="2067" spans="1:14" x14ac:dyDescent="0.25">
      <c r="A2067">
        <v>1287.336094</v>
      </c>
      <c r="B2067" s="1">
        <f>DATE(2013,11,8) + TIME(8,3,58)</f>
        <v>41586.336087962962</v>
      </c>
      <c r="C2067">
        <v>80</v>
      </c>
      <c r="D2067">
        <v>79.242645264000004</v>
      </c>
      <c r="E2067">
        <v>50</v>
      </c>
      <c r="F2067">
        <v>49.982608794999997</v>
      </c>
      <c r="G2067">
        <v>1326.5111084</v>
      </c>
      <c r="H2067">
        <v>1323.8613281</v>
      </c>
      <c r="I2067">
        <v>1346.5604248</v>
      </c>
      <c r="J2067">
        <v>1341.5408935999999</v>
      </c>
      <c r="K2067">
        <v>0</v>
      </c>
      <c r="L2067">
        <v>2750</v>
      </c>
      <c r="M2067">
        <v>2750</v>
      </c>
      <c r="N2067">
        <v>0</v>
      </c>
    </row>
    <row r="2068" spans="1:14" x14ac:dyDescent="0.25">
      <c r="A2068">
        <v>1287.650187</v>
      </c>
      <c r="B2068" s="1">
        <f>DATE(2013,11,8) + TIME(15,36,16)</f>
        <v>41586.650185185186</v>
      </c>
      <c r="C2068">
        <v>80</v>
      </c>
      <c r="D2068">
        <v>79.216056824000006</v>
      </c>
      <c r="E2068">
        <v>50</v>
      </c>
      <c r="F2068">
        <v>49.982482910000002</v>
      </c>
      <c r="G2068">
        <v>1326.4993896000001</v>
      </c>
      <c r="H2068">
        <v>1323.8452147999999</v>
      </c>
      <c r="I2068">
        <v>1346.5505370999999</v>
      </c>
      <c r="J2068">
        <v>1341.5356445</v>
      </c>
      <c r="K2068">
        <v>0</v>
      </c>
      <c r="L2068">
        <v>2750</v>
      </c>
      <c r="M2068">
        <v>2750</v>
      </c>
      <c r="N2068">
        <v>0</v>
      </c>
    </row>
    <row r="2069" spans="1:14" x14ac:dyDescent="0.25">
      <c r="A2069">
        <v>1287.970227</v>
      </c>
      <c r="B2069" s="1">
        <f>DATE(2013,11,8) + TIME(23,17,7)</f>
        <v>41586.970219907409</v>
      </c>
      <c r="C2069">
        <v>80</v>
      </c>
      <c r="D2069">
        <v>79.189170837000006</v>
      </c>
      <c r="E2069">
        <v>50</v>
      </c>
      <c r="F2069">
        <v>49.982383728000002</v>
      </c>
      <c r="G2069">
        <v>1326.4874268000001</v>
      </c>
      <c r="H2069">
        <v>1323.8287353999999</v>
      </c>
      <c r="I2069">
        <v>1346.5408935999999</v>
      </c>
      <c r="J2069">
        <v>1341.5303954999999</v>
      </c>
      <c r="K2069">
        <v>0</v>
      </c>
      <c r="L2069">
        <v>2750</v>
      </c>
      <c r="M2069">
        <v>2750</v>
      </c>
      <c r="N2069">
        <v>0</v>
      </c>
    </row>
    <row r="2070" spans="1:14" x14ac:dyDescent="0.25">
      <c r="A2070">
        <v>1288.2968390000001</v>
      </c>
      <c r="B2070" s="1">
        <f>DATE(2013,11,9) + TIME(7,7,26)</f>
        <v>41587.2968287037</v>
      </c>
      <c r="C2070">
        <v>80</v>
      </c>
      <c r="D2070">
        <v>79.161949157999999</v>
      </c>
      <c r="E2070">
        <v>50</v>
      </c>
      <c r="F2070">
        <v>49.982307433999999</v>
      </c>
      <c r="G2070">
        <v>1326.4750977000001</v>
      </c>
      <c r="H2070">
        <v>1323.8117675999999</v>
      </c>
      <c r="I2070">
        <v>1346.5314940999999</v>
      </c>
      <c r="J2070">
        <v>1341.5252685999999</v>
      </c>
      <c r="K2070">
        <v>0</v>
      </c>
      <c r="L2070">
        <v>2750</v>
      </c>
      <c r="M2070">
        <v>2750</v>
      </c>
      <c r="N2070">
        <v>0</v>
      </c>
    </row>
    <row r="2071" spans="1:14" x14ac:dyDescent="0.25">
      <c r="A2071">
        <v>1288.6306609999999</v>
      </c>
      <c r="B2071" s="1">
        <f>DATE(2013,11,9) + TIME(15,8,9)</f>
        <v>41587.630659722221</v>
      </c>
      <c r="C2071">
        <v>80</v>
      </c>
      <c r="D2071">
        <v>79.134368895999998</v>
      </c>
      <c r="E2071">
        <v>50</v>
      </c>
      <c r="F2071">
        <v>49.982250213999997</v>
      </c>
      <c r="G2071">
        <v>1326.4624022999999</v>
      </c>
      <c r="H2071">
        <v>1323.7941894999999</v>
      </c>
      <c r="I2071">
        <v>1346.5220947</v>
      </c>
      <c r="J2071">
        <v>1341.5201416</v>
      </c>
      <c r="K2071">
        <v>0</v>
      </c>
      <c r="L2071">
        <v>2750</v>
      </c>
      <c r="M2071">
        <v>2750</v>
      </c>
      <c r="N2071">
        <v>0</v>
      </c>
    </row>
    <row r="2072" spans="1:14" x14ac:dyDescent="0.25">
      <c r="A2072">
        <v>1288.97235</v>
      </c>
      <c r="B2072" s="1">
        <f>DATE(2013,11,9) + TIME(23,20,11)</f>
        <v>41587.972349537034</v>
      </c>
      <c r="C2072">
        <v>80</v>
      </c>
      <c r="D2072">
        <v>79.106376647999994</v>
      </c>
      <c r="E2072">
        <v>50</v>
      </c>
      <c r="F2072">
        <v>49.982200622999997</v>
      </c>
      <c r="G2072">
        <v>1326.4493408000001</v>
      </c>
      <c r="H2072">
        <v>1323.7761230000001</v>
      </c>
      <c r="I2072">
        <v>1346.5129394999999</v>
      </c>
      <c r="J2072">
        <v>1341.5152588000001</v>
      </c>
      <c r="K2072">
        <v>0</v>
      </c>
      <c r="L2072">
        <v>2750</v>
      </c>
      <c r="M2072">
        <v>2750</v>
      </c>
      <c r="N2072">
        <v>0</v>
      </c>
    </row>
    <row r="2073" spans="1:14" x14ac:dyDescent="0.25">
      <c r="A2073">
        <v>1289.3225890000001</v>
      </c>
      <c r="B2073" s="1">
        <f>DATE(2013,11,10) + TIME(7,44,31)</f>
        <v>41588.322581018518</v>
      </c>
      <c r="C2073">
        <v>80</v>
      </c>
      <c r="D2073">
        <v>79.077941894999995</v>
      </c>
      <c r="E2073">
        <v>50</v>
      </c>
      <c r="F2073">
        <v>49.982158661</v>
      </c>
      <c r="G2073">
        <v>1326.4357910000001</v>
      </c>
      <c r="H2073">
        <v>1323.7575684000001</v>
      </c>
      <c r="I2073">
        <v>1346.5039062000001</v>
      </c>
      <c r="J2073">
        <v>1341.5102539</v>
      </c>
      <c r="K2073">
        <v>0</v>
      </c>
      <c r="L2073">
        <v>2750</v>
      </c>
      <c r="M2073">
        <v>2750</v>
      </c>
      <c r="N2073">
        <v>0</v>
      </c>
    </row>
    <row r="2074" spans="1:14" x14ac:dyDescent="0.25">
      <c r="A2074">
        <v>1289.682098</v>
      </c>
      <c r="B2074" s="1">
        <f>DATE(2013,11,10) + TIME(16,22,13)</f>
        <v>41588.68209490741</v>
      </c>
      <c r="C2074">
        <v>80</v>
      </c>
      <c r="D2074">
        <v>79.049018860000004</v>
      </c>
      <c r="E2074">
        <v>50</v>
      </c>
      <c r="F2074">
        <v>49.982124329000001</v>
      </c>
      <c r="G2074">
        <v>1326.4219971</v>
      </c>
      <c r="H2074">
        <v>1323.7382812000001</v>
      </c>
      <c r="I2074">
        <v>1346.4949951000001</v>
      </c>
      <c r="J2074">
        <v>1341.5054932</v>
      </c>
      <c r="K2074">
        <v>0</v>
      </c>
      <c r="L2074">
        <v>2750</v>
      </c>
      <c r="M2074">
        <v>2750</v>
      </c>
      <c r="N2074">
        <v>0</v>
      </c>
    </row>
    <row r="2075" spans="1:14" x14ac:dyDescent="0.25">
      <c r="A2075">
        <v>1290.051622</v>
      </c>
      <c r="B2075" s="1">
        <f>DATE(2013,11,11) + TIME(1,14,20)</f>
        <v>41589.051620370374</v>
      </c>
      <c r="C2075">
        <v>80</v>
      </c>
      <c r="D2075">
        <v>79.019561768000003</v>
      </c>
      <c r="E2075">
        <v>50</v>
      </c>
      <c r="F2075">
        <v>49.982097625999998</v>
      </c>
      <c r="G2075">
        <v>1326.4075928</v>
      </c>
      <c r="H2075">
        <v>1323.7183838000001</v>
      </c>
      <c r="I2075">
        <v>1346.4862060999999</v>
      </c>
      <c r="J2075">
        <v>1341.5006103999999</v>
      </c>
      <c r="K2075">
        <v>0</v>
      </c>
      <c r="L2075">
        <v>2750</v>
      </c>
      <c r="M2075">
        <v>2750</v>
      </c>
      <c r="N2075">
        <v>0</v>
      </c>
    </row>
    <row r="2076" spans="1:14" x14ac:dyDescent="0.25">
      <c r="A2076">
        <v>1290.4319640000001</v>
      </c>
      <c r="B2076" s="1">
        <f>DATE(2013,11,11) + TIME(10,22,1)</f>
        <v>41589.431956018518</v>
      </c>
      <c r="C2076">
        <v>80</v>
      </c>
      <c r="D2076">
        <v>78.989517211999996</v>
      </c>
      <c r="E2076">
        <v>50</v>
      </c>
      <c r="F2076">
        <v>49.982070923000002</v>
      </c>
      <c r="G2076">
        <v>1326.3927002</v>
      </c>
      <c r="H2076">
        <v>1323.6977539</v>
      </c>
      <c r="I2076">
        <v>1346.4774170000001</v>
      </c>
      <c r="J2076">
        <v>1341.4958495999999</v>
      </c>
      <c r="K2076">
        <v>0</v>
      </c>
      <c r="L2076">
        <v>2750</v>
      </c>
      <c r="M2076">
        <v>2750</v>
      </c>
      <c r="N2076">
        <v>0</v>
      </c>
    </row>
    <row r="2077" spans="1:14" x14ac:dyDescent="0.25">
      <c r="A2077">
        <v>1290.823985</v>
      </c>
      <c r="B2077" s="1">
        <f>DATE(2013,11,11) + TIME(19,46,32)</f>
        <v>41589.823981481481</v>
      </c>
      <c r="C2077">
        <v>80</v>
      </c>
      <c r="D2077">
        <v>78.958847046000002</v>
      </c>
      <c r="E2077">
        <v>50</v>
      </c>
      <c r="F2077">
        <v>49.982048034999998</v>
      </c>
      <c r="G2077">
        <v>1326.3773193</v>
      </c>
      <c r="H2077">
        <v>1323.6763916</v>
      </c>
      <c r="I2077">
        <v>1346.46875</v>
      </c>
      <c r="J2077">
        <v>1341.4910889</v>
      </c>
      <c r="K2077">
        <v>0</v>
      </c>
      <c r="L2077">
        <v>2750</v>
      </c>
      <c r="M2077">
        <v>2750</v>
      </c>
      <c r="N2077">
        <v>0</v>
      </c>
    </row>
    <row r="2078" spans="1:14" x14ac:dyDescent="0.25">
      <c r="A2078">
        <v>1291.2284460000001</v>
      </c>
      <c r="B2078" s="1">
        <f>DATE(2013,11,12) + TIME(5,28,57)</f>
        <v>41590.228437500002</v>
      </c>
      <c r="C2078">
        <v>80</v>
      </c>
      <c r="D2078">
        <v>78.927490234000004</v>
      </c>
      <c r="E2078">
        <v>50</v>
      </c>
      <c r="F2078">
        <v>49.982028960999997</v>
      </c>
      <c r="G2078">
        <v>1326.3614502</v>
      </c>
      <c r="H2078">
        <v>1323.6542969</v>
      </c>
      <c r="I2078">
        <v>1346.4600829999999</v>
      </c>
      <c r="J2078">
        <v>1341.4864502</v>
      </c>
      <c r="K2078">
        <v>0</v>
      </c>
      <c r="L2078">
        <v>2750</v>
      </c>
      <c r="M2078">
        <v>2750</v>
      </c>
      <c r="N2078">
        <v>0</v>
      </c>
    </row>
    <row r="2079" spans="1:14" x14ac:dyDescent="0.25">
      <c r="A2079">
        <v>1291.6464820000001</v>
      </c>
      <c r="B2079" s="1">
        <f>DATE(2013,11,12) + TIME(15,30,56)</f>
        <v>41590.646481481483</v>
      </c>
      <c r="C2079">
        <v>80</v>
      </c>
      <c r="D2079">
        <v>78.895401000999996</v>
      </c>
      <c r="E2079">
        <v>50</v>
      </c>
      <c r="F2079">
        <v>49.982009888</v>
      </c>
      <c r="G2079">
        <v>1326.3449707</v>
      </c>
      <c r="H2079">
        <v>1323.6313477000001</v>
      </c>
      <c r="I2079">
        <v>1346.4514160000001</v>
      </c>
      <c r="J2079">
        <v>1341.4816894999999</v>
      </c>
      <c r="K2079">
        <v>0</v>
      </c>
      <c r="L2079">
        <v>2750</v>
      </c>
      <c r="M2079">
        <v>2750</v>
      </c>
      <c r="N2079">
        <v>0</v>
      </c>
    </row>
    <row r="2080" spans="1:14" x14ac:dyDescent="0.25">
      <c r="A2080">
        <v>1292.079203</v>
      </c>
      <c r="B2080" s="1">
        <f>DATE(2013,11,13) + TIME(1,54,3)</f>
        <v>41591.079201388886</v>
      </c>
      <c r="C2080">
        <v>80</v>
      </c>
      <c r="D2080">
        <v>78.862510681000003</v>
      </c>
      <c r="E2080">
        <v>50</v>
      </c>
      <c r="F2080">
        <v>49.981994628999999</v>
      </c>
      <c r="G2080">
        <v>1326.3277588000001</v>
      </c>
      <c r="H2080">
        <v>1323.6074219</v>
      </c>
      <c r="I2080">
        <v>1346.442749</v>
      </c>
      <c r="J2080">
        <v>1341.4770507999999</v>
      </c>
      <c r="K2080">
        <v>0</v>
      </c>
      <c r="L2080">
        <v>2750</v>
      </c>
      <c r="M2080">
        <v>2750</v>
      </c>
      <c r="N2080">
        <v>0</v>
      </c>
    </row>
    <row r="2081" spans="1:14" x14ac:dyDescent="0.25">
      <c r="A2081">
        <v>1292.5278049999999</v>
      </c>
      <c r="B2081" s="1">
        <f>DATE(2013,11,13) + TIME(12,40,2)</f>
        <v>41591.527800925927</v>
      </c>
      <c r="C2081">
        <v>80</v>
      </c>
      <c r="D2081">
        <v>78.828758239999999</v>
      </c>
      <c r="E2081">
        <v>50</v>
      </c>
      <c r="F2081">
        <v>49.981979369999998</v>
      </c>
      <c r="G2081">
        <v>1326.3099365</v>
      </c>
      <c r="H2081">
        <v>1323.5825195</v>
      </c>
      <c r="I2081">
        <v>1346.4342041</v>
      </c>
      <c r="J2081">
        <v>1341.4724120999999</v>
      </c>
      <c r="K2081">
        <v>0</v>
      </c>
      <c r="L2081">
        <v>2750</v>
      </c>
      <c r="M2081">
        <v>2750</v>
      </c>
      <c r="N2081">
        <v>0</v>
      </c>
    </row>
    <row r="2082" spans="1:14" x14ac:dyDescent="0.25">
      <c r="A2082">
        <v>1292.993616</v>
      </c>
      <c r="B2082" s="1">
        <f>DATE(2013,11,13) + TIME(23,50,48)</f>
        <v>41591.993611111109</v>
      </c>
      <c r="C2082">
        <v>80</v>
      </c>
      <c r="D2082">
        <v>78.794059752999999</v>
      </c>
      <c r="E2082">
        <v>50</v>
      </c>
      <c r="F2082">
        <v>49.981967926000003</v>
      </c>
      <c r="G2082">
        <v>1326.2912598</v>
      </c>
      <c r="H2082">
        <v>1323.5566406</v>
      </c>
      <c r="I2082">
        <v>1346.4255370999999</v>
      </c>
      <c r="J2082">
        <v>1341.4676514</v>
      </c>
      <c r="K2082">
        <v>0</v>
      </c>
      <c r="L2082">
        <v>2750</v>
      </c>
      <c r="M2082">
        <v>2750</v>
      </c>
      <c r="N2082">
        <v>0</v>
      </c>
    </row>
    <row r="2083" spans="1:14" x14ac:dyDescent="0.25">
      <c r="A2083">
        <v>1293.4780960000001</v>
      </c>
      <c r="B2083" s="1">
        <f>DATE(2013,11,14) + TIME(11,28,27)</f>
        <v>41592.478090277778</v>
      </c>
      <c r="C2083">
        <v>80</v>
      </c>
      <c r="D2083">
        <v>78.758354186999995</v>
      </c>
      <c r="E2083">
        <v>50</v>
      </c>
      <c r="F2083">
        <v>49.981952667000002</v>
      </c>
      <c r="G2083">
        <v>1326.2718506000001</v>
      </c>
      <c r="H2083">
        <v>1323.5296631000001</v>
      </c>
      <c r="I2083">
        <v>1346.4168701000001</v>
      </c>
      <c r="J2083">
        <v>1341.4630127</v>
      </c>
      <c r="K2083">
        <v>0</v>
      </c>
      <c r="L2083">
        <v>2750</v>
      </c>
      <c r="M2083">
        <v>2750</v>
      </c>
      <c r="N2083">
        <v>0</v>
      </c>
    </row>
    <row r="2084" spans="1:14" x14ac:dyDescent="0.25">
      <c r="A2084">
        <v>1293.9828660000001</v>
      </c>
      <c r="B2084" s="1">
        <f>DATE(2013,11,14) + TIME(23,35,19)</f>
        <v>41592.982858796298</v>
      </c>
      <c r="C2084">
        <v>80</v>
      </c>
      <c r="D2084">
        <v>78.721557617000002</v>
      </c>
      <c r="E2084">
        <v>50</v>
      </c>
      <c r="F2084">
        <v>49.981941223</v>
      </c>
      <c r="G2084">
        <v>1326.2517089999999</v>
      </c>
      <c r="H2084">
        <v>1323.5013428</v>
      </c>
      <c r="I2084">
        <v>1346.4082031</v>
      </c>
      <c r="J2084">
        <v>1341.4582519999999</v>
      </c>
      <c r="K2084">
        <v>0</v>
      </c>
      <c r="L2084">
        <v>2750</v>
      </c>
      <c r="M2084">
        <v>2750</v>
      </c>
      <c r="N2084">
        <v>0</v>
      </c>
    </row>
    <row r="2085" spans="1:14" x14ac:dyDescent="0.25">
      <c r="A2085">
        <v>1294.50963</v>
      </c>
      <c r="B2085" s="1">
        <f>DATE(2013,11,15) + TIME(12,13,52)</f>
        <v>41593.509629629632</v>
      </c>
      <c r="C2085">
        <v>80</v>
      </c>
      <c r="D2085">
        <v>78.683570861999996</v>
      </c>
      <c r="E2085">
        <v>50</v>
      </c>
      <c r="F2085">
        <v>49.981929778999998</v>
      </c>
      <c r="G2085">
        <v>1326.2304687999999</v>
      </c>
      <c r="H2085">
        <v>1323.4718018000001</v>
      </c>
      <c r="I2085">
        <v>1346.3995361</v>
      </c>
      <c r="J2085">
        <v>1341.4536132999999</v>
      </c>
      <c r="K2085">
        <v>0</v>
      </c>
      <c r="L2085">
        <v>2750</v>
      </c>
      <c r="M2085">
        <v>2750</v>
      </c>
      <c r="N2085">
        <v>0</v>
      </c>
    </row>
    <row r="2086" spans="1:14" x14ac:dyDescent="0.25">
      <c r="A2086">
        <v>1295.0550699999999</v>
      </c>
      <c r="B2086" s="1">
        <f>DATE(2013,11,16) + TIME(1,19,18)</f>
        <v>41594.055069444446</v>
      </c>
      <c r="C2086">
        <v>80</v>
      </c>
      <c r="D2086">
        <v>78.644523621000005</v>
      </c>
      <c r="E2086">
        <v>50</v>
      </c>
      <c r="F2086">
        <v>49.981918335000003</v>
      </c>
      <c r="G2086">
        <v>1326.208374</v>
      </c>
      <c r="H2086">
        <v>1323.440918</v>
      </c>
      <c r="I2086">
        <v>1346.3907471</v>
      </c>
      <c r="J2086">
        <v>1341.4488524999999</v>
      </c>
      <c r="K2086">
        <v>0</v>
      </c>
      <c r="L2086">
        <v>2750</v>
      </c>
      <c r="M2086">
        <v>2750</v>
      </c>
      <c r="N2086">
        <v>0</v>
      </c>
    </row>
    <row r="2087" spans="1:14" x14ac:dyDescent="0.25">
      <c r="A2087">
        <v>1295.620958</v>
      </c>
      <c r="B2087" s="1">
        <f>DATE(2013,11,16) + TIME(14,54,10)</f>
        <v>41594.620949074073</v>
      </c>
      <c r="C2087">
        <v>80</v>
      </c>
      <c r="D2087">
        <v>78.604385375999996</v>
      </c>
      <c r="E2087">
        <v>50</v>
      </c>
      <c r="F2087">
        <v>49.981906891000001</v>
      </c>
      <c r="G2087">
        <v>1326.1853027</v>
      </c>
      <c r="H2087">
        <v>1323.4088135</v>
      </c>
      <c r="I2087">
        <v>1346.3819579999999</v>
      </c>
      <c r="J2087">
        <v>1341.4440918</v>
      </c>
      <c r="K2087">
        <v>0</v>
      </c>
      <c r="L2087">
        <v>2750</v>
      </c>
      <c r="M2087">
        <v>2750</v>
      </c>
      <c r="N2087">
        <v>0</v>
      </c>
    </row>
    <row r="2088" spans="1:14" x14ac:dyDescent="0.25">
      <c r="A2088">
        <v>1296.209087</v>
      </c>
      <c r="B2088" s="1">
        <f>DATE(2013,11,17) + TIME(5,1,5)</f>
        <v>41595.209085648145</v>
      </c>
      <c r="C2088">
        <v>80</v>
      </c>
      <c r="D2088">
        <v>78.563102721999996</v>
      </c>
      <c r="E2088">
        <v>50</v>
      </c>
      <c r="F2088">
        <v>49.981895446999999</v>
      </c>
      <c r="G2088">
        <v>1326.1612548999999</v>
      </c>
      <c r="H2088">
        <v>1323.3752440999999</v>
      </c>
      <c r="I2088">
        <v>1346.3731689000001</v>
      </c>
      <c r="J2088">
        <v>1341.4393310999999</v>
      </c>
      <c r="K2088">
        <v>0</v>
      </c>
      <c r="L2088">
        <v>2750</v>
      </c>
      <c r="M2088">
        <v>2750</v>
      </c>
      <c r="N2088">
        <v>0</v>
      </c>
    </row>
    <row r="2089" spans="1:14" x14ac:dyDescent="0.25">
      <c r="A2089">
        <v>1296.8049020000001</v>
      </c>
      <c r="B2089" s="1">
        <f>DATE(2013,11,17) + TIME(19,19,3)</f>
        <v>41595.804895833331</v>
      </c>
      <c r="C2089">
        <v>80</v>
      </c>
      <c r="D2089">
        <v>78.521240234000004</v>
      </c>
      <c r="E2089">
        <v>50</v>
      </c>
      <c r="F2089">
        <v>49.981884002999998</v>
      </c>
      <c r="G2089">
        <v>1326.1363524999999</v>
      </c>
      <c r="H2089">
        <v>1323.3404541</v>
      </c>
      <c r="I2089">
        <v>1346.3643798999999</v>
      </c>
      <c r="J2089">
        <v>1341.4345702999999</v>
      </c>
      <c r="K2089">
        <v>0</v>
      </c>
      <c r="L2089">
        <v>2750</v>
      </c>
      <c r="M2089">
        <v>2750</v>
      </c>
      <c r="N2089">
        <v>0</v>
      </c>
    </row>
    <row r="2090" spans="1:14" x14ac:dyDescent="0.25">
      <c r="A2090">
        <v>1297.4095279999999</v>
      </c>
      <c r="B2090" s="1">
        <f>DATE(2013,11,18) + TIME(9,49,43)</f>
        <v>41596.409525462965</v>
      </c>
      <c r="C2090">
        <v>80</v>
      </c>
      <c r="D2090">
        <v>78.478958129999995</v>
      </c>
      <c r="E2090">
        <v>50</v>
      </c>
      <c r="F2090">
        <v>49.981876372999999</v>
      </c>
      <c r="G2090">
        <v>1326.1109618999999</v>
      </c>
      <c r="H2090">
        <v>1323.3049315999999</v>
      </c>
      <c r="I2090">
        <v>1346.3558350000001</v>
      </c>
      <c r="J2090">
        <v>1341.4299315999999</v>
      </c>
      <c r="K2090">
        <v>0</v>
      </c>
      <c r="L2090">
        <v>2750</v>
      </c>
      <c r="M2090">
        <v>2750</v>
      </c>
      <c r="N2090">
        <v>0</v>
      </c>
    </row>
    <row r="2091" spans="1:14" x14ac:dyDescent="0.25">
      <c r="A2091">
        <v>1298.024224</v>
      </c>
      <c r="B2091" s="1">
        <f>DATE(2013,11,19) + TIME(0,34,52)</f>
        <v>41597.024212962962</v>
      </c>
      <c r="C2091">
        <v>80</v>
      </c>
      <c r="D2091">
        <v>78.436309813999998</v>
      </c>
      <c r="E2091">
        <v>50</v>
      </c>
      <c r="F2091">
        <v>49.981864928999997</v>
      </c>
      <c r="G2091">
        <v>1326.0850829999999</v>
      </c>
      <c r="H2091">
        <v>1323.2686768000001</v>
      </c>
      <c r="I2091">
        <v>1346.3474120999999</v>
      </c>
      <c r="J2091">
        <v>1341.4254149999999</v>
      </c>
      <c r="K2091">
        <v>0</v>
      </c>
      <c r="L2091">
        <v>2750</v>
      </c>
      <c r="M2091">
        <v>2750</v>
      </c>
      <c r="N2091">
        <v>0</v>
      </c>
    </row>
    <row r="2092" spans="1:14" x14ac:dyDescent="0.25">
      <c r="A2092">
        <v>1298.6502780000001</v>
      </c>
      <c r="B2092" s="1">
        <f>DATE(2013,11,19) + TIME(15,36,24)</f>
        <v>41597.650277777779</v>
      </c>
      <c r="C2092">
        <v>80</v>
      </c>
      <c r="D2092">
        <v>78.393302917</v>
      </c>
      <c r="E2092">
        <v>50</v>
      </c>
      <c r="F2092">
        <v>49.981857300000001</v>
      </c>
      <c r="G2092">
        <v>1326.0585937999999</v>
      </c>
      <c r="H2092">
        <v>1323.2316894999999</v>
      </c>
      <c r="I2092">
        <v>1346.3392334</v>
      </c>
      <c r="J2092">
        <v>1341.4210204999999</v>
      </c>
      <c r="K2092">
        <v>0</v>
      </c>
      <c r="L2092">
        <v>2750</v>
      </c>
      <c r="M2092">
        <v>2750</v>
      </c>
      <c r="N2092">
        <v>0</v>
      </c>
    </row>
    <row r="2093" spans="1:14" x14ac:dyDescent="0.25">
      <c r="A2093">
        <v>1299.2890259999999</v>
      </c>
      <c r="B2093" s="1">
        <f>DATE(2013,11,20) + TIME(6,56,11)</f>
        <v>41598.2890162037</v>
      </c>
      <c r="C2093">
        <v>80</v>
      </c>
      <c r="D2093">
        <v>78.349899292000003</v>
      </c>
      <c r="E2093">
        <v>50</v>
      </c>
      <c r="F2093">
        <v>49.981845856</v>
      </c>
      <c r="G2093">
        <v>1326.0316161999999</v>
      </c>
      <c r="H2093">
        <v>1323.1939697</v>
      </c>
      <c r="I2093">
        <v>1346.3310547000001</v>
      </c>
      <c r="J2093">
        <v>1341.416626</v>
      </c>
      <c r="K2093">
        <v>0</v>
      </c>
      <c r="L2093">
        <v>2750</v>
      </c>
      <c r="M2093">
        <v>2750</v>
      </c>
      <c r="N2093">
        <v>0</v>
      </c>
    </row>
    <row r="2094" spans="1:14" x14ac:dyDescent="0.25">
      <c r="A2094">
        <v>1299.9418700000001</v>
      </c>
      <c r="B2094" s="1">
        <f>DATE(2013,11,20) + TIME(22,36,17)</f>
        <v>41598.941863425927</v>
      </c>
      <c r="C2094">
        <v>80</v>
      </c>
      <c r="D2094">
        <v>78.306053161999998</v>
      </c>
      <c r="E2094">
        <v>50</v>
      </c>
      <c r="F2094">
        <v>49.981838226000001</v>
      </c>
      <c r="G2094">
        <v>1326.0041504000001</v>
      </c>
      <c r="H2094">
        <v>1323.1553954999999</v>
      </c>
      <c r="I2094">
        <v>1346.3229980000001</v>
      </c>
      <c r="J2094">
        <v>1341.4123535000001</v>
      </c>
      <c r="K2094">
        <v>0</v>
      </c>
      <c r="L2094">
        <v>2750</v>
      </c>
      <c r="M2094">
        <v>2750</v>
      </c>
      <c r="N2094">
        <v>0</v>
      </c>
    </row>
    <row r="2095" spans="1:14" x14ac:dyDescent="0.25">
      <c r="A2095">
        <v>1300.6102370000001</v>
      </c>
      <c r="B2095" s="1">
        <f>DATE(2013,11,21) + TIME(14,38,44)</f>
        <v>41599.610231481478</v>
      </c>
      <c r="C2095">
        <v>80</v>
      </c>
      <c r="D2095">
        <v>78.261688231999997</v>
      </c>
      <c r="E2095">
        <v>50</v>
      </c>
      <c r="F2095">
        <v>49.981830596999998</v>
      </c>
      <c r="G2095">
        <v>1325.9759521000001</v>
      </c>
      <c r="H2095">
        <v>1323.1158447</v>
      </c>
      <c r="I2095">
        <v>1346.3150635</v>
      </c>
      <c r="J2095">
        <v>1341.4080810999999</v>
      </c>
      <c r="K2095">
        <v>0</v>
      </c>
      <c r="L2095">
        <v>2750</v>
      </c>
      <c r="M2095">
        <v>2750</v>
      </c>
      <c r="N2095">
        <v>0</v>
      </c>
    </row>
    <row r="2096" spans="1:14" x14ac:dyDescent="0.25">
      <c r="A2096">
        <v>1301.2956670000001</v>
      </c>
      <c r="B2096" s="1">
        <f>DATE(2013,11,22) + TIME(7,5,45)</f>
        <v>41600.295659722222</v>
      </c>
      <c r="C2096">
        <v>80</v>
      </c>
      <c r="D2096">
        <v>78.216735839999998</v>
      </c>
      <c r="E2096">
        <v>50</v>
      </c>
      <c r="F2096">
        <v>49.981822968000003</v>
      </c>
      <c r="G2096">
        <v>1325.9470214999999</v>
      </c>
      <c r="H2096">
        <v>1323.0754394999999</v>
      </c>
      <c r="I2096">
        <v>1346.307251</v>
      </c>
      <c r="J2096">
        <v>1341.4039307</v>
      </c>
      <c r="K2096">
        <v>0</v>
      </c>
      <c r="L2096">
        <v>2750</v>
      </c>
      <c r="M2096">
        <v>2750</v>
      </c>
      <c r="N2096">
        <v>0</v>
      </c>
    </row>
    <row r="2097" spans="1:14" x14ac:dyDescent="0.25">
      <c r="A2097">
        <v>1301.9997080000001</v>
      </c>
      <c r="B2097" s="1">
        <f>DATE(2013,11,22) + TIME(23,59,34)</f>
        <v>41600.999699074076</v>
      </c>
      <c r="C2097">
        <v>80</v>
      </c>
      <c r="D2097">
        <v>78.171134949000006</v>
      </c>
      <c r="E2097">
        <v>50</v>
      </c>
      <c r="F2097">
        <v>49.981815337999997</v>
      </c>
      <c r="G2097">
        <v>1325.9174805</v>
      </c>
      <c r="H2097">
        <v>1323.0339355000001</v>
      </c>
      <c r="I2097">
        <v>1346.2994385</v>
      </c>
      <c r="J2097">
        <v>1341.3997803</v>
      </c>
      <c r="K2097">
        <v>0</v>
      </c>
      <c r="L2097">
        <v>2750</v>
      </c>
      <c r="M2097">
        <v>2750</v>
      </c>
      <c r="N2097">
        <v>0</v>
      </c>
    </row>
    <row r="2098" spans="1:14" x14ac:dyDescent="0.25">
      <c r="A2098">
        <v>1302.723831</v>
      </c>
      <c r="B2098" s="1">
        <f>DATE(2013,11,23) + TIME(17,22,18)</f>
        <v>41601.723819444444</v>
      </c>
      <c r="C2098">
        <v>80</v>
      </c>
      <c r="D2098">
        <v>78.124801636000001</v>
      </c>
      <c r="E2098">
        <v>50</v>
      </c>
      <c r="F2098">
        <v>49.981807709000002</v>
      </c>
      <c r="G2098">
        <v>1325.8869629000001</v>
      </c>
      <c r="H2098">
        <v>1322.9913329999999</v>
      </c>
      <c r="I2098">
        <v>1346.2917480000001</v>
      </c>
      <c r="J2098">
        <v>1341.3956298999999</v>
      </c>
      <c r="K2098">
        <v>0</v>
      </c>
      <c r="L2098">
        <v>2750</v>
      </c>
      <c r="M2098">
        <v>2750</v>
      </c>
      <c r="N2098">
        <v>0</v>
      </c>
    </row>
    <row r="2099" spans="1:14" x14ac:dyDescent="0.25">
      <c r="A2099">
        <v>1303.470073</v>
      </c>
      <c r="B2099" s="1">
        <f>DATE(2013,11,24) + TIME(11,16,54)</f>
        <v>41602.470069444447</v>
      </c>
      <c r="C2099">
        <v>80</v>
      </c>
      <c r="D2099">
        <v>78.077659607000001</v>
      </c>
      <c r="E2099">
        <v>50</v>
      </c>
      <c r="F2099">
        <v>49.981800079000003</v>
      </c>
      <c r="G2099">
        <v>1325.8557129000001</v>
      </c>
      <c r="H2099">
        <v>1322.9475098</v>
      </c>
      <c r="I2099">
        <v>1346.2840576000001</v>
      </c>
      <c r="J2099">
        <v>1341.3916016000001</v>
      </c>
      <c r="K2099">
        <v>0</v>
      </c>
      <c r="L2099">
        <v>2750</v>
      </c>
      <c r="M2099">
        <v>2750</v>
      </c>
      <c r="N2099">
        <v>0</v>
      </c>
    </row>
    <row r="2100" spans="1:14" x14ac:dyDescent="0.25">
      <c r="A2100">
        <v>1304.24044</v>
      </c>
      <c r="B2100" s="1">
        <f>DATE(2013,11,25) + TIME(5,46,14)</f>
        <v>41603.240439814814</v>
      </c>
      <c r="C2100">
        <v>80</v>
      </c>
      <c r="D2100">
        <v>78.029617310000006</v>
      </c>
      <c r="E2100">
        <v>50</v>
      </c>
      <c r="F2100">
        <v>49.98179245</v>
      </c>
      <c r="G2100">
        <v>1325.8234863</v>
      </c>
      <c r="H2100">
        <v>1322.9023437999999</v>
      </c>
      <c r="I2100">
        <v>1346.2763672000001</v>
      </c>
      <c r="J2100">
        <v>1341.3874512</v>
      </c>
      <c r="K2100">
        <v>0</v>
      </c>
      <c r="L2100">
        <v>2750</v>
      </c>
      <c r="M2100">
        <v>2750</v>
      </c>
      <c r="N2100">
        <v>0</v>
      </c>
    </row>
    <row r="2101" spans="1:14" x14ac:dyDescent="0.25">
      <c r="A2101">
        <v>1305.037118</v>
      </c>
      <c r="B2101" s="1">
        <f>DATE(2013,11,26) + TIME(0,53,26)</f>
        <v>41604.037106481483</v>
      </c>
      <c r="C2101">
        <v>80</v>
      </c>
      <c r="D2101">
        <v>77.980575561999999</v>
      </c>
      <c r="E2101">
        <v>50</v>
      </c>
      <c r="F2101">
        <v>49.981788635000001</v>
      </c>
      <c r="G2101">
        <v>1325.7902832</v>
      </c>
      <c r="H2101">
        <v>1322.8558350000001</v>
      </c>
      <c r="I2101">
        <v>1346.2686768000001</v>
      </c>
      <c r="J2101">
        <v>1341.3834228999999</v>
      </c>
      <c r="K2101">
        <v>0</v>
      </c>
      <c r="L2101">
        <v>2750</v>
      </c>
      <c r="M2101">
        <v>2750</v>
      </c>
      <c r="N2101">
        <v>0</v>
      </c>
    </row>
    <row r="2102" spans="1:14" x14ac:dyDescent="0.25">
      <c r="A2102">
        <v>1305.8624910000001</v>
      </c>
      <c r="B2102" s="1">
        <f>DATE(2013,11,26) + TIME(20,41,59)</f>
        <v>41604.862488425926</v>
      </c>
      <c r="C2102">
        <v>80</v>
      </c>
      <c r="D2102">
        <v>77.930442810000002</v>
      </c>
      <c r="E2102">
        <v>50</v>
      </c>
      <c r="F2102">
        <v>49.981781005999999</v>
      </c>
      <c r="G2102">
        <v>1325.7558594</v>
      </c>
      <c r="H2102">
        <v>1322.8077393000001</v>
      </c>
      <c r="I2102">
        <v>1346.2609863</v>
      </c>
      <c r="J2102">
        <v>1341.3793945</v>
      </c>
      <c r="K2102">
        <v>0</v>
      </c>
      <c r="L2102">
        <v>2750</v>
      </c>
      <c r="M2102">
        <v>2750</v>
      </c>
      <c r="N2102">
        <v>0</v>
      </c>
    </row>
    <row r="2103" spans="1:14" x14ac:dyDescent="0.25">
      <c r="A2103">
        <v>1306.719186</v>
      </c>
      <c r="B2103" s="1">
        <f>DATE(2013,11,27) + TIME(17,15,37)</f>
        <v>41605.719178240739</v>
      </c>
      <c r="C2103">
        <v>80</v>
      </c>
      <c r="D2103">
        <v>77.879112243999998</v>
      </c>
      <c r="E2103">
        <v>50</v>
      </c>
      <c r="F2103">
        <v>49.981773376</v>
      </c>
      <c r="G2103">
        <v>1325.7203368999999</v>
      </c>
      <c r="H2103">
        <v>1322.7579346</v>
      </c>
      <c r="I2103">
        <v>1346.2531738</v>
      </c>
      <c r="J2103">
        <v>1341.3753661999999</v>
      </c>
      <c r="K2103">
        <v>0</v>
      </c>
      <c r="L2103">
        <v>2750</v>
      </c>
      <c r="M2103">
        <v>2750</v>
      </c>
      <c r="N2103">
        <v>0</v>
      </c>
    </row>
    <row r="2104" spans="1:14" x14ac:dyDescent="0.25">
      <c r="A2104">
        <v>1307.610097</v>
      </c>
      <c r="B2104" s="1">
        <f>DATE(2013,11,28) + TIME(14,38,32)</f>
        <v>41606.610092592593</v>
      </c>
      <c r="C2104">
        <v>80</v>
      </c>
      <c r="D2104">
        <v>77.826461792000003</v>
      </c>
      <c r="E2104">
        <v>50</v>
      </c>
      <c r="F2104">
        <v>49.981769561999997</v>
      </c>
      <c r="G2104">
        <v>1325.6835937999999</v>
      </c>
      <c r="H2104">
        <v>1322.7064209</v>
      </c>
      <c r="I2104">
        <v>1346.2454834</v>
      </c>
      <c r="J2104">
        <v>1341.3713379000001</v>
      </c>
      <c r="K2104">
        <v>0</v>
      </c>
      <c r="L2104">
        <v>2750</v>
      </c>
      <c r="M2104">
        <v>2750</v>
      </c>
      <c r="N2104">
        <v>0</v>
      </c>
    </row>
    <row r="2105" spans="1:14" x14ac:dyDescent="0.25">
      <c r="A2105">
        <v>1308.53836</v>
      </c>
      <c r="B2105" s="1">
        <f>DATE(2013,11,29) + TIME(12,55,14)</f>
        <v>41607.538356481484</v>
      </c>
      <c r="C2105">
        <v>80</v>
      </c>
      <c r="D2105">
        <v>77.772369385000005</v>
      </c>
      <c r="E2105">
        <v>50</v>
      </c>
      <c r="F2105">
        <v>49.981761931999998</v>
      </c>
      <c r="G2105">
        <v>1325.6453856999999</v>
      </c>
      <c r="H2105">
        <v>1322.6529541</v>
      </c>
      <c r="I2105">
        <v>1346.2376709</v>
      </c>
      <c r="J2105">
        <v>1341.3671875</v>
      </c>
      <c r="K2105">
        <v>0</v>
      </c>
      <c r="L2105">
        <v>2750</v>
      </c>
      <c r="M2105">
        <v>2750</v>
      </c>
      <c r="N2105">
        <v>0</v>
      </c>
    </row>
    <row r="2106" spans="1:14" x14ac:dyDescent="0.25">
      <c r="A2106">
        <v>1309.498339</v>
      </c>
      <c r="B2106" s="1">
        <f>DATE(2013,11,30) + TIME(11,57,36)</f>
        <v>41608.498333333337</v>
      </c>
      <c r="C2106">
        <v>80</v>
      </c>
      <c r="D2106">
        <v>77.716934203999998</v>
      </c>
      <c r="E2106">
        <v>50</v>
      </c>
      <c r="F2106">
        <v>49.981754303000002</v>
      </c>
      <c r="G2106">
        <v>1325.6057129000001</v>
      </c>
      <c r="H2106">
        <v>1322.5974120999999</v>
      </c>
      <c r="I2106">
        <v>1346.2297363</v>
      </c>
      <c r="J2106">
        <v>1341.3631591999999</v>
      </c>
      <c r="K2106">
        <v>0</v>
      </c>
      <c r="L2106">
        <v>2750</v>
      </c>
      <c r="M2106">
        <v>2750</v>
      </c>
      <c r="N2106">
        <v>0</v>
      </c>
    </row>
    <row r="2107" spans="1:14" x14ac:dyDescent="0.25">
      <c r="A2107">
        <v>1310</v>
      </c>
      <c r="B2107" s="1">
        <f>DATE(2013,12,1) + TIME(0,0,0)</f>
        <v>41609</v>
      </c>
      <c r="C2107">
        <v>80</v>
      </c>
      <c r="D2107">
        <v>77.676589965999995</v>
      </c>
      <c r="E2107">
        <v>50</v>
      </c>
      <c r="F2107">
        <v>49.981750488000003</v>
      </c>
      <c r="G2107">
        <v>1325.5670166</v>
      </c>
      <c r="H2107">
        <v>1322.5444336</v>
      </c>
      <c r="I2107">
        <v>1346.2218018000001</v>
      </c>
      <c r="J2107">
        <v>1341.3588867000001</v>
      </c>
      <c r="K2107">
        <v>0</v>
      </c>
      <c r="L2107">
        <v>2750</v>
      </c>
      <c r="M2107">
        <v>2750</v>
      </c>
      <c r="N2107">
        <v>0</v>
      </c>
    </row>
    <row r="2108" spans="1:14" x14ac:dyDescent="0.25">
      <c r="A2108">
        <v>1310.9789020000001</v>
      </c>
      <c r="B2108" s="1">
        <f>DATE(2013,12,1) + TIME(23,29,37)</f>
        <v>41609.978900462964</v>
      </c>
      <c r="C2108">
        <v>80</v>
      </c>
      <c r="D2108">
        <v>77.626792907999999</v>
      </c>
      <c r="E2108">
        <v>50</v>
      </c>
      <c r="F2108">
        <v>49.981746674</v>
      </c>
      <c r="G2108">
        <v>1325.5405272999999</v>
      </c>
      <c r="H2108">
        <v>1322.5053711</v>
      </c>
      <c r="I2108">
        <v>1346.2178954999999</v>
      </c>
      <c r="J2108">
        <v>1341.3569336</v>
      </c>
      <c r="K2108">
        <v>0</v>
      </c>
      <c r="L2108">
        <v>2750</v>
      </c>
      <c r="M2108">
        <v>2750</v>
      </c>
      <c r="N2108">
        <v>0</v>
      </c>
    </row>
    <row r="2109" spans="1:14" x14ac:dyDescent="0.25">
      <c r="A2109">
        <v>1311.982397</v>
      </c>
      <c r="B2109" s="1">
        <f>DATE(2013,12,2) + TIME(23,34,39)</f>
        <v>41610.982395833336</v>
      </c>
      <c r="C2109">
        <v>80</v>
      </c>
      <c r="D2109">
        <v>77.572647094999994</v>
      </c>
      <c r="E2109">
        <v>50</v>
      </c>
      <c r="F2109">
        <v>49.981742859000001</v>
      </c>
      <c r="G2109">
        <v>1325.5002440999999</v>
      </c>
      <c r="H2109">
        <v>1322.4494629000001</v>
      </c>
      <c r="I2109">
        <v>1346.2103271000001</v>
      </c>
      <c r="J2109">
        <v>1341.3530272999999</v>
      </c>
      <c r="K2109">
        <v>0</v>
      </c>
      <c r="L2109">
        <v>2750</v>
      </c>
      <c r="M2109">
        <v>2750</v>
      </c>
      <c r="N2109">
        <v>0</v>
      </c>
    </row>
    <row r="2110" spans="1:14" x14ac:dyDescent="0.25">
      <c r="A2110">
        <v>1313.0055629999999</v>
      </c>
      <c r="B2110" s="1">
        <f>DATE(2013,12,4) + TIME(0,8,0)</f>
        <v>41612.005555555559</v>
      </c>
      <c r="C2110">
        <v>80</v>
      </c>
      <c r="D2110">
        <v>77.516372681000007</v>
      </c>
      <c r="E2110">
        <v>50</v>
      </c>
      <c r="F2110">
        <v>49.981735229000002</v>
      </c>
      <c r="G2110">
        <v>1325.4581298999999</v>
      </c>
      <c r="H2110">
        <v>1322.3908690999999</v>
      </c>
      <c r="I2110">
        <v>1346.2026367000001</v>
      </c>
      <c r="J2110">
        <v>1341.3491211</v>
      </c>
      <c r="K2110">
        <v>0</v>
      </c>
      <c r="L2110">
        <v>2750</v>
      </c>
      <c r="M2110">
        <v>2750</v>
      </c>
      <c r="N2110">
        <v>0</v>
      </c>
    </row>
    <row r="2111" spans="1:14" x14ac:dyDescent="0.25">
      <c r="A2111">
        <v>1314.050737</v>
      </c>
      <c r="B2111" s="1">
        <f>DATE(2013,12,5) + TIME(1,13,3)</f>
        <v>41613.050729166665</v>
      </c>
      <c r="C2111">
        <v>80</v>
      </c>
      <c r="D2111">
        <v>77.458930968999994</v>
      </c>
      <c r="E2111">
        <v>50</v>
      </c>
      <c r="F2111">
        <v>49.981731414999999</v>
      </c>
      <c r="G2111">
        <v>1325.4149170000001</v>
      </c>
      <c r="H2111">
        <v>1322.3304443</v>
      </c>
      <c r="I2111">
        <v>1346.1951904</v>
      </c>
      <c r="J2111">
        <v>1341.3452147999999</v>
      </c>
      <c r="K2111">
        <v>0</v>
      </c>
      <c r="L2111">
        <v>2750</v>
      </c>
      <c r="M2111">
        <v>2750</v>
      </c>
      <c r="N2111">
        <v>0</v>
      </c>
    </row>
    <row r="2112" spans="1:14" x14ac:dyDescent="0.25">
      <c r="A2112">
        <v>1315.1203519999999</v>
      </c>
      <c r="B2112" s="1">
        <f>DATE(2013,12,6) + TIME(2,53,18)</f>
        <v>41614.120347222219</v>
      </c>
      <c r="C2112">
        <v>80</v>
      </c>
      <c r="D2112">
        <v>77.400665282999995</v>
      </c>
      <c r="E2112">
        <v>50</v>
      </c>
      <c r="F2112">
        <v>49.981727599999999</v>
      </c>
      <c r="G2112">
        <v>1325.3707274999999</v>
      </c>
      <c r="H2112">
        <v>1322.2685547000001</v>
      </c>
      <c r="I2112">
        <v>1346.1877440999999</v>
      </c>
      <c r="J2112">
        <v>1341.3414307</v>
      </c>
      <c r="K2112">
        <v>0</v>
      </c>
      <c r="L2112">
        <v>2750</v>
      </c>
      <c r="M2112">
        <v>2750</v>
      </c>
      <c r="N2112">
        <v>0</v>
      </c>
    </row>
    <row r="2113" spans="1:14" x14ac:dyDescent="0.25">
      <c r="A2113">
        <v>1316.217093</v>
      </c>
      <c r="B2113" s="1">
        <f>DATE(2013,12,7) + TIME(5,12,36)</f>
        <v>41615.217083333337</v>
      </c>
      <c r="C2113">
        <v>80</v>
      </c>
      <c r="D2113">
        <v>77.341636657999999</v>
      </c>
      <c r="E2113">
        <v>50</v>
      </c>
      <c r="F2113">
        <v>49.981723785</v>
      </c>
      <c r="G2113">
        <v>1325.3255615</v>
      </c>
      <c r="H2113">
        <v>1322.2054443</v>
      </c>
      <c r="I2113">
        <v>1346.1804199000001</v>
      </c>
      <c r="J2113">
        <v>1341.3376464999999</v>
      </c>
      <c r="K2113">
        <v>0</v>
      </c>
      <c r="L2113">
        <v>2750</v>
      </c>
      <c r="M2113">
        <v>2750</v>
      </c>
      <c r="N2113">
        <v>0</v>
      </c>
    </row>
    <row r="2114" spans="1:14" x14ac:dyDescent="0.25">
      <c r="A2114">
        <v>1317.3436380000001</v>
      </c>
      <c r="B2114" s="1">
        <f>DATE(2013,12,8) + TIME(8,14,50)</f>
        <v>41616.343634259261</v>
      </c>
      <c r="C2114">
        <v>80</v>
      </c>
      <c r="D2114">
        <v>77.281806946000003</v>
      </c>
      <c r="E2114">
        <v>50</v>
      </c>
      <c r="F2114">
        <v>49.981719970999997</v>
      </c>
      <c r="G2114">
        <v>1325.2794189000001</v>
      </c>
      <c r="H2114">
        <v>1322.1408690999999</v>
      </c>
      <c r="I2114">
        <v>1346.1730957</v>
      </c>
      <c r="J2114">
        <v>1341.3339844</v>
      </c>
      <c r="K2114">
        <v>0</v>
      </c>
      <c r="L2114">
        <v>2750</v>
      </c>
      <c r="M2114">
        <v>2750</v>
      </c>
      <c r="N2114">
        <v>0</v>
      </c>
    </row>
    <row r="2115" spans="1:14" x14ac:dyDescent="0.25">
      <c r="A2115">
        <v>1318.5025840000001</v>
      </c>
      <c r="B2115" s="1">
        <f>DATE(2013,12,9) + TIME(12,3,43)</f>
        <v>41617.502581018518</v>
      </c>
      <c r="C2115">
        <v>80</v>
      </c>
      <c r="D2115">
        <v>77.221092224000003</v>
      </c>
      <c r="E2115">
        <v>50</v>
      </c>
      <c r="F2115">
        <v>49.981716155999997</v>
      </c>
      <c r="G2115">
        <v>1325.2321777</v>
      </c>
      <c r="H2115">
        <v>1322.0749512</v>
      </c>
      <c r="I2115">
        <v>1346.1657714999999</v>
      </c>
      <c r="J2115">
        <v>1341.3302002</v>
      </c>
      <c r="K2115">
        <v>0</v>
      </c>
      <c r="L2115">
        <v>2750</v>
      </c>
      <c r="M2115">
        <v>2750</v>
      </c>
      <c r="N2115">
        <v>0</v>
      </c>
    </row>
    <row r="2116" spans="1:14" x14ac:dyDescent="0.25">
      <c r="A2116">
        <v>1319.697332</v>
      </c>
      <c r="B2116" s="1">
        <f>DATE(2013,12,10) + TIME(16,44,9)</f>
        <v>41618.697326388887</v>
      </c>
      <c r="C2116">
        <v>80</v>
      </c>
      <c r="D2116">
        <v>77.159370421999995</v>
      </c>
      <c r="E2116">
        <v>50</v>
      </c>
      <c r="F2116">
        <v>49.981712340999998</v>
      </c>
      <c r="G2116">
        <v>1325.1837158000001</v>
      </c>
      <c r="H2116">
        <v>1322.0073242000001</v>
      </c>
      <c r="I2116">
        <v>1346.1584473</v>
      </c>
      <c r="J2116">
        <v>1341.3265381000001</v>
      </c>
      <c r="K2116">
        <v>0</v>
      </c>
      <c r="L2116">
        <v>2750</v>
      </c>
      <c r="M2116">
        <v>2750</v>
      </c>
      <c r="N2116">
        <v>0</v>
      </c>
    </row>
    <row r="2117" spans="1:14" x14ac:dyDescent="0.25">
      <c r="A2117">
        <v>1320.931433</v>
      </c>
      <c r="B2117" s="1">
        <f>DATE(2013,12,11) + TIME(22,21,15)</f>
        <v>41619.931423611109</v>
      </c>
      <c r="C2117">
        <v>80</v>
      </c>
      <c r="D2117">
        <v>77.096504210999996</v>
      </c>
      <c r="E2117">
        <v>50</v>
      </c>
      <c r="F2117">
        <v>49.981708527000002</v>
      </c>
      <c r="G2117">
        <v>1325.1341553</v>
      </c>
      <c r="H2117">
        <v>1321.9379882999999</v>
      </c>
      <c r="I2117">
        <v>1346.1511230000001</v>
      </c>
      <c r="J2117">
        <v>1341.322876</v>
      </c>
      <c r="K2117">
        <v>0</v>
      </c>
      <c r="L2117">
        <v>2750</v>
      </c>
      <c r="M2117">
        <v>2750</v>
      </c>
      <c r="N2117">
        <v>0</v>
      </c>
    </row>
    <row r="2118" spans="1:14" x14ac:dyDescent="0.25">
      <c r="A2118">
        <v>1322.2087429999999</v>
      </c>
      <c r="B2118" s="1">
        <f>DATE(2013,12,13) + TIME(5,0,35)</f>
        <v>41621.208738425928</v>
      </c>
      <c r="C2118">
        <v>80</v>
      </c>
      <c r="D2118">
        <v>77.032333374000004</v>
      </c>
      <c r="E2118">
        <v>50</v>
      </c>
      <c r="F2118">
        <v>49.981704712000003</v>
      </c>
      <c r="G2118">
        <v>1325.0831298999999</v>
      </c>
      <c r="H2118">
        <v>1321.8668213000001</v>
      </c>
      <c r="I2118">
        <v>1346.1439209</v>
      </c>
      <c r="J2118">
        <v>1341.3192139</v>
      </c>
      <c r="K2118">
        <v>0</v>
      </c>
      <c r="L2118">
        <v>2750</v>
      </c>
      <c r="M2118">
        <v>2750</v>
      </c>
      <c r="N2118">
        <v>0</v>
      </c>
    </row>
    <row r="2119" spans="1:14" x14ac:dyDescent="0.25">
      <c r="A2119">
        <v>1323.53349</v>
      </c>
      <c r="B2119" s="1">
        <f>DATE(2013,12,14) + TIME(12,48,13)</f>
        <v>41622.533483796295</v>
      </c>
      <c r="C2119">
        <v>80</v>
      </c>
      <c r="D2119">
        <v>76.966705321999996</v>
      </c>
      <c r="E2119">
        <v>50</v>
      </c>
      <c r="F2119">
        <v>49.981704712000003</v>
      </c>
      <c r="G2119">
        <v>1325.0306396000001</v>
      </c>
      <c r="H2119">
        <v>1321.7935791</v>
      </c>
      <c r="I2119">
        <v>1346.1364745999999</v>
      </c>
      <c r="J2119">
        <v>1341.3155518000001</v>
      </c>
      <c r="K2119">
        <v>0</v>
      </c>
      <c r="L2119">
        <v>2750</v>
      </c>
      <c r="M2119">
        <v>2750</v>
      </c>
      <c r="N2119">
        <v>0</v>
      </c>
    </row>
    <row r="2120" spans="1:14" x14ac:dyDescent="0.25">
      <c r="A2120">
        <v>1324.910333</v>
      </c>
      <c r="B2120" s="1">
        <f>DATE(2013,12,15) + TIME(21,50,52)</f>
        <v>41623.910324074073</v>
      </c>
      <c r="C2120">
        <v>80</v>
      </c>
      <c r="D2120">
        <v>76.899436950999998</v>
      </c>
      <c r="E2120">
        <v>50</v>
      </c>
      <c r="F2120">
        <v>49.981700897000003</v>
      </c>
      <c r="G2120">
        <v>1324.9764404</v>
      </c>
      <c r="H2120">
        <v>1321.7180175999999</v>
      </c>
      <c r="I2120">
        <v>1346.1291504000001</v>
      </c>
      <c r="J2120">
        <v>1341.3117675999999</v>
      </c>
      <c r="K2120">
        <v>0</v>
      </c>
      <c r="L2120">
        <v>2750</v>
      </c>
      <c r="M2120">
        <v>2750</v>
      </c>
      <c r="N2120">
        <v>0</v>
      </c>
    </row>
    <row r="2121" spans="1:14" x14ac:dyDescent="0.25">
      <c r="A2121">
        <v>1326.344431</v>
      </c>
      <c r="B2121" s="1">
        <f>DATE(2013,12,17) + TIME(8,15,58)</f>
        <v>41625.344421296293</v>
      </c>
      <c r="C2121">
        <v>80</v>
      </c>
      <c r="D2121">
        <v>76.830314635999997</v>
      </c>
      <c r="E2121">
        <v>50</v>
      </c>
      <c r="F2121">
        <v>49.981700897000003</v>
      </c>
      <c r="G2121">
        <v>1324.9204102000001</v>
      </c>
      <c r="H2121">
        <v>1321.6398925999999</v>
      </c>
      <c r="I2121">
        <v>1346.1217041</v>
      </c>
      <c r="J2121">
        <v>1341.3081055</v>
      </c>
      <c r="K2121">
        <v>0</v>
      </c>
      <c r="L2121">
        <v>2750</v>
      </c>
      <c r="M2121">
        <v>2750</v>
      </c>
      <c r="N2121">
        <v>0</v>
      </c>
    </row>
    <row r="2122" spans="1:14" x14ac:dyDescent="0.25">
      <c r="A2122">
        <v>1327.8273200000001</v>
      </c>
      <c r="B2122" s="1">
        <f>DATE(2013,12,18) + TIME(19,51,20)</f>
        <v>41626.827314814815</v>
      </c>
      <c r="C2122">
        <v>80</v>
      </c>
      <c r="D2122">
        <v>76.759330750000004</v>
      </c>
      <c r="E2122">
        <v>50</v>
      </c>
      <c r="F2122">
        <v>49.981697083</v>
      </c>
      <c r="G2122">
        <v>1324.8625488</v>
      </c>
      <c r="H2122">
        <v>1321.5593262</v>
      </c>
      <c r="I2122">
        <v>1346.1141356999999</v>
      </c>
      <c r="J2122">
        <v>1341.3043213000001</v>
      </c>
      <c r="K2122">
        <v>0</v>
      </c>
      <c r="L2122">
        <v>2750</v>
      </c>
      <c r="M2122">
        <v>2750</v>
      </c>
      <c r="N2122">
        <v>0</v>
      </c>
    </row>
    <row r="2123" spans="1:14" x14ac:dyDescent="0.25">
      <c r="A2123">
        <v>1329.336143</v>
      </c>
      <c r="B2123" s="1">
        <f>DATE(2013,12,20) + TIME(8,4,2)</f>
        <v>41628.336134259262</v>
      </c>
      <c r="C2123">
        <v>80</v>
      </c>
      <c r="D2123">
        <v>76.686981200999995</v>
      </c>
      <c r="E2123">
        <v>50</v>
      </c>
      <c r="F2123">
        <v>49.981697083</v>
      </c>
      <c r="G2123">
        <v>1324.8029785000001</v>
      </c>
      <c r="H2123">
        <v>1321.4763184000001</v>
      </c>
      <c r="I2123">
        <v>1346.1065673999999</v>
      </c>
      <c r="J2123">
        <v>1341.3005370999999</v>
      </c>
      <c r="K2123">
        <v>0</v>
      </c>
      <c r="L2123">
        <v>2750</v>
      </c>
      <c r="M2123">
        <v>2750</v>
      </c>
      <c r="N2123">
        <v>0</v>
      </c>
    </row>
    <row r="2124" spans="1:14" x14ac:dyDescent="0.25">
      <c r="A2124">
        <v>1330.8750749999999</v>
      </c>
      <c r="B2124" s="1">
        <f>DATE(2013,12,21) + TIME(21,0,6)</f>
        <v>41629.875069444446</v>
      </c>
      <c r="C2124">
        <v>80</v>
      </c>
      <c r="D2124">
        <v>76.613792419000006</v>
      </c>
      <c r="E2124">
        <v>50</v>
      </c>
      <c r="F2124">
        <v>49.981693268000001</v>
      </c>
      <c r="G2124">
        <v>1324.7425536999999</v>
      </c>
      <c r="H2124">
        <v>1321.3920897999999</v>
      </c>
      <c r="I2124">
        <v>1346.098999</v>
      </c>
      <c r="J2124">
        <v>1341.2967529</v>
      </c>
      <c r="K2124">
        <v>0</v>
      </c>
      <c r="L2124">
        <v>2750</v>
      </c>
      <c r="M2124">
        <v>2750</v>
      </c>
      <c r="N2124">
        <v>0</v>
      </c>
    </row>
    <row r="2125" spans="1:14" x14ac:dyDescent="0.25">
      <c r="A2125">
        <v>1332.4480020000001</v>
      </c>
      <c r="B2125" s="1">
        <f>DATE(2013,12,23) + TIME(10,45,7)</f>
        <v>41631.447997685187</v>
      </c>
      <c r="C2125">
        <v>80</v>
      </c>
      <c r="D2125">
        <v>76.539772033999995</v>
      </c>
      <c r="E2125">
        <v>50</v>
      </c>
      <c r="F2125">
        <v>49.981693268000001</v>
      </c>
      <c r="G2125">
        <v>1324.6811522999999</v>
      </c>
      <c r="H2125">
        <v>1321.3066406</v>
      </c>
      <c r="I2125">
        <v>1346.0915527</v>
      </c>
      <c r="J2125">
        <v>1341.2930908000001</v>
      </c>
      <c r="K2125">
        <v>0</v>
      </c>
      <c r="L2125">
        <v>2750</v>
      </c>
      <c r="M2125">
        <v>2750</v>
      </c>
      <c r="N2125">
        <v>0</v>
      </c>
    </row>
    <row r="2126" spans="1:14" x14ac:dyDescent="0.25">
      <c r="A2126">
        <v>1334.0591710000001</v>
      </c>
      <c r="B2126" s="1">
        <f>DATE(2013,12,25) + TIME(1,25,12)</f>
        <v>41633.059166666666</v>
      </c>
      <c r="C2126">
        <v>80</v>
      </c>
      <c r="D2126">
        <v>76.464767456000004</v>
      </c>
      <c r="E2126">
        <v>50</v>
      </c>
      <c r="F2126">
        <v>49.981693268000001</v>
      </c>
      <c r="G2126">
        <v>1324.6188964999999</v>
      </c>
      <c r="H2126">
        <v>1321.2199707</v>
      </c>
      <c r="I2126">
        <v>1346.0842285000001</v>
      </c>
      <c r="J2126">
        <v>1341.2894286999999</v>
      </c>
      <c r="K2126">
        <v>0</v>
      </c>
      <c r="L2126">
        <v>2750</v>
      </c>
      <c r="M2126">
        <v>2750</v>
      </c>
      <c r="N2126">
        <v>0</v>
      </c>
    </row>
    <row r="2127" spans="1:14" x14ac:dyDescent="0.25">
      <c r="A2127">
        <v>1335.71315</v>
      </c>
      <c r="B2127" s="1">
        <f>DATE(2013,12,26) + TIME(17,6,56)</f>
        <v>41634.713148148148</v>
      </c>
      <c r="C2127">
        <v>80</v>
      </c>
      <c r="D2127">
        <v>76.388557434000006</v>
      </c>
      <c r="E2127">
        <v>50</v>
      </c>
      <c r="F2127">
        <v>49.981693268000001</v>
      </c>
      <c r="G2127">
        <v>1324.5556641000001</v>
      </c>
      <c r="H2127">
        <v>1321.1318358999999</v>
      </c>
      <c r="I2127">
        <v>1346.0769043</v>
      </c>
      <c r="J2127">
        <v>1341.2858887</v>
      </c>
      <c r="K2127">
        <v>0</v>
      </c>
      <c r="L2127">
        <v>2750</v>
      </c>
      <c r="M2127">
        <v>2750</v>
      </c>
      <c r="N2127">
        <v>0</v>
      </c>
    </row>
    <row r="2128" spans="1:14" x14ac:dyDescent="0.25">
      <c r="A2128">
        <v>1337.4149500000001</v>
      </c>
      <c r="B2128" s="1">
        <f>DATE(2013,12,28) + TIME(9,57,31)</f>
        <v>41636.414942129632</v>
      </c>
      <c r="C2128">
        <v>80</v>
      </c>
      <c r="D2128">
        <v>76.310913085999999</v>
      </c>
      <c r="E2128">
        <v>50</v>
      </c>
      <c r="F2128">
        <v>49.981693268000001</v>
      </c>
      <c r="G2128">
        <v>1324.4912108999999</v>
      </c>
      <c r="H2128">
        <v>1321.0422363</v>
      </c>
      <c r="I2128">
        <v>1346.0695800999999</v>
      </c>
      <c r="J2128">
        <v>1341.2822266000001</v>
      </c>
      <c r="K2128">
        <v>0</v>
      </c>
      <c r="L2128">
        <v>2750</v>
      </c>
      <c r="M2128">
        <v>2750</v>
      </c>
      <c r="N2128">
        <v>0</v>
      </c>
    </row>
    <row r="2129" spans="1:14" x14ac:dyDescent="0.25">
      <c r="A2129">
        <v>1339.169081</v>
      </c>
      <c r="B2129" s="1">
        <f>DATE(2013,12,30) + TIME(4,3,28)</f>
        <v>41638.169074074074</v>
      </c>
      <c r="C2129">
        <v>80</v>
      </c>
      <c r="D2129">
        <v>76.231567382999998</v>
      </c>
      <c r="E2129">
        <v>50</v>
      </c>
      <c r="F2129">
        <v>49.981693268000001</v>
      </c>
      <c r="G2129">
        <v>1324.4254149999999</v>
      </c>
      <c r="H2129">
        <v>1320.9506836</v>
      </c>
      <c r="I2129">
        <v>1346.0621338000001</v>
      </c>
      <c r="J2129">
        <v>1341.2785644999999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1341</v>
      </c>
      <c r="B2130" s="1">
        <f>DATE(2014,1,1) + TIME(0,0,0)</f>
        <v>41640</v>
      </c>
      <c r="C2130">
        <v>80</v>
      </c>
      <c r="D2130">
        <v>76.150024414000001</v>
      </c>
      <c r="E2130">
        <v>50</v>
      </c>
      <c r="F2130">
        <v>49.981693268000001</v>
      </c>
      <c r="G2130">
        <v>1324.3581543</v>
      </c>
      <c r="H2130">
        <v>1320.8571777</v>
      </c>
      <c r="I2130">
        <v>1346.0548096</v>
      </c>
      <c r="J2130">
        <v>1341.2749022999999</v>
      </c>
      <c r="K2130">
        <v>0</v>
      </c>
      <c r="L2130">
        <v>2750</v>
      </c>
      <c r="M2130">
        <v>2750</v>
      </c>
      <c r="N2130">
        <v>0</v>
      </c>
    </row>
    <row r="2131" spans="1:14" x14ac:dyDescent="0.25">
      <c r="A2131">
        <v>1342.811774</v>
      </c>
      <c r="B2131" s="1">
        <f>DATE(2014,1,2) + TIME(19,28,57)</f>
        <v>41641.81177083333</v>
      </c>
      <c r="C2131">
        <v>80</v>
      </c>
      <c r="D2131">
        <v>76.066665649000001</v>
      </c>
      <c r="E2131">
        <v>50</v>
      </c>
      <c r="F2131">
        <v>49.981693268000001</v>
      </c>
      <c r="G2131">
        <v>1324.2889404</v>
      </c>
      <c r="H2131">
        <v>1320.7612305</v>
      </c>
      <c r="I2131">
        <v>1346.0472411999999</v>
      </c>
      <c r="J2131">
        <v>1341.2712402</v>
      </c>
      <c r="K2131">
        <v>0</v>
      </c>
      <c r="L2131">
        <v>2750</v>
      </c>
      <c r="M2131">
        <v>2750</v>
      </c>
      <c r="N2131">
        <v>0</v>
      </c>
    </row>
    <row r="2132" spans="1:14" x14ac:dyDescent="0.25">
      <c r="A2132">
        <v>1344.754083</v>
      </c>
      <c r="B2132" s="1">
        <f>DATE(2014,1,4) + TIME(18,5,52)</f>
        <v>41643.754074074073</v>
      </c>
      <c r="C2132">
        <v>80</v>
      </c>
      <c r="D2132">
        <v>75.982040405000006</v>
      </c>
      <c r="E2132">
        <v>50</v>
      </c>
      <c r="F2132">
        <v>49.981697083</v>
      </c>
      <c r="G2132">
        <v>1324.2198486</v>
      </c>
      <c r="H2132">
        <v>1320.6650391000001</v>
      </c>
      <c r="I2132">
        <v>1346.0400391000001</v>
      </c>
      <c r="J2132">
        <v>1341.2677002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1346.761364</v>
      </c>
      <c r="B2133" s="1">
        <f>DATE(2014,1,6) + TIME(18,16,21)</f>
        <v>41645.761354166665</v>
      </c>
      <c r="C2133">
        <v>80</v>
      </c>
      <c r="D2133">
        <v>75.893478393999999</v>
      </c>
      <c r="E2133">
        <v>50</v>
      </c>
      <c r="F2133">
        <v>49.981697083</v>
      </c>
      <c r="G2133">
        <v>1324.1478271000001</v>
      </c>
      <c r="H2133">
        <v>1320.5651855000001</v>
      </c>
      <c r="I2133">
        <v>1346.0324707</v>
      </c>
      <c r="J2133">
        <v>1341.2639160000001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1348.832637</v>
      </c>
      <c r="B2134" s="1">
        <f>DATE(2014,1,8) + TIME(19,58,59)</f>
        <v>41647.832627314812</v>
      </c>
      <c r="C2134">
        <v>80</v>
      </c>
      <c r="D2134">
        <v>75.801795959000003</v>
      </c>
      <c r="E2134">
        <v>50</v>
      </c>
      <c r="F2134">
        <v>49.981700897000003</v>
      </c>
      <c r="G2134">
        <v>1324.0737305</v>
      </c>
      <c r="H2134">
        <v>1320.4625243999999</v>
      </c>
      <c r="I2134">
        <v>1346.0247803</v>
      </c>
      <c r="J2134">
        <v>1341.2601318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1350.9853430000001</v>
      </c>
      <c r="B2135" s="1">
        <f>DATE(2014,1,10) + TIME(23,38,53)</f>
        <v>41649.985335648147</v>
      </c>
      <c r="C2135">
        <v>80</v>
      </c>
      <c r="D2135">
        <v>75.706962584999999</v>
      </c>
      <c r="E2135">
        <v>50</v>
      </c>
      <c r="F2135">
        <v>49.981704712000003</v>
      </c>
      <c r="G2135">
        <v>1323.9979248</v>
      </c>
      <c r="H2135">
        <v>1320.3572998</v>
      </c>
      <c r="I2135">
        <v>1346.0170897999999</v>
      </c>
      <c r="J2135">
        <v>1341.2563477000001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1353.189331</v>
      </c>
      <c r="B2136" s="1">
        <f>DATE(2014,1,13) + TIME(4,32,38)</f>
        <v>41652.189328703702</v>
      </c>
      <c r="C2136">
        <v>80</v>
      </c>
      <c r="D2136">
        <v>75.608711243000002</v>
      </c>
      <c r="E2136">
        <v>50</v>
      </c>
      <c r="F2136">
        <v>49.981708527000002</v>
      </c>
      <c r="G2136">
        <v>1323.9200439000001</v>
      </c>
      <c r="H2136">
        <v>1320.2493896000001</v>
      </c>
      <c r="I2136">
        <v>1346.0092772999999</v>
      </c>
      <c r="J2136">
        <v>1341.2524414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1355.4384769999999</v>
      </c>
      <c r="B2137" s="1">
        <f>DATE(2014,1,15) + TIME(10,31,24)</f>
        <v>41654.438472222224</v>
      </c>
      <c r="C2137">
        <v>80</v>
      </c>
      <c r="D2137">
        <v>75.507720946999996</v>
      </c>
      <c r="E2137">
        <v>50</v>
      </c>
      <c r="F2137">
        <v>49.981708527000002</v>
      </c>
      <c r="G2137">
        <v>1323.8408202999999</v>
      </c>
      <c r="H2137">
        <v>1320.1396483999999</v>
      </c>
      <c r="I2137">
        <v>1346.0015868999999</v>
      </c>
      <c r="J2137">
        <v>1341.2486572</v>
      </c>
      <c r="K2137">
        <v>0</v>
      </c>
      <c r="L2137">
        <v>2750</v>
      </c>
      <c r="M2137">
        <v>2750</v>
      </c>
      <c r="N2137">
        <v>0</v>
      </c>
    </row>
    <row r="2138" spans="1:14" x14ac:dyDescent="0.25">
      <c r="A2138">
        <v>1357.7508250000001</v>
      </c>
      <c r="B2138" s="1">
        <f>DATE(2014,1,17) + TIME(18,1,11)</f>
        <v>41656.750821759262</v>
      </c>
      <c r="C2138">
        <v>80</v>
      </c>
      <c r="D2138">
        <v>75.403999329000001</v>
      </c>
      <c r="E2138">
        <v>50</v>
      </c>
      <c r="F2138">
        <v>49.981712340999998</v>
      </c>
      <c r="G2138">
        <v>1323.7608643000001</v>
      </c>
      <c r="H2138">
        <v>1320.0286865</v>
      </c>
      <c r="I2138">
        <v>1345.9937743999999</v>
      </c>
      <c r="J2138">
        <v>1341.244751</v>
      </c>
      <c r="K2138">
        <v>0</v>
      </c>
      <c r="L2138">
        <v>2750</v>
      </c>
      <c r="M2138">
        <v>2750</v>
      </c>
      <c r="N2138">
        <v>0</v>
      </c>
    </row>
    <row r="2139" spans="1:14" x14ac:dyDescent="0.25">
      <c r="A2139">
        <v>1360.1163590000001</v>
      </c>
      <c r="B2139" s="1">
        <f>DATE(2014,1,20) + TIME(2,47,33)</f>
        <v>41659.116354166668</v>
      </c>
      <c r="C2139">
        <v>80</v>
      </c>
      <c r="D2139">
        <v>75.297035217000001</v>
      </c>
      <c r="E2139">
        <v>50</v>
      </c>
      <c r="F2139">
        <v>49.981719970999997</v>
      </c>
      <c r="G2139">
        <v>1323.6795654</v>
      </c>
      <c r="H2139">
        <v>1319.9161377</v>
      </c>
      <c r="I2139">
        <v>1345.9859618999999</v>
      </c>
      <c r="J2139">
        <v>1341.2408447</v>
      </c>
      <c r="K2139">
        <v>0</v>
      </c>
      <c r="L2139">
        <v>2750</v>
      </c>
      <c r="M2139">
        <v>2750</v>
      </c>
      <c r="N2139">
        <v>0</v>
      </c>
    </row>
    <row r="2140" spans="1:14" x14ac:dyDescent="0.25">
      <c r="A2140">
        <v>1362.5061679999999</v>
      </c>
      <c r="B2140" s="1">
        <f>DATE(2014,1,22) + TIME(12,8,52)</f>
        <v>41661.506157407406</v>
      </c>
      <c r="C2140">
        <v>80</v>
      </c>
      <c r="D2140">
        <v>75.187103270999998</v>
      </c>
      <c r="E2140">
        <v>50</v>
      </c>
      <c r="F2140">
        <v>49.981723785</v>
      </c>
      <c r="G2140">
        <v>1323.5974120999999</v>
      </c>
      <c r="H2140">
        <v>1319.8023682</v>
      </c>
      <c r="I2140">
        <v>1345.9781493999999</v>
      </c>
      <c r="J2140">
        <v>1341.2369385</v>
      </c>
      <c r="K2140">
        <v>0</v>
      </c>
      <c r="L2140">
        <v>2750</v>
      </c>
      <c r="M2140">
        <v>2750</v>
      </c>
      <c r="N2140">
        <v>0</v>
      </c>
    </row>
    <row r="2141" spans="1:14" x14ac:dyDescent="0.25">
      <c r="A2141">
        <v>1364.938412</v>
      </c>
      <c r="B2141" s="1">
        <f>DATE(2014,1,24) + TIME(22,31,18)</f>
        <v>41663.938402777778</v>
      </c>
      <c r="C2141">
        <v>80</v>
      </c>
      <c r="D2141">
        <v>75.074836731000005</v>
      </c>
      <c r="E2141">
        <v>50</v>
      </c>
      <c r="F2141">
        <v>49.981727599999999</v>
      </c>
      <c r="G2141">
        <v>1323.5150146000001</v>
      </c>
      <c r="H2141">
        <v>1319.6883545000001</v>
      </c>
      <c r="I2141">
        <v>1345.9703368999999</v>
      </c>
      <c r="J2141">
        <v>1341.2330322</v>
      </c>
      <c r="K2141">
        <v>0</v>
      </c>
      <c r="L2141">
        <v>2750</v>
      </c>
      <c r="M2141">
        <v>2750</v>
      </c>
      <c r="N2141">
        <v>0</v>
      </c>
    </row>
    <row r="2142" spans="1:14" x14ac:dyDescent="0.25">
      <c r="A2142">
        <v>1367.439447</v>
      </c>
      <c r="B2142" s="1">
        <f>DATE(2014,1,27) + TIME(10,32,48)</f>
        <v>41666.439444444448</v>
      </c>
      <c r="C2142">
        <v>80</v>
      </c>
      <c r="D2142">
        <v>74.959388732999997</v>
      </c>
      <c r="E2142">
        <v>50</v>
      </c>
      <c r="F2142">
        <v>49.981735229000002</v>
      </c>
      <c r="G2142">
        <v>1323.4323730000001</v>
      </c>
      <c r="H2142">
        <v>1319.5738524999999</v>
      </c>
      <c r="I2142">
        <v>1345.9626464999999</v>
      </c>
      <c r="J2142">
        <v>1341.229126</v>
      </c>
      <c r="K2142">
        <v>0</v>
      </c>
      <c r="L2142">
        <v>2750</v>
      </c>
      <c r="M2142">
        <v>2750</v>
      </c>
      <c r="N2142">
        <v>0</v>
      </c>
    </row>
    <row r="2143" spans="1:14" x14ac:dyDescent="0.25">
      <c r="A2143">
        <v>1370.029509</v>
      </c>
      <c r="B2143" s="1">
        <f>DATE(2014,1,30) + TIME(0,42,29)</f>
        <v>41669.029502314814</v>
      </c>
      <c r="C2143">
        <v>80</v>
      </c>
      <c r="D2143">
        <v>74.839424132999994</v>
      </c>
      <c r="E2143">
        <v>50</v>
      </c>
      <c r="F2143">
        <v>49.981739044000001</v>
      </c>
      <c r="G2143">
        <v>1323.3485106999999</v>
      </c>
      <c r="H2143">
        <v>1319.4578856999999</v>
      </c>
      <c r="I2143">
        <v>1345.9548339999999</v>
      </c>
      <c r="J2143">
        <v>1341.2250977000001</v>
      </c>
      <c r="K2143">
        <v>0</v>
      </c>
      <c r="L2143">
        <v>2750</v>
      </c>
      <c r="M2143">
        <v>2750</v>
      </c>
      <c r="N2143">
        <v>0</v>
      </c>
    </row>
    <row r="2144" spans="1:14" x14ac:dyDescent="0.25">
      <c r="A2144">
        <v>1372</v>
      </c>
      <c r="B2144" s="1">
        <f>DATE(2014,2,1) + TIME(0,0,0)</f>
        <v>41671</v>
      </c>
      <c r="C2144">
        <v>80</v>
      </c>
      <c r="D2144">
        <v>74.721382141000007</v>
      </c>
      <c r="E2144">
        <v>50</v>
      </c>
      <c r="F2144">
        <v>49.981742859000001</v>
      </c>
      <c r="G2144">
        <v>1323.2640381000001</v>
      </c>
      <c r="H2144">
        <v>1319.3419189000001</v>
      </c>
      <c r="I2144">
        <v>1345.9468993999999</v>
      </c>
      <c r="J2144">
        <v>1341.2209473</v>
      </c>
      <c r="K2144">
        <v>0</v>
      </c>
      <c r="L2144">
        <v>2750</v>
      </c>
      <c r="M2144">
        <v>2750</v>
      </c>
      <c r="N2144">
        <v>0</v>
      </c>
    </row>
    <row r="2145" spans="1:14" x14ac:dyDescent="0.25">
      <c r="A2145">
        <v>1374.63051</v>
      </c>
      <c r="B2145" s="1">
        <f>DATE(2014,2,3) + TIME(15,7,56)</f>
        <v>41673.630509259259</v>
      </c>
      <c r="C2145">
        <v>80</v>
      </c>
      <c r="D2145">
        <v>74.613731384000005</v>
      </c>
      <c r="E2145">
        <v>50</v>
      </c>
      <c r="F2145">
        <v>49.981750488000003</v>
      </c>
      <c r="G2145">
        <v>1323.1938477000001</v>
      </c>
      <c r="H2145">
        <v>1319.2423096</v>
      </c>
      <c r="I2145">
        <v>1345.9410399999999</v>
      </c>
      <c r="J2145">
        <v>1341.2180175999999</v>
      </c>
      <c r="K2145">
        <v>0</v>
      </c>
      <c r="L2145">
        <v>2750</v>
      </c>
      <c r="M2145">
        <v>2750</v>
      </c>
      <c r="N2145">
        <v>0</v>
      </c>
    </row>
    <row r="2146" spans="1:14" x14ac:dyDescent="0.25">
      <c r="A2146">
        <v>1377.376591</v>
      </c>
      <c r="B2146" s="1">
        <f>DATE(2014,2,6) + TIME(9,2,17)</f>
        <v>41676.376585648148</v>
      </c>
      <c r="C2146">
        <v>80</v>
      </c>
      <c r="D2146">
        <v>74.486343383999994</v>
      </c>
      <c r="E2146">
        <v>50</v>
      </c>
      <c r="F2146">
        <v>49.981758118000002</v>
      </c>
      <c r="G2146">
        <v>1323.1121826000001</v>
      </c>
      <c r="H2146">
        <v>1319.1308594</v>
      </c>
      <c r="I2146">
        <v>1345.9332274999999</v>
      </c>
      <c r="J2146">
        <v>1341.2138672000001</v>
      </c>
      <c r="K2146">
        <v>0</v>
      </c>
      <c r="L2146">
        <v>2750</v>
      </c>
      <c r="M2146">
        <v>2750</v>
      </c>
      <c r="N2146">
        <v>0</v>
      </c>
    </row>
    <row r="2147" spans="1:14" x14ac:dyDescent="0.25">
      <c r="A2147">
        <v>1380.217445</v>
      </c>
      <c r="B2147" s="1">
        <f>DATE(2014,2,9) + TIME(5,13,7)</f>
        <v>41679.217442129629</v>
      </c>
      <c r="C2147">
        <v>80</v>
      </c>
      <c r="D2147">
        <v>74.349067688000005</v>
      </c>
      <c r="E2147">
        <v>50</v>
      </c>
      <c r="F2147">
        <v>49.981765746999997</v>
      </c>
      <c r="G2147">
        <v>1323.0257568</v>
      </c>
      <c r="H2147">
        <v>1319.0117187999999</v>
      </c>
      <c r="I2147">
        <v>1345.9251709</v>
      </c>
      <c r="J2147">
        <v>1341.2097168</v>
      </c>
      <c r="K2147">
        <v>0</v>
      </c>
      <c r="L2147">
        <v>2750</v>
      </c>
      <c r="M2147">
        <v>2750</v>
      </c>
      <c r="N2147">
        <v>0</v>
      </c>
    </row>
    <row r="2148" spans="1:14" x14ac:dyDescent="0.25">
      <c r="A2148">
        <v>1383.152302</v>
      </c>
      <c r="B2148" s="1">
        <f>DATE(2014,2,12) + TIME(3,39,18)</f>
        <v>41682.152291666665</v>
      </c>
      <c r="C2148">
        <v>80</v>
      </c>
      <c r="D2148">
        <v>74.204376221000004</v>
      </c>
      <c r="E2148">
        <v>50</v>
      </c>
      <c r="F2148">
        <v>49.981777190999999</v>
      </c>
      <c r="G2148">
        <v>1322.9368896000001</v>
      </c>
      <c r="H2148">
        <v>1318.8890381000001</v>
      </c>
      <c r="I2148">
        <v>1345.9169922000001</v>
      </c>
      <c r="J2148">
        <v>1341.2054443</v>
      </c>
      <c r="K2148">
        <v>0</v>
      </c>
      <c r="L2148">
        <v>2750</v>
      </c>
      <c r="M2148">
        <v>2750</v>
      </c>
      <c r="N2148">
        <v>0</v>
      </c>
    </row>
    <row r="2149" spans="1:14" x14ac:dyDescent="0.25">
      <c r="A2149">
        <v>1386.118516</v>
      </c>
      <c r="B2149" s="1">
        <f>DATE(2014,2,15) + TIME(2,50,39)</f>
        <v>41685.118506944447</v>
      </c>
      <c r="C2149">
        <v>80</v>
      </c>
      <c r="D2149">
        <v>74.052848815999994</v>
      </c>
      <c r="E2149">
        <v>50</v>
      </c>
      <c r="F2149">
        <v>49.981784820999998</v>
      </c>
      <c r="G2149">
        <v>1322.8463135</v>
      </c>
      <c r="H2149">
        <v>1318.7641602000001</v>
      </c>
      <c r="I2149">
        <v>1345.9086914</v>
      </c>
      <c r="J2149">
        <v>1341.2009277</v>
      </c>
      <c r="K2149">
        <v>0</v>
      </c>
      <c r="L2149">
        <v>2750</v>
      </c>
      <c r="M2149">
        <v>2750</v>
      </c>
      <c r="N2149">
        <v>0</v>
      </c>
    </row>
    <row r="2150" spans="1:14" x14ac:dyDescent="0.25">
      <c r="A2150">
        <v>1389.137393</v>
      </c>
      <c r="B2150" s="1">
        <f>DATE(2014,2,18) + TIME(3,17,50)</f>
        <v>41688.137384259258</v>
      </c>
      <c r="C2150">
        <v>80</v>
      </c>
      <c r="D2150">
        <v>73.896492003999995</v>
      </c>
      <c r="E2150">
        <v>50</v>
      </c>
      <c r="F2150">
        <v>49.98179245</v>
      </c>
      <c r="G2150">
        <v>1322.7556152</v>
      </c>
      <c r="H2150">
        <v>1318.6387939000001</v>
      </c>
      <c r="I2150">
        <v>1345.9005127</v>
      </c>
      <c r="J2150">
        <v>1341.1965332</v>
      </c>
      <c r="K2150">
        <v>0</v>
      </c>
      <c r="L2150">
        <v>2750</v>
      </c>
      <c r="M2150">
        <v>2750</v>
      </c>
      <c r="N2150">
        <v>0</v>
      </c>
    </row>
    <row r="2151" spans="1:14" x14ac:dyDescent="0.25">
      <c r="A2151">
        <v>1392.194657</v>
      </c>
      <c r="B2151" s="1">
        <f>DATE(2014,2,21) + TIME(4,40,18)</f>
        <v>41691.194652777776</v>
      </c>
      <c r="C2151">
        <v>80</v>
      </c>
      <c r="D2151">
        <v>73.734748839999995</v>
      </c>
      <c r="E2151">
        <v>50</v>
      </c>
      <c r="F2151">
        <v>49.981803894000002</v>
      </c>
      <c r="G2151">
        <v>1322.6647949000001</v>
      </c>
      <c r="H2151">
        <v>1318.5134277</v>
      </c>
      <c r="I2151">
        <v>1345.8922118999999</v>
      </c>
      <c r="J2151">
        <v>1341.1920166</v>
      </c>
      <c r="K2151">
        <v>0</v>
      </c>
      <c r="L2151">
        <v>2750</v>
      </c>
      <c r="M2151">
        <v>2750</v>
      </c>
      <c r="N2151">
        <v>0</v>
      </c>
    </row>
    <row r="2152" spans="1:14" x14ac:dyDescent="0.25">
      <c r="A2152">
        <v>1395.302758</v>
      </c>
      <c r="B2152" s="1">
        <f>DATE(2014,2,24) + TIME(7,15,58)</f>
        <v>41694.302754629629</v>
      </c>
      <c r="C2152">
        <v>80</v>
      </c>
      <c r="D2152">
        <v>73.567832946999999</v>
      </c>
      <c r="E2152">
        <v>50</v>
      </c>
      <c r="F2152">
        <v>49.981811522999998</v>
      </c>
      <c r="G2152">
        <v>1322.5740966999999</v>
      </c>
      <c r="H2152">
        <v>1318.3881836</v>
      </c>
      <c r="I2152">
        <v>1345.8839111</v>
      </c>
      <c r="J2152">
        <v>1341.1875</v>
      </c>
      <c r="K2152">
        <v>0</v>
      </c>
      <c r="L2152">
        <v>2750</v>
      </c>
      <c r="M2152">
        <v>2750</v>
      </c>
      <c r="N2152">
        <v>0</v>
      </c>
    </row>
    <row r="2153" spans="1:14" x14ac:dyDescent="0.25">
      <c r="A2153">
        <v>1398.4892319999999</v>
      </c>
      <c r="B2153" s="1">
        <f>DATE(2014,2,27) + TIME(11,44,29)</f>
        <v>41697.489224537036</v>
      </c>
      <c r="C2153">
        <v>80</v>
      </c>
      <c r="D2153">
        <v>73.394851685000006</v>
      </c>
      <c r="E2153">
        <v>50</v>
      </c>
      <c r="F2153">
        <v>49.981822968000003</v>
      </c>
      <c r="G2153">
        <v>1322.4835204999999</v>
      </c>
      <c r="H2153">
        <v>1318.2630615</v>
      </c>
      <c r="I2153">
        <v>1345.8756103999999</v>
      </c>
      <c r="J2153">
        <v>1341.1828613</v>
      </c>
      <c r="K2153">
        <v>0</v>
      </c>
      <c r="L2153">
        <v>2750</v>
      </c>
      <c r="M2153">
        <v>2750</v>
      </c>
      <c r="N2153">
        <v>0</v>
      </c>
    </row>
    <row r="2154" spans="1:14" x14ac:dyDescent="0.25">
      <c r="A2154">
        <v>1400</v>
      </c>
      <c r="B2154" s="1">
        <f>DATE(2014,3,1) + TIME(0,0,0)</f>
        <v>41699</v>
      </c>
      <c r="C2154">
        <v>80</v>
      </c>
      <c r="D2154">
        <v>73.239654540999993</v>
      </c>
      <c r="E2154">
        <v>50</v>
      </c>
      <c r="F2154">
        <v>49.981822968000003</v>
      </c>
      <c r="G2154">
        <v>1322.3944091999999</v>
      </c>
      <c r="H2154">
        <v>1318.1424560999999</v>
      </c>
      <c r="I2154">
        <v>1345.8670654</v>
      </c>
      <c r="J2154">
        <v>1341.1781006000001</v>
      </c>
      <c r="K2154">
        <v>0</v>
      </c>
      <c r="L2154">
        <v>2750</v>
      </c>
      <c r="M2154">
        <v>2750</v>
      </c>
      <c r="N2154">
        <v>0</v>
      </c>
    </row>
    <row r="2155" spans="1:14" x14ac:dyDescent="0.25">
      <c r="A2155">
        <v>1403.291602</v>
      </c>
      <c r="B2155" s="1">
        <f>DATE(2014,3,4) + TIME(6,59,54)</f>
        <v>41702.291597222225</v>
      </c>
      <c r="C2155">
        <v>80</v>
      </c>
      <c r="D2155">
        <v>73.117263793999996</v>
      </c>
      <c r="E2155">
        <v>50</v>
      </c>
      <c r="F2155">
        <v>49.981838226000001</v>
      </c>
      <c r="G2155">
        <v>1322.3395995999999</v>
      </c>
      <c r="H2155">
        <v>1318.0605469</v>
      </c>
      <c r="I2155">
        <v>1345.8632812000001</v>
      </c>
      <c r="J2155">
        <v>1341.1759033000001</v>
      </c>
      <c r="K2155">
        <v>0</v>
      </c>
      <c r="L2155">
        <v>2750</v>
      </c>
      <c r="M2155">
        <v>2750</v>
      </c>
      <c r="N2155">
        <v>0</v>
      </c>
    </row>
    <row r="2156" spans="1:14" x14ac:dyDescent="0.25">
      <c r="A2156">
        <v>1406.7891609999999</v>
      </c>
      <c r="B2156" s="1">
        <f>DATE(2014,3,7) + TIME(18,56,23)</f>
        <v>41705.789155092592</v>
      </c>
      <c r="C2156">
        <v>80</v>
      </c>
      <c r="D2156">
        <v>72.933517456000004</v>
      </c>
      <c r="E2156">
        <v>50</v>
      </c>
      <c r="F2156">
        <v>49.981853485000002</v>
      </c>
      <c r="G2156">
        <v>1322.2558594</v>
      </c>
      <c r="H2156">
        <v>1317.9482422000001</v>
      </c>
      <c r="I2156">
        <v>1345.8546143000001</v>
      </c>
      <c r="J2156">
        <v>1341.1710204999999</v>
      </c>
      <c r="K2156">
        <v>0</v>
      </c>
      <c r="L2156">
        <v>2750</v>
      </c>
      <c r="M2156">
        <v>2750</v>
      </c>
      <c r="N2156">
        <v>0</v>
      </c>
    </row>
    <row r="2157" spans="1:14" x14ac:dyDescent="0.25">
      <c r="A2157">
        <v>1408.587059</v>
      </c>
      <c r="B2157" s="1">
        <f>DATE(2014,3,9) + TIME(14,5,21)</f>
        <v>41707.587048611109</v>
      </c>
      <c r="C2157">
        <v>80</v>
      </c>
      <c r="D2157">
        <v>72.750534058</v>
      </c>
      <c r="E2157">
        <v>50</v>
      </c>
      <c r="F2157">
        <v>49.981853485000002</v>
      </c>
      <c r="G2157">
        <v>1322.1636963000001</v>
      </c>
      <c r="H2157">
        <v>1317.8240966999999</v>
      </c>
      <c r="I2157">
        <v>1345.8455810999999</v>
      </c>
      <c r="J2157">
        <v>1341.1657714999999</v>
      </c>
      <c r="K2157">
        <v>0</v>
      </c>
      <c r="L2157">
        <v>2750</v>
      </c>
      <c r="M2157">
        <v>2750</v>
      </c>
      <c r="N2157">
        <v>0</v>
      </c>
    </row>
    <row r="2158" spans="1:14" x14ac:dyDescent="0.25">
      <c r="A2158">
        <v>1411.192589</v>
      </c>
      <c r="B2158" s="1">
        <f>DATE(2014,3,12) + TIME(4,37,19)</f>
        <v>41710.19258101852</v>
      </c>
      <c r="C2158">
        <v>80</v>
      </c>
      <c r="D2158">
        <v>72.615112304999997</v>
      </c>
      <c r="E2158">
        <v>50</v>
      </c>
      <c r="F2158">
        <v>49.981864928999997</v>
      </c>
      <c r="G2158">
        <v>1322.104126</v>
      </c>
      <c r="H2158">
        <v>1317.7364502</v>
      </c>
      <c r="I2158">
        <v>1345.8410644999999</v>
      </c>
      <c r="J2158">
        <v>1341.1632079999999</v>
      </c>
      <c r="K2158">
        <v>0</v>
      </c>
      <c r="L2158">
        <v>2750</v>
      </c>
      <c r="M2158">
        <v>2750</v>
      </c>
      <c r="N2158">
        <v>0</v>
      </c>
    </row>
    <row r="2159" spans="1:14" x14ac:dyDescent="0.25">
      <c r="A2159">
        <v>1414.764641</v>
      </c>
      <c r="B2159" s="1">
        <f>DATE(2014,3,15) + TIME(18,21,5)</f>
        <v>41713.764641203707</v>
      </c>
      <c r="C2159">
        <v>80</v>
      </c>
      <c r="D2159">
        <v>72.451759338000002</v>
      </c>
      <c r="E2159">
        <v>50</v>
      </c>
      <c r="F2159">
        <v>49.981880187999998</v>
      </c>
      <c r="G2159">
        <v>1322.0360106999999</v>
      </c>
      <c r="H2159">
        <v>1317.6428223</v>
      </c>
      <c r="I2159">
        <v>1345.8344727000001</v>
      </c>
      <c r="J2159">
        <v>1341.1593018000001</v>
      </c>
      <c r="K2159">
        <v>0</v>
      </c>
      <c r="L2159">
        <v>2750</v>
      </c>
      <c r="M2159">
        <v>2750</v>
      </c>
      <c r="N2159">
        <v>0</v>
      </c>
    </row>
    <row r="2160" spans="1:14" x14ac:dyDescent="0.25">
      <c r="A2160">
        <v>1418.365125</v>
      </c>
      <c r="B2160" s="1">
        <f>DATE(2014,3,19) + TIME(8,45,46)</f>
        <v>41717.365115740744</v>
      </c>
      <c r="C2160">
        <v>80</v>
      </c>
      <c r="D2160">
        <v>72.236137389999996</v>
      </c>
      <c r="E2160">
        <v>50</v>
      </c>
      <c r="F2160">
        <v>49.981895446999999</v>
      </c>
      <c r="G2160">
        <v>1321.9481201000001</v>
      </c>
      <c r="H2160">
        <v>1317.5241699000001</v>
      </c>
      <c r="I2160">
        <v>1345.8254394999999</v>
      </c>
      <c r="J2160">
        <v>1341.1539307</v>
      </c>
      <c r="K2160">
        <v>0</v>
      </c>
      <c r="L2160">
        <v>2750</v>
      </c>
      <c r="M2160">
        <v>2750</v>
      </c>
      <c r="N2160">
        <v>0</v>
      </c>
    </row>
    <row r="2161" spans="1:14" x14ac:dyDescent="0.25">
      <c r="A2161">
        <v>1422.0304739999999</v>
      </c>
      <c r="B2161" s="1">
        <f>DATE(2014,3,23) + TIME(0,43,52)</f>
        <v>41721.030462962961</v>
      </c>
      <c r="C2161">
        <v>80</v>
      </c>
      <c r="D2161">
        <v>72.007690429999997</v>
      </c>
      <c r="E2161">
        <v>50</v>
      </c>
      <c r="F2161">
        <v>49.981910706000001</v>
      </c>
      <c r="G2161">
        <v>1321.8555908000001</v>
      </c>
      <c r="H2161">
        <v>1317.3968506000001</v>
      </c>
      <c r="I2161">
        <v>1345.8165283000001</v>
      </c>
      <c r="J2161">
        <v>1341.1485596</v>
      </c>
      <c r="K2161">
        <v>0</v>
      </c>
      <c r="L2161">
        <v>2750</v>
      </c>
      <c r="M2161">
        <v>2750</v>
      </c>
      <c r="N2161">
        <v>0</v>
      </c>
    </row>
    <row r="2162" spans="1:14" x14ac:dyDescent="0.25">
      <c r="A2162">
        <v>1425.8077479999999</v>
      </c>
      <c r="B2162" s="1">
        <f>DATE(2014,3,26) + TIME(19,23,9)</f>
        <v>41724.807743055557</v>
      </c>
      <c r="C2162">
        <v>80</v>
      </c>
      <c r="D2162">
        <v>71.769699097</v>
      </c>
      <c r="E2162">
        <v>50</v>
      </c>
      <c r="F2162">
        <v>49.981925963999998</v>
      </c>
      <c r="G2162">
        <v>1321.7626952999999</v>
      </c>
      <c r="H2162">
        <v>1317.2685547000001</v>
      </c>
      <c r="I2162">
        <v>1345.8073730000001</v>
      </c>
      <c r="J2162">
        <v>1341.1430664</v>
      </c>
      <c r="K2162">
        <v>0</v>
      </c>
      <c r="L2162">
        <v>2750</v>
      </c>
      <c r="M2162">
        <v>2750</v>
      </c>
      <c r="N2162">
        <v>0</v>
      </c>
    </row>
    <row r="2163" spans="1:14" x14ac:dyDescent="0.25">
      <c r="A2163">
        <v>1429.730356</v>
      </c>
      <c r="B2163" s="1">
        <f>DATE(2014,3,30) + TIME(17,31,42)</f>
        <v>41728.730347222219</v>
      </c>
      <c r="C2163">
        <v>80</v>
      </c>
      <c r="D2163">
        <v>71.519042968999997</v>
      </c>
      <c r="E2163">
        <v>50</v>
      </c>
      <c r="F2163">
        <v>49.981941223</v>
      </c>
      <c r="G2163">
        <v>1321.6689452999999</v>
      </c>
      <c r="H2163">
        <v>1317.1392822</v>
      </c>
      <c r="I2163">
        <v>1345.7980957</v>
      </c>
      <c r="J2163">
        <v>1341.1374512</v>
      </c>
      <c r="K2163">
        <v>0</v>
      </c>
      <c r="L2163">
        <v>2750</v>
      </c>
      <c r="M2163">
        <v>2750</v>
      </c>
      <c r="N2163">
        <v>0</v>
      </c>
    </row>
    <row r="2164" spans="1:14" x14ac:dyDescent="0.25">
      <c r="A2164">
        <v>1431</v>
      </c>
      <c r="B2164" s="1">
        <f>DATE(2014,4,1) + TIME(0,0,0)</f>
        <v>41730</v>
      </c>
      <c r="C2164">
        <v>80</v>
      </c>
      <c r="D2164">
        <v>71.306091308999996</v>
      </c>
      <c r="E2164">
        <v>50</v>
      </c>
      <c r="F2164">
        <v>49.981937408</v>
      </c>
      <c r="G2164">
        <v>1321.5762939000001</v>
      </c>
      <c r="H2164">
        <v>1317.0157471</v>
      </c>
      <c r="I2164">
        <v>1345.7884521000001</v>
      </c>
      <c r="J2164">
        <v>1341.1313477000001</v>
      </c>
      <c r="K2164">
        <v>0</v>
      </c>
      <c r="L2164">
        <v>2750</v>
      </c>
      <c r="M2164">
        <v>2750</v>
      </c>
      <c r="N2164">
        <v>0</v>
      </c>
    </row>
    <row r="2165" spans="1:14" x14ac:dyDescent="0.25">
      <c r="A2165">
        <v>1435.098025</v>
      </c>
      <c r="B2165" s="1">
        <f>DATE(2014,4,5) + TIME(2,21,9)</f>
        <v>41734.098020833335</v>
      </c>
      <c r="C2165">
        <v>80</v>
      </c>
      <c r="D2165">
        <v>71.151702881000006</v>
      </c>
      <c r="E2165">
        <v>50</v>
      </c>
      <c r="F2165">
        <v>49.981960297000001</v>
      </c>
      <c r="G2165">
        <v>1321.5314940999999</v>
      </c>
      <c r="H2165">
        <v>1316.9439697</v>
      </c>
      <c r="I2165">
        <v>1345.7855225000001</v>
      </c>
      <c r="J2165">
        <v>1341.1296387</v>
      </c>
      <c r="K2165">
        <v>0</v>
      </c>
      <c r="L2165">
        <v>2750</v>
      </c>
      <c r="M2165">
        <v>2750</v>
      </c>
      <c r="N2165">
        <v>0</v>
      </c>
    </row>
    <row r="2166" spans="1:14" x14ac:dyDescent="0.25">
      <c r="A2166">
        <v>1437.210607</v>
      </c>
      <c r="B2166" s="1">
        <f>DATE(2014,4,7) + TIME(5,3,16)</f>
        <v>41736.210601851853</v>
      </c>
      <c r="C2166">
        <v>80</v>
      </c>
      <c r="D2166">
        <v>70.906074524000005</v>
      </c>
      <c r="E2166">
        <v>50</v>
      </c>
      <c r="F2166">
        <v>49.981964111000003</v>
      </c>
      <c r="G2166">
        <v>1321.4462891000001</v>
      </c>
      <c r="H2166">
        <v>1316.8334961</v>
      </c>
      <c r="I2166">
        <v>1345.7755127</v>
      </c>
      <c r="J2166">
        <v>1341.1232910000001</v>
      </c>
      <c r="K2166">
        <v>0</v>
      </c>
      <c r="L2166">
        <v>2750</v>
      </c>
      <c r="M2166">
        <v>2750</v>
      </c>
      <c r="N2166">
        <v>0</v>
      </c>
    </row>
    <row r="2167" spans="1:14" x14ac:dyDescent="0.25">
      <c r="A2167">
        <v>1440.574521</v>
      </c>
      <c r="B2167" s="1">
        <f>DATE(2014,4,10) + TIME(13,47,18)</f>
        <v>41739.574513888889</v>
      </c>
      <c r="C2167">
        <v>80</v>
      </c>
      <c r="D2167">
        <v>70.723457335999996</v>
      </c>
      <c r="E2167">
        <v>50</v>
      </c>
      <c r="F2167">
        <v>49.981983184999997</v>
      </c>
      <c r="G2167">
        <v>1321.3874512</v>
      </c>
      <c r="H2167">
        <v>1316.7463379000001</v>
      </c>
      <c r="I2167">
        <v>1345.7705077999999</v>
      </c>
      <c r="J2167">
        <v>1341.1201172000001</v>
      </c>
      <c r="K2167">
        <v>0</v>
      </c>
      <c r="L2167">
        <v>2750</v>
      </c>
      <c r="M2167">
        <v>2750</v>
      </c>
      <c r="N2167">
        <v>0</v>
      </c>
    </row>
    <row r="2168" spans="1:14" x14ac:dyDescent="0.25">
      <c r="A2168">
        <v>1444.7902039999999</v>
      </c>
      <c r="B2168" s="1">
        <f>DATE(2014,4,14) + TIME(18,57,53)</f>
        <v>41743.790196759262</v>
      </c>
      <c r="C2168">
        <v>80</v>
      </c>
      <c r="D2168">
        <v>70.482673645000006</v>
      </c>
      <c r="E2168">
        <v>50</v>
      </c>
      <c r="F2168">
        <v>49.982002258000001</v>
      </c>
      <c r="G2168">
        <v>1321.3145752</v>
      </c>
      <c r="H2168">
        <v>1316.6472168</v>
      </c>
      <c r="I2168">
        <v>1345.7624512</v>
      </c>
      <c r="J2168">
        <v>1341.1148682</v>
      </c>
      <c r="K2168">
        <v>0</v>
      </c>
      <c r="L2168">
        <v>2750</v>
      </c>
      <c r="M2168">
        <v>2750</v>
      </c>
      <c r="N2168">
        <v>0</v>
      </c>
    </row>
    <row r="2169" spans="1:14" x14ac:dyDescent="0.25">
      <c r="A2169">
        <v>1449.054482</v>
      </c>
      <c r="B2169" s="1">
        <f>DATE(2014,4,19) + TIME(1,18,27)</f>
        <v>41748.054479166669</v>
      </c>
      <c r="C2169">
        <v>80</v>
      </c>
      <c r="D2169">
        <v>70.179809570000003</v>
      </c>
      <c r="E2169">
        <v>50</v>
      </c>
      <c r="F2169">
        <v>49.982021332000002</v>
      </c>
      <c r="G2169">
        <v>1321.2248535000001</v>
      </c>
      <c r="H2169">
        <v>1316.5253906</v>
      </c>
      <c r="I2169">
        <v>1345.7524414</v>
      </c>
      <c r="J2169">
        <v>1341.1083983999999</v>
      </c>
      <c r="K2169">
        <v>0</v>
      </c>
      <c r="L2169">
        <v>2750</v>
      </c>
      <c r="M2169">
        <v>2750</v>
      </c>
      <c r="N2169">
        <v>0</v>
      </c>
    </row>
    <row r="2170" spans="1:14" x14ac:dyDescent="0.25">
      <c r="A2170">
        <v>1453.4058199999999</v>
      </c>
      <c r="B2170" s="1">
        <f>DATE(2014,4,23) + TIME(9,44,22)</f>
        <v>41752.405810185184</v>
      </c>
      <c r="C2170">
        <v>80</v>
      </c>
      <c r="D2170">
        <v>69.862533568999993</v>
      </c>
      <c r="E2170">
        <v>50</v>
      </c>
      <c r="F2170">
        <v>49.982040404999999</v>
      </c>
      <c r="G2170">
        <v>1321.1319579999999</v>
      </c>
      <c r="H2170">
        <v>1316.3970947</v>
      </c>
      <c r="I2170">
        <v>1345.7423096</v>
      </c>
      <c r="J2170">
        <v>1341.1018065999999</v>
      </c>
      <c r="K2170">
        <v>0</v>
      </c>
      <c r="L2170">
        <v>2750</v>
      </c>
      <c r="M2170">
        <v>2750</v>
      </c>
      <c r="N2170">
        <v>0</v>
      </c>
    </row>
    <row r="2171" spans="1:14" x14ac:dyDescent="0.25">
      <c r="A2171">
        <v>1457.9219390000001</v>
      </c>
      <c r="B2171" s="1">
        <f>DATE(2014,4,27) + TIME(22,7,35)</f>
        <v>41756.921932870369</v>
      </c>
      <c r="C2171">
        <v>80</v>
      </c>
      <c r="D2171">
        <v>69.528114318999997</v>
      </c>
      <c r="E2171">
        <v>50</v>
      </c>
      <c r="F2171">
        <v>49.982059479</v>
      </c>
      <c r="G2171">
        <v>1321.0393065999999</v>
      </c>
      <c r="H2171">
        <v>1316.2686768000001</v>
      </c>
      <c r="I2171">
        <v>1345.7320557</v>
      </c>
      <c r="J2171">
        <v>1341.0949707</v>
      </c>
      <c r="K2171">
        <v>0</v>
      </c>
      <c r="L2171">
        <v>2750</v>
      </c>
      <c r="M2171">
        <v>2750</v>
      </c>
      <c r="N2171">
        <v>0</v>
      </c>
    </row>
    <row r="2172" spans="1:14" x14ac:dyDescent="0.25">
      <c r="A2172">
        <v>1461</v>
      </c>
      <c r="B2172" s="1">
        <f>DATE(2014,5,1) + TIME(0,0,0)</f>
        <v>41760</v>
      </c>
      <c r="C2172">
        <v>80</v>
      </c>
      <c r="D2172">
        <v>69.197158813000001</v>
      </c>
      <c r="E2172">
        <v>50</v>
      </c>
      <c r="F2172">
        <v>49.982070923000002</v>
      </c>
      <c r="G2172">
        <v>1320.9462891000001</v>
      </c>
      <c r="H2172">
        <v>1316.1412353999999</v>
      </c>
      <c r="I2172">
        <v>1345.7214355000001</v>
      </c>
      <c r="J2172">
        <v>1341.0877685999999</v>
      </c>
      <c r="K2172">
        <v>0</v>
      </c>
      <c r="L2172">
        <v>2750</v>
      </c>
      <c r="M2172">
        <v>2750</v>
      </c>
      <c r="N2172">
        <v>0</v>
      </c>
    </row>
    <row r="2173" spans="1:14" x14ac:dyDescent="0.25">
      <c r="A2173">
        <v>1461.0000010000001</v>
      </c>
      <c r="B2173" s="1">
        <f>DATE(2014,5,1) + TIME(0,0,0)</f>
        <v>41760</v>
      </c>
      <c r="C2173">
        <v>80</v>
      </c>
      <c r="D2173">
        <v>69.197349548000005</v>
      </c>
      <c r="E2173">
        <v>50</v>
      </c>
      <c r="F2173">
        <v>49.981960297000001</v>
      </c>
      <c r="G2173">
        <v>1326.9666748</v>
      </c>
      <c r="H2173">
        <v>1322.152832</v>
      </c>
      <c r="I2173">
        <v>1340.2210693</v>
      </c>
      <c r="J2173">
        <v>1336.0673827999999</v>
      </c>
      <c r="K2173">
        <v>2750</v>
      </c>
      <c r="L2173">
        <v>0</v>
      </c>
      <c r="M2173">
        <v>0</v>
      </c>
      <c r="N2173">
        <v>2750</v>
      </c>
    </row>
    <row r="2174" spans="1:14" x14ac:dyDescent="0.25">
      <c r="A2174">
        <v>1461.000004</v>
      </c>
      <c r="B2174" s="1">
        <f>DATE(2014,5,1) + TIME(0,0,0)</f>
        <v>41760</v>
      </c>
      <c r="C2174">
        <v>80</v>
      </c>
      <c r="D2174">
        <v>69.197692871000001</v>
      </c>
      <c r="E2174">
        <v>50</v>
      </c>
      <c r="F2174">
        <v>49.981746674</v>
      </c>
      <c r="G2174">
        <v>1328.8088379000001</v>
      </c>
      <c r="H2174">
        <v>1324.246582</v>
      </c>
      <c r="I2174">
        <v>1338.5229492000001</v>
      </c>
      <c r="J2174">
        <v>1334.3692627</v>
      </c>
      <c r="K2174">
        <v>2750</v>
      </c>
      <c r="L2174">
        <v>0</v>
      </c>
      <c r="M2174">
        <v>0</v>
      </c>
      <c r="N2174">
        <v>2750</v>
      </c>
    </row>
    <row r="2175" spans="1:14" x14ac:dyDescent="0.25">
      <c r="A2175">
        <v>1461.0000130000001</v>
      </c>
      <c r="B2175" s="1">
        <f>DATE(2014,5,1) + TIME(0,0,1)</f>
        <v>41760.000011574077</v>
      </c>
      <c r="C2175">
        <v>80</v>
      </c>
      <c r="D2175">
        <v>69.198242187999995</v>
      </c>
      <c r="E2175">
        <v>50</v>
      </c>
      <c r="F2175">
        <v>49.981445311999998</v>
      </c>
      <c r="G2175">
        <v>1331.4276123</v>
      </c>
      <c r="H2175">
        <v>1326.9049072</v>
      </c>
      <c r="I2175">
        <v>1336.1391602000001</v>
      </c>
      <c r="J2175">
        <v>1331.9857178</v>
      </c>
      <c r="K2175">
        <v>2750</v>
      </c>
      <c r="L2175">
        <v>0</v>
      </c>
      <c r="M2175">
        <v>0</v>
      </c>
      <c r="N2175">
        <v>2750</v>
      </c>
    </row>
    <row r="2176" spans="1:14" x14ac:dyDescent="0.25">
      <c r="A2176">
        <v>1461.0000399999999</v>
      </c>
      <c r="B2176" s="1">
        <f>DATE(2014,5,1) + TIME(0,0,3)</f>
        <v>41760.000034722223</v>
      </c>
      <c r="C2176">
        <v>80</v>
      </c>
      <c r="D2176">
        <v>69.199188231999997</v>
      </c>
      <c r="E2176">
        <v>50</v>
      </c>
      <c r="F2176">
        <v>49.981121063000003</v>
      </c>
      <c r="G2176">
        <v>1334.3146973</v>
      </c>
      <c r="H2176">
        <v>1329.7025146000001</v>
      </c>
      <c r="I2176">
        <v>1333.5709228999999</v>
      </c>
      <c r="J2176">
        <v>1329.4188231999999</v>
      </c>
      <c r="K2176">
        <v>2750</v>
      </c>
      <c r="L2176">
        <v>0</v>
      </c>
      <c r="M2176">
        <v>0</v>
      </c>
      <c r="N2176">
        <v>2750</v>
      </c>
    </row>
    <row r="2177" spans="1:14" x14ac:dyDescent="0.25">
      <c r="A2177">
        <v>1461.000121</v>
      </c>
      <c r="B2177" s="1">
        <f>DATE(2014,5,1) + TIME(0,0,10)</f>
        <v>41760.000115740739</v>
      </c>
      <c r="C2177">
        <v>80</v>
      </c>
      <c r="D2177">
        <v>69.201309203999998</v>
      </c>
      <c r="E2177">
        <v>50</v>
      </c>
      <c r="F2177">
        <v>49.980792999000002</v>
      </c>
      <c r="G2177">
        <v>1337.2054443</v>
      </c>
      <c r="H2177">
        <v>1332.4941406</v>
      </c>
      <c r="I2177">
        <v>1331.0310059000001</v>
      </c>
      <c r="J2177">
        <v>1326.8798827999999</v>
      </c>
      <c r="K2177">
        <v>2750</v>
      </c>
      <c r="L2177">
        <v>0</v>
      </c>
      <c r="M2177">
        <v>0</v>
      </c>
      <c r="N2177">
        <v>2750</v>
      </c>
    </row>
    <row r="2178" spans="1:14" x14ac:dyDescent="0.25">
      <c r="A2178">
        <v>1461.000364</v>
      </c>
      <c r="B2178" s="1">
        <f>DATE(2014,5,1) + TIME(0,0,31)</f>
        <v>41760.000358796293</v>
      </c>
      <c r="C2178">
        <v>80</v>
      </c>
      <c r="D2178">
        <v>69.207000731999997</v>
      </c>
      <c r="E2178">
        <v>50</v>
      </c>
      <c r="F2178">
        <v>49.980449677000003</v>
      </c>
      <c r="G2178">
        <v>1340.0895995999999</v>
      </c>
      <c r="H2178">
        <v>1335.2768555</v>
      </c>
      <c r="I2178">
        <v>1328.5015868999999</v>
      </c>
      <c r="J2178">
        <v>1324.3426514</v>
      </c>
      <c r="K2178">
        <v>2750</v>
      </c>
      <c r="L2178">
        <v>0</v>
      </c>
      <c r="M2178">
        <v>0</v>
      </c>
      <c r="N2178">
        <v>2750</v>
      </c>
    </row>
    <row r="2179" spans="1:14" x14ac:dyDescent="0.25">
      <c r="A2179">
        <v>1461.0010930000001</v>
      </c>
      <c r="B2179" s="1">
        <f>DATE(2014,5,1) + TIME(0,1,34)</f>
        <v>41760.001087962963</v>
      </c>
      <c r="C2179">
        <v>80</v>
      </c>
      <c r="D2179">
        <v>69.223655700999998</v>
      </c>
      <c r="E2179">
        <v>50</v>
      </c>
      <c r="F2179">
        <v>49.980064392000003</v>
      </c>
      <c r="G2179">
        <v>1342.9187012</v>
      </c>
      <c r="H2179">
        <v>1337.9976807</v>
      </c>
      <c r="I2179">
        <v>1325.9681396000001</v>
      </c>
      <c r="J2179">
        <v>1321.7733154</v>
      </c>
      <c r="K2179">
        <v>2750</v>
      </c>
      <c r="L2179">
        <v>0</v>
      </c>
      <c r="M2179">
        <v>0</v>
      </c>
      <c r="N2179">
        <v>2750</v>
      </c>
    </row>
    <row r="2180" spans="1:14" x14ac:dyDescent="0.25">
      <c r="A2180">
        <v>1461.0032799999999</v>
      </c>
      <c r="B2180" s="1">
        <f>DATE(2014,5,1) + TIME(0,4,43)</f>
        <v>41760.003275462965</v>
      </c>
      <c r="C2180">
        <v>80</v>
      </c>
      <c r="D2180">
        <v>69.273506165000001</v>
      </c>
      <c r="E2180">
        <v>50</v>
      </c>
      <c r="F2180">
        <v>49.979564666999998</v>
      </c>
      <c r="G2180">
        <v>1345.3426514</v>
      </c>
      <c r="H2180">
        <v>1340.3321533000001</v>
      </c>
      <c r="I2180">
        <v>1323.6667480000001</v>
      </c>
      <c r="J2180">
        <v>1319.4232178</v>
      </c>
      <c r="K2180">
        <v>2750</v>
      </c>
      <c r="L2180">
        <v>0</v>
      </c>
      <c r="M2180">
        <v>0</v>
      </c>
      <c r="N2180">
        <v>2750</v>
      </c>
    </row>
    <row r="2181" spans="1:14" x14ac:dyDescent="0.25">
      <c r="A2181">
        <v>1461.0098410000001</v>
      </c>
      <c r="B2181" s="1">
        <f>DATE(2014,5,1) + TIME(0,14,10)</f>
        <v>41760.009837962964</v>
      </c>
      <c r="C2181">
        <v>80</v>
      </c>
      <c r="D2181">
        <v>69.421539307000003</v>
      </c>
      <c r="E2181">
        <v>50</v>
      </c>
      <c r="F2181">
        <v>49.978759766000003</v>
      </c>
      <c r="G2181">
        <v>1346.8325195</v>
      </c>
      <c r="H2181">
        <v>1341.7880858999999</v>
      </c>
      <c r="I2181">
        <v>1322.2045897999999</v>
      </c>
      <c r="J2181">
        <v>1317.9337158000001</v>
      </c>
      <c r="K2181">
        <v>2750</v>
      </c>
      <c r="L2181">
        <v>0</v>
      </c>
      <c r="M2181">
        <v>0</v>
      </c>
      <c r="N2181">
        <v>2750</v>
      </c>
    </row>
    <row r="2182" spans="1:14" x14ac:dyDescent="0.25">
      <c r="A2182">
        <v>1461.029442</v>
      </c>
      <c r="B2182" s="1">
        <f>DATE(2014,5,1) + TIME(0,42,23)</f>
        <v>41760.029432870368</v>
      </c>
      <c r="C2182">
        <v>80</v>
      </c>
      <c r="D2182">
        <v>69.845428467000005</v>
      </c>
      <c r="E2182">
        <v>50</v>
      </c>
      <c r="F2182">
        <v>49.976875305</v>
      </c>
      <c r="G2182">
        <v>1347.2905272999999</v>
      </c>
      <c r="H2182">
        <v>1342.2763672000001</v>
      </c>
      <c r="I2182">
        <v>1321.7589111</v>
      </c>
      <c r="J2182">
        <v>1317.4808350000001</v>
      </c>
      <c r="K2182">
        <v>2750</v>
      </c>
      <c r="L2182">
        <v>0</v>
      </c>
      <c r="M2182">
        <v>0</v>
      </c>
      <c r="N2182">
        <v>2750</v>
      </c>
    </row>
    <row r="2183" spans="1:14" x14ac:dyDescent="0.25">
      <c r="A2183">
        <v>1461.0494450000001</v>
      </c>
      <c r="B2183" s="1">
        <f>DATE(2014,5,1) + TIME(1,11,12)</f>
        <v>41760.049444444441</v>
      </c>
      <c r="C2183">
        <v>80</v>
      </c>
      <c r="D2183">
        <v>70.260269164999997</v>
      </c>
      <c r="E2183">
        <v>50</v>
      </c>
      <c r="F2183">
        <v>49.975021362</v>
      </c>
      <c r="G2183">
        <v>1347.3270264</v>
      </c>
      <c r="H2183">
        <v>1342.3386230000001</v>
      </c>
      <c r="I2183">
        <v>1321.7160644999999</v>
      </c>
      <c r="J2183">
        <v>1317.4371338000001</v>
      </c>
      <c r="K2183">
        <v>2750</v>
      </c>
      <c r="L2183">
        <v>0</v>
      </c>
      <c r="M2183">
        <v>0</v>
      </c>
      <c r="N2183">
        <v>2750</v>
      </c>
    </row>
    <row r="2184" spans="1:14" x14ac:dyDescent="0.25">
      <c r="A2184">
        <v>1461.069859</v>
      </c>
      <c r="B2184" s="1">
        <f>DATE(2014,5,1) + TIME(1,40,35)</f>
        <v>41760.069849537038</v>
      </c>
      <c r="C2184">
        <v>80</v>
      </c>
      <c r="D2184">
        <v>70.666023253999995</v>
      </c>
      <c r="E2184">
        <v>50</v>
      </c>
      <c r="F2184">
        <v>49.973148346000002</v>
      </c>
      <c r="G2184">
        <v>1347.300293</v>
      </c>
      <c r="H2184">
        <v>1342.3377685999999</v>
      </c>
      <c r="I2184">
        <v>1321.7139893000001</v>
      </c>
      <c r="J2184">
        <v>1317.4349365</v>
      </c>
      <c r="K2184">
        <v>2750</v>
      </c>
      <c r="L2184">
        <v>0</v>
      </c>
      <c r="M2184">
        <v>0</v>
      </c>
      <c r="N2184">
        <v>2750</v>
      </c>
    </row>
    <row r="2185" spans="1:14" x14ac:dyDescent="0.25">
      <c r="A2185">
        <v>1461.090704</v>
      </c>
      <c r="B2185" s="1">
        <f>DATE(2014,5,1) + TIME(2,10,36)</f>
        <v>41760.090694444443</v>
      </c>
      <c r="C2185">
        <v>80</v>
      </c>
      <c r="D2185">
        <v>71.062835692999997</v>
      </c>
      <c r="E2185">
        <v>50</v>
      </c>
      <c r="F2185">
        <v>49.971256255999997</v>
      </c>
      <c r="G2185">
        <v>1347.265625</v>
      </c>
      <c r="H2185">
        <v>1342.3276367000001</v>
      </c>
      <c r="I2185">
        <v>1321.7145995999999</v>
      </c>
      <c r="J2185">
        <v>1317.4355469</v>
      </c>
      <c r="K2185">
        <v>2750</v>
      </c>
      <c r="L2185">
        <v>0</v>
      </c>
      <c r="M2185">
        <v>0</v>
      </c>
      <c r="N2185">
        <v>2750</v>
      </c>
    </row>
    <row r="2186" spans="1:14" x14ac:dyDescent="0.25">
      <c r="A2186">
        <v>1461.1120000000001</v>
      </c>
      <c r="B2186" s="1">
        <f>DATE(2014,5,1) + TIME(2,41,16)</f>
        <v>41760.111990740741</v>
      </c>
      <c r="C2186">
        <v>80</v>
      </c>
      <c r="D2186">
        <v>71.450813292999996</v>
      </c>
      <c r="E2186">
        <v>50</v>
      </c>
      <c r="F2186">
        <v>49.969337463000002</v>
      </c>
      <c r="G2186">
        <v>1347.2314452999999</v>
      </c>
      <c r="H2186">
        <v>1342.3168945</v>
      </c>
      <c r="I2186">
        <v>1321.7149658000001</v>
      </c>
      <c r="J2186">
        <v>1317.4357910000001</v>
      </c>
      <c r="K2186">
        <v>2750</v>
      </c>
      <c r="L2186">
        <v>0</v>
      </c>
      <c r="M2186">
        <v>0</v>
      </c>
      <c r="N2186">
        <v>2750</v>
      </c>
    </row>
    <row r="2187" spans="1:14" x14ac:dyDescent="0.25">
      <c r="A2187">
        <v>1461.133722</v>
      </c>
      <c r="B2187" s="1">
        <f>DATE(2014,5,1) + TIME(3,12,33)</f>
        <v>41760.133715277778</v>
      </c>
      <c r="C2187">
        <v>80</v>
      </c>
      <c r="D2187">
        <v>71.829223632999998</v>
      </c>
      <c r="E2187">
        <v>50</v>
      </c>
      <c r="F2187">
        <v>49.967395781999997</v>
      </c>
      <c r="G2187">
        <v>1347.199707</v>
      </c>
      <c r="H2187">
        <v>1342.3070068</v>
      </c>
      <c r="I2187">
        <v>1321.7150879000001</v>
      </c>
      <c r="J2187">
        <v>1317.4359131000001</v>
      </c>
      <c r="K2187">
        <v>2750</v>
      </c>
      <c r="L2187">
        <v>0</v>
      </c>
      <c r="M2187">
        <v>0</v>
      </c>
      <c r="N2187">
        <v>2750</v>
      </c>
    </row>
    <row r="2188" spans="1:14" x14ac:dyDescent="0.25">
      <c r="A2188">
        <v>1461.1558749999999</v>
      </c>
      <c r="B2188" s="1">
        <f>DATE(2014,5,1) + TIME(3,44,27)</f>
        <v>41760.155868055554</v>
      </c>
      <c r="C2188">
        <v>80</v>
      </c>
      <c r="D2188">
        <v>72.197944641000007</v>
      </c>
      <c r="E2188">
        <v>50</v>
      </c>
      <c r="F2188">
        <v>49.965435028000002</v>
      </c>
      <c r="G2188">
        <v>1347.1704102000001</v>
      </c>
      <c r="H2188">
        <v>1342.2983397999999</v>
      </c>
      <c r="I2188">
        <v>1321.7152100000001</v>
      </c>
      <c r="J2188">
        <v>1317.4359131000001</v>
      </c>
      <c r="K2188">
        <v>2750</v>
      </c>
      <c r="L2188">
        <v>0</v>
      </c>
      <c r="M2188">
        <v>0</v>
      </c>
      <c r="N2188">
        <v>2750</v>
      </c>
    </row>
    <row r="2189" spans="1:14" x14ac:dyDescent="0.25">
      <c r="A2189">
        <v>1461.1784789999999</v>
      </c>
      <c r="B2189" s="1">
        <f>DATE(2014,5,1) + TIME(4,17,0)</f>
        <v>41760.178472222222</v>
      </c>
      <c r="C2189">
        <v>80</v>
      </c>
      <c r="D2189">
        <v>72.557113646999994</v>
      </c>
      <c r="E2189">
        <v>50</v>
      </c>
      <c r="F2189">
        <v>49.963451384999999</v>
      </c>
      <c r="G2189">
        <v>1347.1434326000001</v>
      </c>
      <c r="H2189">
        <v>1342.2907714999999</v>
      </c>
      <c r="I2189">
        <v>1321.7152100000001</v>
      </c>
      <c r="J2189">
        <v>1317.4359131000001</v>
      </c>
      <c r="K2189">
        <v>2750</v>
      </c>
      <c r="L2189">
        <v>0</v>
      </c>
      <c r="M2189">
        <v>0</v>
      </c>
      <c r="N2189">
        <v>2750</v>
      </c>
    </row>
    <row r="2190" spans="1:14" x14ac:dyDescent="0.25">
      <c r="A2190">
        <v>1461.201558</v>
      </c>
      <c r="B2190" s="1">
        <f>DATE(2014,5,1) + TIME(4,50,14)</f>
        <v>41760.201550925929</v>
      </c>
      <c r="C2190">
        <v>80</v>
      </c>
      <c r="D2190">
        <v>72.906867981000005</v>
      </c>
      <c r="E2190">
        <v>50</v>
      </c>
      <c r="F2190">
        <v>49.961444855000003</v>
      </c>
      <c r="G2190">
        <v>1347.1187743999999</v>
      </c>
      <c r="H2190">
        <v>1342.2843018000001</v>
      </c>
      <c r="I2190">
        <v>1321.715332</v>
      </c>
      <c r="J2190">
        <v>1317.4359131000001</v>
      </c>
      <c r="K2190">
        <v>2750</v>
      </c>
      <c r="L2190">
        <v>0</v>
      </c>
      <c r="M2190">
        <v>0</v>
      </c>
      <c r="N2190">
        <v>2750</v>
      </c>
    </row>
    <row r="2191" spans="1:14" x14ac:dyDescent="0.25">
      <c r="A2191">
        <v>1461.2251369999999</v>
      </c>
      <c r="B2191" s="1">
        <f>DATE(2014,5,1) + TIME(5,24,11)</f>
        <v>41760.225127314814</v>
      </c>
      <c r="C2191">
        <v>80</v>
      </c>
      <c r="D2191">
        <v>73.247337341000005</v>
      </c>
      <c r="E2191">
        <v>50</v>
      </c>
      <c r="F2191">
        <v>49.959411621000001</v>
      </c>
      <c r="G2191">
        <v>1347.0963135</v>
      </c>
      <c r="H2191">
        <v>1342.2788086</v>
      </c>
      <c r="I2191">
        <v>1321.715332</v>
      </c>
      <c r="J2191">
        <v>1317.4357910000001</v>
      </c>
      <c r="K2191">
        <v>2750</v>
      </c>
      <c r="L2191">
        <v>0</v>
      </c>
      <c r="M2191">
        <v>0</v>
      </c>
      <c r="N2191">
        <v>2750</v>
      </c>
    </row>
    <row r="2192" spans="1:14" x14ac:dyDescent="0.25">
      <c r="A2192">
        <v>1461.2492420000001</v>
      </c>
      <c r="B2192" s="1">
        <f>DATE(2014,5,1) + TIME(5,58,54)</f>
        <v>41760.249236111114</v>
      </c>
      <c r="C2192">
        <v>80</v>
      </c>
      <c r="D2192">
        <v>73.578628539999997</v>
      </c>
      <c r="E2192">
        <v>50</v>
      </c>
      <c r="F2192">
        <v>49.957351684999999</v>
      </c>
      <c r="G2192">
        <v>1347.0759277</v>
      </c>
      <c r="H2192">
        <v>1342.2742920000001</v>
      </c>
      <c r="I2192">
        <v>1321.715332</v>
      </c>
      <c r="J2192">
        <v>1317.4357910000001</v>
      </c>
      <c r="K2192">
        <v>2750</v>
      </c>
      <c r="L2192">
        <v>0</v>
      </c>
      <c r="M2192">
        <v>0</v>
      </c>
      <c r="N2192">
        <v>2750</v>
      </c>
    </row>
    <row r="2193" spans="1:14" x14ac:dyDescent="0.25">
      <c r="A2193">
        <v>1461.273901</v>
      </c>
      <c r="B2193" s="1">
        <f>DATE(2014,5,1) + TIME(6,34,25)</f>
        <v>41760.273900462962</v>
      </c>
      <c r="C2193">
        <v>80</v>
      </c>
      <c r="D2193">
        <v>73.900833129999995</v>
      </c>
      <c r="E2193">
        <v>50</v>
      </c>
      <c r="F2193">
        <v>49.955261229999998</v>
      </c>
      <c r="G2193">
        <v>1347.0574951000001</v>
      </c>
      <c r="H2193">
        <v>1342.2707519999999</v>
      </c>
      <c r="I2193">
        <v>1321.715332</v>
      </c>
      <c r="J2193">
        <v>1317.4356689000001</v>
      </c>
      <c r="K2193">
        <v>2750</v>
      </c>
      <c r="L2193">
        <v>0</v>
      </c>
      <c r="M2193">
        <v>0</v>
      </c>
      <c r="N2193">
        <v>2750</v>
      </c>
    </row>
    <row r="2194" spans="1:14" x14ac:dyDescent="0.25">
      <c r="A2194">
        <v>1461.299141</v>
      </c>
      <c r="B2194" s="1">
        <f>DATE(2014,5,1) + TIME(7,10,45)</f>
        <v>41760.299131944441</v>
      </c>
      <c r="C2194">
        <v>80</v>
      </c>
      <c r="D2194">
        <v>74.214019774999997</v>
      </c>
      <c r="E2194">
        <v>50</v>
      </c>
      <c r="F2194">
        <v>49.953144072999997</v>
      </c>
      <c r="G2194">
        <v>1347.0410156</v>
      </c>
      <c r="H2194">
        <v>1342.2680664</v>
      </c>
      <c r="I2194">
        <v>1321.715332</v>
      </c>
      <c r="J2194">
        <v>1317.4355469</v>
      </c>
      <c r="K2194">
        <v>2750</v>
      </c>
      <c r="L2194">
        <v>0</v>
      </c>
      <c r="M2194">
        <v>0</v>
      </c>
      <c r="N2194">
        <v>2750</v>
      </c>
    </row>
    <row r="2195" spans="1:14" x14ac:dyDescent="0.25">
      <c r="A2195">
        <v>1461.3249920000001</v>
      </c>
      <c r="B2195" s="1">
        <f>DATE(2014,5,1) + TIME(7,47,59)</f>
        <v>41760.324988425928</v>
      </c>
      <c r="C2195">
        <v>80</v>
      </c>
      <c r="D2195">
        <v>74.518234253000003</v>
      </c>
      <c r="E2195">
        <v>50</v>
      </c>
      <c r="F2195">
        <v>49.950992583999998</v>
      </c>
      <c r="G2195">
        <v>1347.0262451000001</v>
      </c>
      <c r="H2195">
        <v>1342.2662353999999</v>
      </c>
      <c r="I2195">
        <v>1321.7152100000001</v>
      </c>
      <c r="J2195">
        <v>1317.4355469</v>
      </c>
      <c r="K2195">
        <v>2750</v>
      </c>
      <c r="L2195">
        <v>0</v>
      </c>
      <c r="M2195">
        <v>0</v>
      </c>
      <c r="N2195">
        <v>2750</v>
      </c>
    </row>
    <row r="2196" spans="1:14" x14ac:dyDescent="0.25">
      <c r="A2196">
        <v>1461.3514929999999</v>
      </c>
      <c r="B2196" s="1">
        <f>DATE(2014,5,1) + TIME(8,26,8)</f>
        <v>41760.351481481484</v>
      </c>
      <c r="C2196">
        <v>80</v>
      </c>
      <c r="D2196">
        <v>74.813613892000006</v>
      </c>
      <c r="E2196">
        <v>50</v>
      </c>
      <c r="F2196">
        <v>49.948810577000003</v>
      </c>
      <c r="G2196">
        <v>1347.0131836</v>
      </c>
      <c r="H2196">
        <v>1342.2652588000001</v>
      </c>
      <c r="I2196">
        <v>1321.7152100000001</v>
      </c>
      <c r="J2196">
        <v>1317.4353027</v>
      </c>
      <c r="K2196">
        <v>2750</v>
      </c>
      <c r="L2196">
        <v>0</v>
      </c>
      <c r="M2196">
        <v>0</v>
      </c>
      <c r="N2196">
        <v>2750</v>
      </c>
    </row>
    <row r="2197" spans="1:14" x14ac:dyDescent="0.25">
      <c r="A2197">
        <v>1461.378678</v>
      </c>
      <c r="B2197" s="1">
        <f>DATE(2014,5,1) + TIME(9,5,17)</f>
        <v>41760.378668981481</v>
      </c>
      <c r="C2197">
        <v>80</v>
      </c>
      <c r="D2197">
        <v>75.100120544000006</v>
      </c>
      <c r="E2197">
        <v>50</v>
      </c>
      <c r="F2197">
        <v>49.946586609000001</v>
      </c>
      <c r="G2197">
        <v>1347.0017089999999</v>
      </c>
      <c r="H2197">
        <v>1342.2648925999999</v>
      </c>
      <c r="I2197">
        <v>1321.7152100000001</v>
      </c>
      <c r="J2197">
        <v>1317.4351807</v>
      </c>
      <c r="K2197">
        <v>2750</v>
      </c>
      <c r="L2197">
        <v>0</v>
      </c>
      <c r="M2197">
        <v>0</v>
      </c>
      <c r="N2197">
        <v>2750</v>
      </c>
    </row>
    <row r="2198" spans="1:14" x14ac:dyDescent="0.25">
      <c r="A2198">
        <v>1461.4065869999999</v>
      </c>
      <c r="B2198" s="1">
        <f>DATE(2014,5,1) + TIME(9,45,29)</f>
        <v>41760.406585648147</v>
      </c>
      <c r="C2198">
        <v>80</v>
      </c>
      <c r="D2198">
        <v>75.377761840999995</v>
      </c>
      <c r="E2198">
        <v>50</v>
      </c>
      <c r="F2198">
        <v>49.944328308000003</v>
      </c>
      <c r="G2198">
        <v>1346.9918213000001</v>
      </c>
      <c r="H2198">
        <v>1342.2653809000001</v>
      </c>
      <c r="I2198">
        <v>1321.7150879000001</v>
      </c>
      <c r="J2198">
        <v>1317.4350586</v>
      </c>
      <c r="K2198">
        <v>2750</v>
      </c>
      <c r="L2198">
        <v>0</v>
      </c>
      <c r="M2198">
        <v>0</v>
      </c>
      <c r="N2198">
        <v>2750</v>
      </c>
    </row>
    <row r="2199" spans="1:14" x14ac:dyDescent="0.25">
      <c r="A2199">
        <v>1461.435238</v>
      </c>
      <c r="B2199" s="1">
        <f>DATE(2014,5,1) + TIME(10,26,44)</f>
        <v>41760.435231481482</v>
      </c>
      <c r="C2199">
        <v>80</v>
      </c>
      <c r="D2199">
        <v>75.646492003999995</v>
      </c>
      <c r="E2199">
        <v>50</v>
      </c>
      <c r="F2199">
        <v>49.94203186</v>
      </c>
      <c r="G2199">
        <v>1346.9832764</v>
      </c>
      <c r="H2199">
        <v>1342.2664795000001</v>
      </c>
      <c r="I2199">
        <v>1321.7149658000001</v>
      </c>
      <c r="J2199">
        <v>1317.4349365</v>
      </c>
      <c r="K2199">
        <v>2750</v>
      </c>
      <c r="L2199">
        <v>0</v>
      </c>
      <c r="M2199">
        <v>0</v>
      </c>
      <c r="N2199">
        <v>2750</v>
      </c>
    </row>
    <row r="2200" spans="1:14" x14ac:dyDescent="0.25">
      <c r="A2200">
        <v>1461.464633</v>
      </c>
      <c r="B2200" s="1">
        <f>DATE(2014,5,1) + TIME(11,9,4)</f>
        <v>41760.464629629627</v>
      </c>
      <c r="C2200">
        <v>80</v>
      </c>
      <c r="D2200">
        <v>75.906036377000007</v>
      </c>
      <c r="E2200">
        <v>50</v>
      </c>
      <c r="F2200">
        <v>49.939693450999997</v>
      </c>
      <c r="G2200">
        <v>1346.9763184000001</v>
      </c>
      <c r="H2200">
        <v>1342.2681885</v>
      </c>
      <c r="I2200">
        <v>1321.7149658000001</v>
      </c>
      <c r="J2200">
        <v>1317.4346923999999</v>
      </c>
      <c r="K2200">
        <v>2750</v>
      </c>
      <c r="L2200">
        <v>0</v>
      </c>
      <c r="M2200">
        <v>0</v>
      </c>
      <c r="N2200">
        <v>2750</v>
      </c>
    </row>
    <row r="2201" spans="1:14" x14ac:dyDescent="0.25">
      <c r="A2201">
        <v>1461.4948179999999</v>
      </c>
      <c r="B2201" s="1">
        <f>DATE(2014,5,1) + TIME(11,52,32)</f>
        <v>41760.494814814818</v>
      </c>
      <c r="C2201">
        <v>80</v>
      </c>
      <c r="D2201">
        <v>76.156517029</v>
      </c>
      <c r="E2201">
        <v>50</v>
      </c>
      <c r="F2201">
        <v>49.937316895000002</v>
      </c>
      <c r="G2201">
        <v>1346.9705810999999</v>
      </c>
      <c r="H2201">
        <v>1342.2703856999999</v>
      </c>
      <c r="I2201">
        <v>1321.7148437999999</v>
      </c>
      <c r="J2201">
        <v>1317.4344481999999</v>
      </c>
      <c r="K2201">
        <v>2750</v>
      </c>
      <c r="L2201">
        <v>0</v>
      </c>
      <c r="M2201">
        <v>0</v>
      </c>
      <c r="N2201">
        <v>2750</v>
      </c>
    </row>
    <row r="2202" spans="1:14" x14ac:dyDescent="0.25">
      <c r="A2202">
        <v>1461.5258409999999</v>
      </c>
      <c r="B2202" s="1">
        <f>DATE(2014,5,1) + TIME(12,37,12)</f>
        <v>41760.525833333333</v>
      </c>
      <c r="C2202">
        <v>80</v>
      </c>
      <c r="D2202">
        <v>76.398002625000004</v>
      </c>
      <c r="E2202">
        <v>50</v>
      </c>
      <c r="F2202">
        <v>49.934894561999997</v>
      </c>
      <c r="G2202">
        <v>1346.9659423999999</v>
      </c>
      <c r="H2202">
        <v>1342.2731934000001</v>
      </c>
      <c r="I2202">
        <v>1321.7147216999999</v>
      </c>
      <c r="J2202">
        <v>1317.4343262</v>
      </c>
      <c r="K2202">
        <v>2750</v>
      </c>
      <c r="L2202">
        <v>0</v>
      </c>
      <c r="M2202">
        <v>0</v>
      </c>
      <c r="N2202">
        <v>2750</v>
      </c>
    </row>
    <row r="2203" spans="1:14" x14ac:dyDescent="0.25">
      <c r="A2203">
        <v>1461.5577490000001</v>
      </c>
      <c r="B2203" s="1">
        <f>DATE(2014,5,1) + TIME(13,23,9)</f>
        <v>41760.557743055557</v>
      </c>
      <c r="C2203">
        <v>80</v>
      </c>
      <c r="D2203">
        <v>76.630577087000006</v>
      </c>
      <c r="E2203">
        <v>50</v>
      </c>
      <c r="F2203">
        <v>49.932430267000001</v>
      </c>
      <c r="G2203">
        <v>1346.9625243999999</v>
      </c>
      <c r="H2203">
        <v>1342.2764893000001</v>
      </c>
      <c r="I2203">
        <v>1321.7145995999999</v>
      </c>
      <c r="J2203">
        <v>1317.434082</v>
      </c>
      <c r="K2203">
        <v>2750</v>
      </c>
      <c r="L2203">
        <v>0</v>
      </c>
      <c r="M2203">
        <v>0</v>
      </c>
      <c r="N2203">
        <v>2750</v>
      </c>
    </row>
    <row r="2204" spans="1:14" x14ac:dyDescent="0.25">
      <c r="A2204">
        <v>1461.590596</v>
      </c>
      <c r="B2204" s="1">
        <f>DATE(2014,5,1) + TIME(14,10,27)</f>
        <v>41760.590590277781</v>
      </c>
      <c r="C2204">
        <v>80</v>
      </c>
      <c r="D2204">
        <v>76.854301453000005</v>
      </c>
      <c r="E2204">
        <v>50</v>
      </c>
      <c r="F2204">
        <v>49.929912567000002</v>
      </c>
      <c r="G2204">
        <v>1346.9602050999999</v>
      </c>
      <c r="H2204">
        <v>1342.2801514</v>
      </c>
      <c r="I2204">
        <v>1321.7144774999999</v>
      </c>
      <c r="J2204">
        <v>1317.4338379000001</v>
      </c>
      <c r="K2204">
        <v>2750</v>
      </c>
      <c r="L2204">
        <v>0</v>
      </c>
      <c r="M2204">
        <v>0</v>
      </c>
      <c r="N2204">
        <v>2750</v>
      </c>
    </row>
    <row r="2205" spans="1:14" x14ac:dyDescent="0.25">
      <c r="A2205">
        <v>1461.6244380000001</v>
      </c>
      <c r="B2205" s="1">
        <f>DATE(2014,5,1) + TIME(14,59,11)</f>
        <v>41760.624432870369</v>
      </c>
      <c r="C2205">
        <v>80</v>
      </c>
      <c r="D2205">
        <v>77.069244385000005</v>
      </c>
      <c r="E2205">
        <v>50</v>
      </c>
      <c r="F2205">
        <v>49.927345275999997</v>
      </c>
      <c r="G2205">
        <v>1346.9587402</v>
      </c>
      <c r="H2205">
        <v>1342.2841797000001</v>
      </c>
      <c r="I2205">
        <v>1321.7142334</v>
      </c>
      <c r="J2205">
        <v>1317.4335937999999</v>
      </c>
      <c r="K2205">
        <v>2750</v>
      </c>
      <c r="L2205">
        <v>0</v>
      </c>
      <c r="M2205">
        <v>0</v>
      </c>
      <c r="N2205">
        <v>2750</v>
      </c>
    </row>
    <row r="2206" spans="1:14" x14ac:dyDescent="0.25">
      <c r="A2206">
        <v>1461.6593359999999</v>
      </c>
      <c r="B2206" s="1">
        <f>DATE(2014,5,1) + TIME(15,49,26)</f>
        <v>41760.659328703703</v>
      </c>
      <c r="C2206">
        <v>80</v>
      </c>
      <c r="D2206">
        <v>77.275451660000002</v>
      </c>
      <c r="E2206">
        <v>50</v>
      </c>
      <c r="F2206">
        <v>49.924720764</v>
      </c>
      <c r="G2206">
        <v>1346.9581298999999</v>
      </c>
      <c r="H2206">
        <v>1342.2885742000001</v>
      </c>
      <c r="I2206">
        <v>1321.7141113</v>
      </c>
      <c r="J2206">
        <v>1317.4333495999999</v>
      </c>
      <c r="K2206">
        <v>2750</v>
      </c>
      <c r="L2206">
        <v>0</v>
      </c>
      <c r="M2206">
        <v>0</v>
      </c>
      <c r="N2206">
        <v>2750</v>
      </c>
    </row>
    <row r="2207" spans="1:14" x14ac:dyDescent="0.25">
      <c r="A2207">
        <v>1461.6953570000001</v>
      </c>
      <c r="B2207" s="1">
        <f>DATE(2014,5,1) + TIME(16,41,18)</f>
        <v>41760.695347222223</v>
      </c>
      <c r="C2207">
        <v>80</v>
      </c>
      <c r="D2207">
        <v>77.473007202000005</v>
      </c>
      <c r="E2207">
        <v>50</v>
      </c>
      <c r="F2207">
        <v>49.922039032000001</v>
      </c>
      <c r="G2207">
        <v>1346.958374</v>
      </c>
      <c r="H2207">
        <v>1342.2932129000001</v>
      </c>
      <c r="I2207">
        <v>1321.7139893000001</v>
      </c>
      <c r="J2207">
        <v>1317.4329834</v>
      </c>
      <c r="K2207">
        <v>2750</v>
      </c>
      <c r="L2207">
        <v>0</v>
      </c>
      <c r="M2207">
        <v>0</v>
      </c>
      <c r="N2207">
        <v>2750</v>
      </c>
    </row>
    <row r="2208" spans="1:14" x14ac:dyDescent="0.25">
      <c r="A2208">
        <v>1461.732573</v>
      </c>
      <c r="B2208" s="1">
        <f>DATE(2014,5,1) + TIME(17,34,54)</f>
        <v>41760.732569444444</v>
      </c>
      <c r="C2208">
        <v>80</v>
      </c>
      <c r="D2208">
        <v>77.661956786999994</v>
      </c>
      <c r="E2208">
        <v>50</v>
      </c>
      <c r="F2208">
        <v>49.919296265</v>
      </c>
      <c r="G2208">
        <v>1346.9593506000001</v>
      </c>
      <c r="H2208">
        <v>1342.2982178</v>
      </c>
      <c r="I2208">
        <v>1321.7137451000001</v>
      </c>
      <c r="J2208">
        <v>1317.4327393000001</v>
      </c>
      <c r="K2208">
        <v>2750</v>
      </c>
      <c r="L2208">
        <v>0</v>
      </c>
      <c r="M2208">
        <v>0</v>
      </c>
      <c r="N2208">
        <v>2750</v>
      </c>
    </row>
    <row r="2209" spans="1:14" x14ac:dyDescent="0.25">
      <c r="A2209">
        <v>1461.7710629999999</v>
      </c>
      <c r="B2209" s="1">
        <f>DATE(2014,5,1) + TIME(18,30,19)</f>
        <v>41760.771053240744</v>
      </c>
      <c r="C2209">
        <v>80</v>
      </c>
      <c r="D2209">
        <v>77.842376709000007</v>
      </c>
      <c r="E2209">
        <v>50</v>
      </c>
      <c r="F2209">
        <v>49.916481017999999</v>
      </c>
      <c r="G2209">
        <v>1346.9609375</v>
      </c>
      <c r="H2209">
        <v>1342.3033447</v>
      </c>
      <c r="I2209">
        <v>1321.713501</v>
      </c>
      <c r="J2209">
        <v>1317.4323730000001</v>
      </c>
      <c r="K2209">
        <v>2750</v>
      </c>
      <c r="L2209">
        <v>0</v>
      </c>
      <c r="M2209">
        <v>0</v>
      </c>
      <c r="N2209">
        <v>2750</v>
      </c>
    </row>
    <row r="2210" spans="1:14" x14ac:dyDescent="0.25">
      <c r="A2210">
        <v>1461.810919</v>
      </c>
      <c r="B2210" s="1">
        <f>DATE(2014,5,1) + TIME(19,27,43)</f>
        <v>41760.810914351852</v>
      </c>
      <c r="C2210">
        <v>80</v>
      </c>
      <c r="D2210">
        <v>78.014373778999996</v>
      </c>
      <c r="E2210">
        <v>50</v>
      </c>
      <c r="F2210">
        <v>49.913597107000001</v>
      </c>
      <c r="G2210">
        <v>1346.9631348</v>
      </c>
      <c r="H2210">
        <v>1342.3085937999999</v>
      </c>
      <c r="I2210">
        <v>1321.7133789</v>
      </c>
      <c r="J2210">
        <v>1317.4321289</v>
      </c>
      <c r="K2210">
        <v>2750</v>
      </c>
      <c r="L2210">
        <v>0</v>
      </c>
      <c r="M2210">
        <v>0</v>
      </c>
      <c r="N2210">
        <v>2750</v>
      </c>
    </row>
    <row r="2211" spans="1:14" x14ac:dyDescent="0.25">
      <c r="A2211">
        <v>1461.852241</v>
      </c>
      <c r="B2211" s="1">
        <f>DATE(2014,5,1) + TIME(20,27,13)</f>
        <v>41760.852233796293</v>
      </c>
      <c r="C2211">
        <v>80</v>
      </c>
      <c r="D2211">
        <v>78.178016662999994</v>
      </c>
      <c r="E2211">
        <v>50</v>
      </c>
      <c r="F2211">
        <v>49.910636902</v>
      </c>
      <c r="G2211">
        <v>1346.9659423999999</v>
      </c>
      <c r="H2211">
        <v>1342.3139647999999</v>
      </c>
      <c r="I2211">
        <v>1321.7131348</v>
      </c>
      <c r="J2211">
        <v>1317.4317627</v>
      </c>
      <c r="K2211">
        <v>2750</v>
      </c>
      <c r="L2211">
        <v>0</v>
      </c>
      <c r="M2211">
        <v>0</v>
      </c>
      <c r="N2211">
        <v>2750</v>
      </c>
    </row>
    <row r="2212" spans="1:14" x14ac:dyDescent="0.25">
      <c r="A2212">
        <v>1461.8951219999999</v>
      </c>
      <c r="B2212" s="1">
        <f>DATE(2014,5,1) + TIME(21,28,58)</f>
        <v>41760.895115740743</v>
      </c>
      <c r="C2212">
        <v>80</v>
      </c>
      <c r="D2212">
        <v>78.333343506000006</v>
      </c>
      <c r="E2212">
        <v>50</v>
      </c>
      <c r="F2212">
        <v>49.907592772999998</v>
      </c>
      <c r="G2212">
        <v>1346.9689940999999</v>
      </c>
      <c r="H2212">
        <v>1342.3195800999999</v>
      </c>
      <c r="I2212">
        <v>1321.7128906</v>
      </c>
      <c r="J2212">
        <v>1317.4313964999999</v>
      </c>
      <c r="K2212">
        <v>2750</v>
      </c>
      <c r="L2212">
        <v>0</v>
      </c>
      <c r="M2212">
        <v>0</v>
      </c>
      <c r="N2212">
        <v>2750</v>
      </c>
    </row>
    <row r="2213" spans="1:14" x14ac:dyDescent="0.25">
      <c r="A2213">
        <v>1461.939676</v>
      </c>
      <c r="B2213" s="1">
        <f>DATE(2014,5,1) + TIME(22,33,7)</f>
        <v>41760.939664351848</v>
      </c>
      <c r="C2213">
        <v>80</v>
      </c>
      <c r="D2213">
        <v>78.480445861999996</v>
      </c>
      <c r="E2213">
        <v>50</v>
      </c>
      <c r="F2213">
        <v>49.904460907000001</v>
      </c>
      <c r="G2213">
        <v>1346.9725341999999</v>
      </c>
      <c r="H2213">
        <v>1342.3250731999999</v>
      </c>
      <c r="I2213">
        <v>1321.7126464999999</v>
      </c>
      <c r="J2213">
        <v>1317.4310303</v>
      </c>
      <c r="K2213">
        <v>2750</v>
      </c>
      <c r="L2213">
        <v>0</v>
      </c>
      <c r="M2213">
        <v>0</v>
      </c>
      <c r="N2213">
        <v>2750</v>
      </c>
    </row>
    <row r="2214" spans="1:14" x14ac:dyDescent="0.25">
      <c r="A2214">
        <v>1461.986028</v>
      </c>
      <c r="B2214" s="1">
        <f>DATE(2014,5,1) + TIME(23,39,52)</f>
        <v>41760.986018518517</v>
      </c>
      <c r="C2214">
        <v>80</v>
      </c>
      <c r="D2214">
        <v>78.619415282999995</v>
      </c>
      <c r="E2214">
        <v>50</v>
      </c>
      <c r="F2214">
        <v>49.901233673</v>
      </c>
      <c r="G2214">
        <v>1346.9763184000001</v>
      </c>
      <c r="H2214">
        <v>1342.3305664</v>
      </c>
      <c r="I2214">
        <v>1321.7124022999999</v>
      </c>
      <c r="J2214">
        <v>1317.4306641000001</v>
      </c>
      <c r="K2214">
        <v>2750</v>
      </c>
      <c r="L2214">
        <v>0</v>
      </c>
      <c r="M2214">
        <v>0</v>
      </c>
      <c r="N2214">
        <v>2750</v>
      </c>
    </row>
    <row r="2215" spans="1:14" x14ac:dyDescent="0.25">
      <c r="A2215">
        <v>1462.0343170000001</v>
      </c>
      <c r="B2215" s="1">
        <f>DATE(2014,5,2) + TIME(0,49,25)</f>
        <v>41761.034317129626</v>
      </c>
      <c r="C2215">
        <v>80</v>
      </c>
      <c r="D2215">
        <v>78.750343322999996</v>
      </c>
      <c r="E2215">
        <v>50</v>
      </c>
      <c r="F2215">
        <v>49.897907257</v>
      </c>
      <c r="G2215">
        <v>1346.9803466999999</v>
      </c>
      <c r="H2215">
        <v>1342.3360596</v>
      </c>
      <c r="I2215">
        <v>1321.7121582</v>
      </c>
      <c r="J2215">
        <v>1317.4302978999999</v>
      </c>
      <c r="K2215">
        <v>2750</v>
      </c>
      <c r="L2215">
        <v>0</v>
      </c>
      <c r="M2215">
        <v>0</v>
      </c>
      <c r="N2215">
        <v>2750</v>
      </c>
    </row>
    <row r="2216" spans="1:14" x14ac:dyDescent="0.25">
      <c r="A2216">
        <v>1462.084701</v>
      </c>
      <c r="B2216" s="1">
        <f>DATE(2014,5,2) + TIME(2,1,58)</f>
        <v>41761.084699074076</v>
      </c>
      <c r="C2216">
        <v>80</v>
      </c>
      <c r="D2216">
        <v>78.873352050999998</v>
      </c>
      <c r="E2216">
        <v>50</v>
      </c>
      <c r="F2216">
        <v>49.894466399999999</v>
      </c>
      <c r="G2216">
        <v>1346.9846190999999</v>
      </c>
      <c r="H2216">
        <v>1342.3414307</v>
      </c>
      <c r="I2216">
        <v>1321.7119141000001</v>
      </c>
      <c r="J2216">
        <v>1317.4299315999999</v>
      </c>
      <c r="K2216">
        <v>2750</v>
      </c>
      <c r="L2216">
        <v>0</v>
      </c>
      <c r="M2216">
        <v>0</v>
      </c>
      <c r="N2216">
        <v>2750</v>
      </c>
    </row>
    <row r="2217" spans="1:14" x14ac:dyDescent="0.25">
      <c r="A2217">
        <v>1462.137352</v>
      </c>
      <c r="B2217" s="1">
        <f>DATE(2014,5,2) + TIME(3,17,47)</f>
        <v>41761.137349537035</v>
      </c>
      <c r="C2217">
        <v>80</v>
      </c>
      <c r="D2217">
        <v>78.988563537999994</v>
      </c>
      <c r="E2217">
        <v>50</v>
      </c>
      <c r="F2217">
        <v>49.890911101999997</v>
      </c>
      <c r="G2217">
        <v>1346.9888916</v>
      </c>
      <c r="H2217">
        <v>1342.3468018000001</v>
      </c>
      <c r="I2217">
        <v>1321.7116699000001</v>
      </c>
      <c r="J2217">
        <v>1317.4295654</v>
      </c>
      <c r="K2217">
        <v>2750</v>
      </c>
      <c r="L2217">
        <v>0</v>
      </c>
      <c r="M2217">
        <v>0</v>
      </c>
      <c r="N2217">
        <v>2750</v>
      </c>
    </row>
    <row r="2218" spans="1:14" x14ac:dyDescent="0.25">
      <c r="A2218">
        <v>1462.192462</v>
      </c>
      <c r="B2218" s="1">
        <f>DATE(2014,5,2) + TIME(4,37,8)</f>
        <v>41761.192453703705</v>
      </c>
      <c r="C2218">
        <v>80</v>
      </c>
      <c r="D2218">
        <v>79.096092224000003</v>
      </c>
      <c r="E2218">
        <v>50</v>
      </c>
      <c r="F2218">
        <v>49.887222289999997</v>
      </c>
      <c r="G2218">
        <v>1346.9930420000001</v>
      </c>
      <c r="H2218">
        <v>1342.3518065999999</v>
      </c>
      <c r="I2218">
        <v>1321.7113036999999</v>
      </c>
      <c r="J2218">
        <v>1317.4290771000001</v>
      </c>
      <c r="K2218">
        <v>2750</v>
      </c>
      <c r="L2218">
        <v>0</v>
      </c>
      <c r="M2218">
        <v>0</v>
      </c>
      <c r="N2218">
        <v>2750</v>
      </c>
    </row>
    <row r="2219" spans="1:14" x14ac:dyDescent="0.25">
      <c r="A2219">
        <v>1462.2501199999999</v>
      </c>
      <c r="B2219" s="1">
        <f>DATE(2014,5,2) + TIME(6,0,10)</f>
        <v>41761.250115740739</v>
      </c>
      <c r="C2219">
        <v>80</v>
      </c>
      <c r="D2219">
        <v>79.195892334000007</v>
      </c>
      <c r="E2219">
        <v>50</v>
      </c>
      <c r="F2219">
        <v>49.883407593000001</v>
      </c>
      <c r="G2219">
        <v>1346.9973144999999</v>
      </c>
      <c r="H2219">
        <v>1342.3568115</v>
      </c>
      <c r="I2219">
        <v>1321.7110596</v>
      </c>
      <c r="J2219">
        <v>1317.4285889</v>
      </c>
      <c r="K2219">
        <v>2750</v>
      </c>
      <c r="L2219">
        <v>0</v>
      </c>
      <c r="M2219">
        <v>0</v>
      </c>
      <c r="N2219">
        <v>2750</v>
      </c>
    </row>
    <row r="2220" spans="1:14" x14ac:dyDescent="0.25">
      <c r="A2220">
        <v>1462.310538</v>
      </c>
      <c r="B2220" s="1">
        <f>DATE(2014,5,2) + TIME(7,27,10)</f>
        <v>41761.310532407406</v>
      </c>
      <c r="C2220">
        <v>80</v>
      </c>
      <c r="D2220">
        <v>79.288154602000006</v>
      </c>
      <c r="E2220">
        <v>50</v>
      </c>
      <c r="F2220">
        <v>49.879447937000002</v>
      </c>
      <c r="G2220">
        <v>1347.0013428</v>
      </c>
      <c r="H2220">
        <v>1342.3614502</v>
      </c>
      <c r="I2220">
        <v>1321.7106934000001</v>
      </c>
      <c r="J2220">
        <v>1317.4282227000001</v>
      </c>
      <c r="K2220">
        <v>2750</v>
      </c>
      <c r="L2220">
        <v>0</v>
      </c>
      <c r="M2220">
        <v>0</v>
      </c>
      <c r="N2220">
        <v>2750</v>
      </c>
    </row>
    <row r="2221" spans="1:14" x14ac:dyDescent="0.25">
      <c r="A2221">
        <v>1462.3739539999999</v>
      </c>
      <c r="B2221" s="1">
        <f>DATE(2014,5,2) + TIME(8,58,29)</f>
        <v>41761.37394675926</v>
      </c>
      <c r="C2221">
        <v>80</v>
      </c>
      <c r="D2221">
        <v>79.373062133999994</v>
      </c>
      <c r="E2221">
        <v>50</v>
      </c>
      <c r="F2221">
        <v>49.875331879000001</v>
      </c>
      <c r="G2221">
        <v>1347.005249</v>
      </c>
      <c r="H2221">
        <v>1342.3657227000001</v>
      </c>
      <c r="I2221">
        <v>1321.7103271000001</v>
      </c>
      <c r="J2221">
        <v>1317.4277344</v>
      </c>
      <c r="K2221">
        <v>2750</v>
      </c>
      <c r="L2221">
        <v>0</v>
      </c>
      <c r="M2221">
        <v>0</v>
      </c>
      <c r="N2221">
        <v>2750</v>
      </c>
    </row>
    <row r="2222" spans="1:14" x14ac:dyDescent="0.25">
      <c r="A2222">
        <v>1462.4406309999999</v>
      </c>
      <c r="B2222" s="1">
        <f>DATE(2014,5,2) + TIME(10,34,30)</f>
        <v>41761.440625000003</v>
      </c>
      <c r="C2222">
        <v>80</v>
      </c>
      <c r="D2222">
        <v>79.450836182000003</v>
      </c>
      <c r="E2222">
        <v>50</v>
      </c>
      <c r="F2222">
        <v>49.871047974</v>
      </c>
      <c r="G2222">
        <v>1347.0087891000001</v>
      </c>
      <c r="H2222">
        <v>1342.369751</v>
      </c>
      <c r="I2222">
        <v>1321.7099608999999</v>
      </c>
      <c r="J2222">
        <v>1317.4272461</v>
      </c>
      <c r="K2222">
        <v>2750</v>
      </c>
      <c r="L2222">
        <v>0</v>
      </c>
      <c r="M2222">
        <v>0</v>
      </c>
      <c r="N2222">
        <v>2750</v>
      </c>
    </row>
    <row r="2223" spans="1:14" x14ac:dyDescent="0.25">
      <c r="A2223">
        <v>1462.510869</v>
      </c>
      <c r="B2223" s="1">
        <f>DATE(2014,5,2) + TIME(12,15,39)</f>
        <v>41761.510868055557</v>
      </c>
      <c r="C2223">
        <v>80</v>
      </c>
      <c r="D2223">
        <v>79.521713257000002</v>
      </c>
      <c r="E2223">
        <v>50</v>
      </c>
      <c r="F2223">
        <v>49.866584778000004</v>
      </c>
      <c r="G2223">
        <v>1347.0118408000001</v>
      </c>
      <c r="H2223">
        <v>1342.3732910000001</v>
      </c>
      <c r="I2223">
        <v>1321.7095947</v>
      </c>
      <c r="J2223">
        <v>1317.4266356999999</v>
      </c>
      <c r="K2223">
        <v>2750</v>
      </c>
      <c r="L2223">
        <v>0</v>
      </c>
      <c r="M2223">
        <v>0</v>
      </c>
      <c r="N2223">
        <v>2750</v>
      </c>
    </row>
    <row r="2224" spans="1:14" x14ac:dyDescent="0.25">
      <c r="A2224">
        <v>1462.585006</v>
      </c>
      <c r="B2224" s="1">
        <f>DATE(2014,5,2) + TIME(14,2,24)</f>
        <v>41761.584999999999</v>
      </c>
      <c r="C2224">
        <v>80</v>
      </c>
      <c r="D2224">
        <v>79.5859375</v>
      </c>
      <c r="E2224">
        <v>50</v>
      </c>
      <c r="F2224">
        <v>49.861923218000001</v>
      </c>
      <c r="G2224">
        <v>1347.0145264</v>
      </c>
      <c r="H2224">
        <v>1342.3763428</v>
      </c>
      <c r="I2224">
        <v>1321.7092285000001</v>
      </c>
      <c r="J2224">
        <v>1317.4261475000001</v>
      </c>
      <c r="K2224">
        <v>2750</v>
      </c>
      <c r="L2224">
        <v>0</v>
      </c>
      <c r="M2224">
        <v>0</v>
      </c>
      <c r="N2224">
        <v>2750</v>
      </c>
    </row>
    <row r="2225" spans="1:14" x14ac:dyDescent="0.25">
      <c r="A2225">
        <v>1462.6634670000001</v>
      </c>
      <c r="B2225" s="1">
        <f>DATE(2014,5,2) + TIME(15,55,23)</f>
        <v>41761.663460648146</v>
      </c>
      <c r="C2225">
        <v>80</v>
      </c>
      <c r="D2225">
        <v>79.643798828000001</v>
      </c>
      <c r="E2225">
        <v>50</v>
      </c>
      <c r="F2225">
        <v>49.857040404999999</v>
      </c>
      <c r="G2225">
        <v>1347.0166016000001</v>
      </c>
      <c r="H2225">
        <v>1342.3790283000001</v>
      </c>
      <c r="I2225">
        <v>1321.7088623</v>
      </c>
      <c r="J2225">
        <v>1317.4255370999999</v>
      </c>
      <c r="K2225">
        <v>2750</v>
      </c>
      <c r="L2225">
        <v>0</v>
      </c>
      <c r="M2225">
        <v>0</v>
      </c>
      <c r="N2225">
        <v>2750</v>
      </c>
    </row>
    <row r="2226" spans="1:14" x14ac:dyDescent="0.25">
      <c r="A2226">
        <v>1462.746682</v>
      </c>
      <c r="B2226" s="1">
        <f>DATE(2014,5,2) + TIME(17,55,13)</f>
        <v>41761.746678240743</v>
      </c>
      <c r="C2226">
        <v>80</v>
      </c>
      <c r="D2226">
        <v>79.695579529</v>
      </c>
      <c r="E2226">
        <v>50</v>
      </c>
      <c r="F2226">
        <v>49.851917266999997</v>
      </c>
      <c r="G2226">
        <v>1347.0179443</v>
      </c>
      <c r="H2226">
        <v>1342.3811035000001</v>
      </c>
      <c r="I2226">
        <v>1321.708374</v>
      </c>
      <c r="J2226">
        <v>1317.4249268000001</v>
      </c>
      <c r="K2226">
        <v>2750</v>
      </c>
      <c r="L2226">
        <v>0</v>
      </c>
      <c r="M2226">
        <v>0</v>
      </c>
      <c r="N2226">
        <v>2750</v>
      </c>
    </row>
    <row r="2227" spans="1:14" x14ac:dyDescent="0.25">
      <c r="A2227">
        <v>1462.833249</v>
      </c>
      <c r="B2227" s="1">
        <f>DATE(2014,5,2) + TIME(19,59,52)</f>
        <v>41761.833240740743</v>
      </c>
      <c r="C2227">
        <v>80</v>
      </c>
      <c r="D2227">
        <v>79.740745544000006</v>
      </c>
      <c r="E2227">
        <v>50</v>
      </c>
      <c r="F2227">
        <v>49.846630095999998</v>
      </c>
      <c r="G2227">
        <v>1347.019043</v>
      </c>
      <c r="H2227">
        <v>1342.3828125</v>
      </c>
      <c r="I2227">
        <v>1321.7080077999999</v>
      </c>
      <c r="J2227">
        <v>1317.4243164</v>
      </c>
      <c r="K2227">
        <v>2750</v>
      </c>
      <c r="L2227">
        <v>0</v>
      </c>
      <c r="M2227">
        <v>0</v>
      </c>
      <c r="N2227">
        <v>2750</v>
      </c>
    </row>
    <row r="2228" spans="1:14" x14ac:dyDescent="0.25">
      <c r="A2228">
        <v>1462.920938</v>
      </c>
      <c r="B2228" s="1">
        <f>DATE(2014,5,2) + TIME(22,6,9)</f>
        <v>41761.920937499999</v>
      </c>
      <c r="C2228">
        <v>80</v>
      </c>
      <c r="D2228">
        <v>79.779014587000006</v>
      </c>
      <c r="E2228">
        <v>50</v>
      </c>
      <c r="F2228">
        <v>49.841308593999997</v>
      </c>
      <c r="G2228">
        <v>1347.0196533000001</v>
      </c>
      <c r="H2228">
        <v>1342.3841553</v>
      </c>
      <c r="I2228">
        <v>1321.7075195</v>
      </c>
      <c r="J2228">
        <v>1317.4237060999999</v>
      </c>
      <c r="K2228">
        <v>2750</v>
      </c>
      <c r="L2228">
        <v>0</v>
      </c>
      <c r="M2228">
        <v>0</v>
      </c>
      <c r="N2228">
        <v>2750</v>
      </c>
    </row>
    <row r="2229" spans="1:14" x14ac:dyDescent="0.25">
      <c r="A2229">
        <v>1463.0100319999999</v>
      </c>
      <c r="B2229" s="1">
        <f>DATE(2014,5,3) + TIME(0,14,26)</f>
        <v>41762.010023148148</v>
      </c>
      <c r="C2229">
        <v>80</v>
      </c>
      <c r="D2229">
        <v>79.811470032000003</v>
      </c>
      <c r="E2229">
        <v>50</v>
      </c>
      <c r="F2229">
        <v>49.835929870999998</v>
      </c>
      <c r="G2229">
        <v>1347.0194091999999</v>
      </c>
      <c r="H2229">
        <v>1342.3847656</v>
      </c>
      <c r="I2229">
        <v>1321.7070312000001</v>
      </c>
      <c r="J2229">
        <v>1317.4230957</v>
      </c>
      <c r="K2229">
        <v>2750</v>
      </c>
      <c r="L2229">
        <v>0</v>
      </c>
      <c r="M2229">
        <v>0</v>
      </c>
      <c r="N2229">
        <v>2750</v>
      </c>
    </row>
    <row r="2230" spans="1:14" x14ac:dyDescent="0.25">
      <c r="A2230">
        <v>1463.1007609999999</v>
      </c>
      <c r="B2230" s="1">
        <f>DATE(2014,5,3) + TIME(2,25,5)</f>
        <v>41762.100752314815</v>
      </c>
      <c r="C2230">
        <v>80</v>
      </c>
      <c r="D2230">
        <v>79.838958739999995</v>
      </c>
      <c r="E2230">
        <v>50</v>
      </c>
      <c r="F2230">
        <v>49.830486297999997</v>
      </c>
      <c r="G2230">
        <v>1347.0181885</v>
      </c>
      <c r="H2230">
        <v>1342.3847656</v>
      </c>
      <c r="I2230">
        <v>1321.706543</v>
      </c>
      <c r="J2230">
        <v>1317.4223632999999</v>
      </c>
      <c r="K2230">
        <v>2750</v>
      </c>
      <c r="L2230">
        <v>0</v>
      </c>
      <c r="M2230">
        <v>0</v>
      </c>
      <c r="N2230">
        <v>2750</v>
      </c>
    </row>
    <row r="2231" spans="1:14" x14ac:dyDescent="0.25">
      <c r="A2231">
        <v>1463.1933650000001</v>
      </c>
      <c r="B2231" s="1">
        <f>DATE(2014,5,3) + TIME(4,38,26)</f>
        <v>41762.193356481483</v>
      </c>
      <c r="C2231">
        <v>80</v>
      </c>
      <c r="D2231">
        <v>79.862228393999999</v>
      </c>
      <c r="E2231">
        <v>50</v>
      </c>
      <c r="F2231">
        <v>49.824962616000001</v>
      </c>
      <c r="G2231">
        <v>1347.0162353999999</v>
      </c>
      <c r="H2231">
        <v>1342.3840332</v>
      </c>
      <c r="I2231">
        <v>1321.7060547000001</v>
      </c>
      <c r="J2231">
        <v>1317.4217529</v>
      </c>
      <c r="K2231">
        <v>2750</v>
      </c>
      <c r="L2231">
        <v>0</v>
      </c>
      <c r="M2231">
        <v>0</v>
      </c>
      <c r="N2231">
        <v>2750</v>
      </c>
    </row>
    <row r="2232" spans="1:14" x14ac:dyDescent="0.25">
      <c r="A2232">
        <v>1463.2872589999999</v>
      </c>
      <c r="B2232" s="1">
        <f>DATE(2014,5,3) + TIME(6,53,39)</f>
        <v>41762.287256944444</v>
      </c>
      <c r="C2232">
        <v>80</v>
      </c>
      <c r="D2232">
        <v>79.881744385000005</v>
      </c>
      <c r="E2232">
        <v>50</v>
      </c>
      <c r="F2232">
        <v>49.819389342999997</v>
      </c>
      <c r="G2232">
        <v>1347.0134277</v>
      </c>
      <c r="H2232">
        <v>1342.3829346</v>
      </c>
      <c r="I2232">
        <v>1321.7055664</v>
      </c>
      <c r="J2232">
        <v>1317.4210204999999</v>
      </c>
      <c r="K2232">
        <v>2750</v>
      </c>
      <c r="L2232">
        <v>0</v>
      </c>
      <c r="M2232">
        <v>0</v>
      </c>
      <c r="N2232">
        <v>2750</v>
      </c>
    </row>
    <row r="2233" spans="1:14" x14ac:dyDescent="0.25">
      <c r="A2233">
        <v>1463.3824079999999</v>
      </c>
      <c r="B2233" s="1">
        <f>DATE(2014,5,3) + TIME(9,10,40)</f>
        <v>41762.382407407407</v>
      </c>
      <c r="C2233">
        <v>80</v>
      </c>
      <c r="D2233">
        <v>79.898071289000001</v>
      </c>
      <c r="E2233">
        <v>50</v>
      </c>
      <c r="F2233">
        <v>49.813770294000001</v>
      </c>
      <c r="G2233">
        <v>1347.0100098</v>
      </c>
      <c r="H2233">
        <v>1342.3812256000001</v>
      </c>
      <c r="I2233">
        <v>1321.7050781</v>
      </c>
      <c r="J2233">
        <v>1317.4204102000001</v>
      </c>
      <c r="K2233">
        <v>2750</v>
      </c>
      <c r="L2233">
        <v>0</v>
      </c>
      <c r="M2233">
        <v>0</v>
      </c>
      <c r="N2233">
        <v>2750</v>
      </c>
    </row>
    <row r="2234" spans="1:14" x14ac:dyDescent="0.25">
      <c r="A2234">
        <v>1463.4789960000001</v>
      </c>
      <c r="B2234" s="1">
        <f>DATE(2014,5,3) + TIME(11,29,45)</f>
        <v>41762.478993055556</v>
      </c>
      <c r="C2234">
        <v>80</v>
      </c>
      <c r="D2234">
        <v>79.911727905000006</v>
      </c>
      <c r="E2234">
        <v>50</v>
      </c>
      <c r="F2234">
        <v>49.808094025000003</v>
      </c>
      <c r="G2234">
        <v>1347.0058594</v>
      </c>
      <c r="H2234">
        <v>1342.3790283000001</v>
      </c>
      <c r="I2234">
        <v>1321.7044678</v>
      </c>
      <c r="J2234">
        <v>1317.4196777</v>
      </c>
      <c r="K2234">
        <v>2750</v>
      </c>
      <c r="L2234">
        <v>0</v>
      </c>
      <c r="M2234">
        <v>0</v>
      </c>
      <c r="N2234">
        <v>2750</v>
      </c>
    </row>
    <row r="2235" spans="1:14" x14ac:dyDescent="0.25">
      <c r="A2235">
        <v>1463.5771999999999</v>
      </c>
      <c r="B2235" s="1">
        <f>DATE(2014,5,3) + TIME(13,51,10)</f>
        <v>41762.577199074076</v>
      </c>
      <c r="C2235">
        <v>80</v>
      </c>
      <c r="D2235">
        <v>79.923133849999999</v>
      </c>
      <c r="E2235">
        <v>50</v>
      </c>
      <c r="F2235">
        <v>49.802352904999999</v>
      </c>
      <c r="G2235">
        <v>1347.0009766000001</v>
      </c>
      <c r="H2235">
        <v>1342.3764647999999</v>
      </c>
      <c r="I2235">
        <v>1321.7039795000001</v>
      </c>
      <c r="J2235">
        <v>1317.4189452999999</v>
      </c>
      <c r="K2235">
        <v>2750</v>
      </c>
      <c r="L2235">
        <v>0</v>
      </c>
      <c r="M2235">
        <v>0</v>
      </c>
      <c r="N2235">
        <v>2750</v>
      </c>
    </row>
    <row r="2236" spans="1:14" x14ac:dyDescent="0.25">
      <c r="A2236">
        <v>1463.677226</v>
      </c>
      <c r="B2236" s="1">
        <f>DATE(2014,5,3) + TIME(16,15,12)</f>
        <v>41762.677222222221</v>
      </c>
      <c r="C2236">
        <v>80</v>
      </c>
      <c r="D2236">
        <v>79.932647704999994</v>
      </c>
      <c r="E2236">
        <v>50</v>
      </c>
      <c r="F2236">
        <v>49.796535491999997</v>
      </c>
      <c r="G2236">
        <v>1346.9956055</v>
      </c>
      <c r="H2236">
        <v>1342.3734131000001</v>
      </c>
      <c r="I2236">
        <v>1321.7034911999999</v>
      </c>
      <c r="J2236">
        <v>1317.4183350000001</v>
      </c>
      <c r="K2236">
        <v>2750</v>
      </c>
      <c r="L2236">
        <v>0</v>
      </c>
      <c r="M2236">
        <v>0</v>
      </c>
      <c r="N2236">
        <v>2750</v>
      </c>
    </row>
    <row r="2237" spans="1:14" x14ac:dyDescent="0.25">
      <c r="A2237">
        <v>1463.7792910000001</v>
      </c>
      <c r="B2237" s="1">
        <f>DATE(2014,5,3) + TIME(18,42,10)</f>
        <v>41762.779282407406</v>
      </c>
      <c r="C2237">
        <v>80</v>
      </c>
      <c r="D2237">
        <v>79.940574646000002</v>
      </c>
      <c r="E2237">
        <v>50</v>
      </c>
      <c r="F2237">
        <v>49.790634154999999</v>
      </c>
      <c r="G2237">
        <v>1346.9895019999999</v>
      </c>
      <c r="H2237">
        <v>1342.3699951000001</v>
      </c>
      <c r="I2237">
        <v>1321.7028809000001</v>
      </c>
      <c r="J2237">
        <v>1317.4176024999999</v>
      </c>
      <c r="K2237">
        <v>2750</v>
      </c>
      <c r="L2237">
        <v>0</v>
      </c>
      <c r="M2237">
        <v>0</v>
      </c>
      <c r="N2237">
        <v>2750</v>
      </c>
    </row>
    <row r="2238" spans="1:14" x14ac:dyDescent="0.25">
      <c r="A2238">
        <v>1463.8836209999999</v>
      </c>
      <c r="B2238" s="1">
        <f>DATE(2014,5,3) + TIME(21,12,24)</f>
        <v>41762.883611111109</v>
      </c>
      <c r="C2238">
        <v>80</v>
      </c>
      <c r="D2238">
        <v>79.947174071999996</v>
      </c>
      <c r="E2238">
        <v>50</v>
      </c>
      <c r="F2238">
        <v>49.784633636000002</v>
      </c>
      <c r="G2238">
        <v>1346.9829102000001</v>
      </c>
      <c r="H2238">
        <v>1342.3662108999999</v>
      </c>
      <c r="I2238">
        <v>1321.7023925999999</v>
      </c>
      <c r="J2238">
        <v>1317.4168701000001</v>
      </c>
      <c r="K2238">
        <v>2750</v>
      </c>
      <c r="L2238">
        <v>0</v>
      </c>
      <c r="M2238">
        <v>0</v>
      </c>
      <c r="N2238">
        <v>2750</v>
      </c>
    </row>
    <row r="2239" spans="1:14" x14ac:dyDescent="0.25">
      <c r="A2239">
        <v>1463.9904630000001</v>
      </c>
      <c r="B2239" s="1">
        <f>DATE(2014,5,3) + TIME(23,46,16)</f>
        <v>41762.99046296296</v>
      </c>
      <c r="C2239">
        <v>80</v>
      </c>
      <c r="D2239">
        <v>79.952644348000007</v>
      </c>
      <c r="E2239">
        <v>50</v>
      </c>
      <c r="F2239">
        <v>49.778522490999997</v>
      </c>
      <c r="G2239">
        <v>1346.9758300999999</v>
      </c>
      <c r="H2239">
        <v>1342.3620605000001</v>
      </c>
      <c r="I2239">
        <v>1321.7017822</v>
      </c>
      <c r="J2239">
        <v>1317.4161377</v>
      </c>
      <c r="K2239">
        <v>2750</v>
      </c>
      <c r="L2239">
        <v>0</v>
      </c>
      <c r="M2239">
        <v>0</v>
      </c>
      <c r="N2239">
        <v>2750</v>
      </c>
    </row>
    <row r="2240" spans="1:14" x14ac:dyDescent="0.25">
      <c r="A2240">
        <v>1464.1000759999999</v>
      </c>
      <c r="B2240" s="1">
        <f>DATE(2014,5,4) + TIME(2,24,6)</f>
        <v>41763.100069444445</v>
      </c>
      <c r="C2240">
        <v>80</v>
      </c>
      <c r="D2240">
        <v>79.957183838000006</v>
      </c>
      <c r="E2240">
        <v>50</v>
      </c>
      <c r="F2240">
        <v>49.772285461000003</v>
      </c>
      <c r="G2240">
        <v>1346.9682617000001</v>
      </c>
      <c r="H2240">
        <v>1342.3576660000001</v>
      </c>
      <c r="I2240">
        <v>1321.7011719</v>
      </c>
      <c r="J2240">
        <v>1317.4154053</v>
      </c>
      <c r="K2240">
        <v>2750</v>
      </c>
      <c r="L2240">
        <v>0</v>
      </c>
      <c r="M2240">
        <v>0</v>
      </c>
      <c r="N2240">
        <v>2750</v>
      </c>
    </row>
    <row r="2241" spans="1:14" x14ac:dyDescent="0.25">
      <c r="A2241">
        <v>1464.2127419999999</v>
      </c>
      <c r="B2241" s="1">
        <f>DATE(2014,5,4) + TIME(5,6,20)</f>
        <v>41763.212731481479</v>
      </c>
      <c r="C2241">
        <v>80</v>
      </c>
      <c r="D2241">
        <v>79.960929871000005</v>
      </c>
      <c r="E2241">
        <v>50</v>
      </c>
      <c r="F2241">
        <v>49.765914917000003</v>
      </c>
      <c r="G2241">
        <v>1346.9602050999999</v>
      </c>
      <c r="H2241">
        <v>1342.3529053</v>
      </c>
      <c r="I2241">
        <v>1321.7005615</v>
      </c>
      <c r="J2241">
        <v>1317.4145507999999</v>
      </c>
      <c r="K2241">
        <v>2750</v>
      </c>
      <c r="L2241">
        <v>0</v>
      </c>
      <c r="M2241">
        <v>0</v>
      </c>
      <c r="N2241">
        <v>2750</v>
      </c>
    </row>
    <row r="2242" spans="1:14" x14ac:dyDescent="0.25">
      <c r="A2242">
        <v>1464.328771</v>
      </c>
      <c r="B2242" s="1">
        <f>DATE(2014,5,4) + TIME(7,53,25)</f>
        <v>41763.328761574077</v>
      </c>
      <c r="C2242">
        <v>80</v>
      </c>
      <c r="D2242">
        <v>79.964012146000002</v>
      </c>
      <c r="E2242">
        <v>50</v>
      </c>
      <c r="F2242">
        <v>49.759395599000001</v>
      </c>
      <c r="G2242">
        <v>1346.9515381000001</v>
      </c>
      <c r="H2242">
        <v>1342.3477783000001</v>
      </c>
      <c r="I2242">
        <v>1321.6999512</v>
      </c>
      <c r="J2242">
        <v>1317.4138184000001</v>
      </c>
      <c r="K2242">
        <v>2750</v>
      </c>
      <c r="L2242">
        <v>0</v>
      </c>
      <c r="M2242">
        <v>0</v>
      </c>
      <c r="N2242">
        <v>2750</v>
      </c>
    </row>
    <row r="2243" spans="1:14" x14ac:dyDescent="0.25">
      <c r="A2243">
        <v>1464.448506</v>
      </c>
      <c r="B2243" s="1">
        <f>DATE(2014,5,4) + TIME(10,45,50)</f>
        <v>41763.448495370372</v>
      </c>
      <c r="C2243">
        <v>80</v>
      </c>
      <c r="D2243">
        <v>79.966545104999994</v>
      </c>
      <c r="E2243">
        <v>50</v>
      </c>
      <c r="F2243">
        <v>49.752704620000003</v>
      </c>
      <c r="G2243">
        <v>1346.9425048999999</v>
      </c>
      <c r="H2243">
        <v>1342.3425293</v>
      </c>
      <c r="I2243">
        <v>1321.6993408000001</v>
      </c>
      <c r="J2243">
        <v>1317.4129639</v>
      </c>
      <c r="K2243">
        <v>2750</v>
      </c>
      <c r="L2243">
        <v>0</v>
      </c>
      <c r="M2243">
        <v>0</v>
      </c>
      <c r="N2243">
        <v>2750</v>
      </c>
    </row>
    <row r="2244" spans="1:14" x14ac:dyDescent="0.25">
      <c r="A2244">
        <v>1464.571236</v>
      </c>
      <c r="B2244" s="1">
        <f>DATE(2014,5,4) + TIME(13,42,34)</f>
        <v>41763.571226851855</v>
      </c>
      <c r="C2244">
        <v>80</v>
      </c>
      <c r="D2244">
        <v>79.968605041999993</v>
      </c>
      <c r="E2244">
        <v>50</v>
      </c>
      <c r="F2244">
        <v>49.745883941999999</v>
      </c>
      <c r="G2244">
        <v>1346.9329834</v>
      </c>
      <c r="H2244">
        <v>1342.3369141000001</v>
      </c>
      <c r="I2244">
        <v>1321.6987305</v>
      </c>
      <c r="J2244">
        <v>1317.4121094</v>
      </c>
      <c r="K2244">
        <v>2750</v>
      </c>
      <c r="L2244">
        <v>0</v>
      </c>
      <c r="M2244">
        <v>0</v>
      </c>
      <c r="N2244">
        <v>2750</v>
      </c>
    </row>
    <row r="2245" spans="1:14" x14ac:dyDescent="0.25">
      <c r="A2245">
        <v>1464.6967529999999</v>
      </c>
      <c r="B2245" s="1">
        <f>DATE(2014,5,4) + TIME(16,43,19)</f>
        <v>41763.696747685186</v>
      </c>
      <c r="C2245">
        <v>80</v>
      </c>
      <c r="D2245">
        <v>79.970268250000004</v>
      </c>
      <c r="E2245">
        <v>50</v>
      </c>
      <c r="F2245">
        <v>49.738937378000003</v>
      </c>
      <c r="G2245">
        <v>1346.9230957</v>
      </c>
      <c r="H2245">
        <v>1342.3310547000001</v>
      </c>
      <c r="I2245">
        <v>1321.6979980000001</v>
      </c>
      <c r="J2245">
        <v>1317.4112548999999</v>
      </c>
      <c r="K2245">
        <v>2750</v>
      </c>
      <c r="L2245">
        <v>0</v>
      </c>
      <c r="M2245">
        <v>0</v>
      </c>
      <c r="N2245">
        <v>2750</v>
      </c>
    </row>
    <row r="2246" spans="1:14" x14ac:dyDescent="0.25">
      <c r="A2246">
        <v>1464.8252789999999</v>
      </c>
      <c r="B2246" s="1">
        <f>DATE(2014,5,4) + TIME(19,48,24)</f>
        <v>41763.825277777774</v>
      </c>
      <c r="C2246">
        <v>80</v>
      </c>
      <c r="D2246">
        <v>79.971611022999994</v>
      </c>
      <c r="E2246">
        <v>50</v>
      </c>
      <c r="F2246">
        <v>49.731861115000001</v>
      </c>
      <c r="G2246">
        <v>1346.9129639</v>
      </c>
      <c r="H2246">
        <v>1342.3250731999999</v>
      </c>
      <c r="I2246">
        <v>1321.6973877</v>
      </c>
      <c r="J2246">
        <v>1317.4104004000001</v>
      </c>
      <c r="K2246">
        <v>2750</v>
      </c>
      <c r="L2246">
        <v>0</v>
      </c>
      <c r="M2246">
        <v>0</v>
      </c>
      <c r="N2246">
        <v>2750</v>
      </c>
    </row>
    <row r="2247" spans="1:14" x14ac:dyDescent="0.25">
      <c r="A2247">
        <v>1464.9570630000001</v>
      </c>
      <c r="B2247" s="1">
        <f>DATE(2014,5,4) + TIME(22,58,10)</f>
        <v>41763.957060185188</v>
      </c>
      <c r="C2247">
        <v>80</v>
      </c>
      <c r="D2247">
        <v>79.972694396999998</v>
      </c>
      <c r="E2247">
        <v>50</v>
      </c>
      <c r="F2247">
        <v>49.724643706999998</v>
      </c>
      <c r="G2247">
        <v>1346.9024658000001</v>
      </c>
      <c r="H2247">
        <v>1342.3188477000001</v>
      </c>
      <c r="I2247">
        <v>1321.6966553</v>
      </c>
      <c r="J2247">
        <v>1317.4094238</v>
      </c>
      <c r="K2247">
        <v>2750</v>
      </c>
      <c r="L2247">
        <v>0</v>
      </c>
      <c r="M2247">
        <v>0</v>
      </c>
      <c r="N2247">
        <v>2750</v>
      </c>
    </row>
    <row r="2248" spans="1:14" x14ac:dyDescent="0.25">
      <c r="A2248">
        <v>1465.0924090000001</v>
      </c>
      <c r="B2248" s="1">
        <f>DATE(2014,5,5) + TIME(2,13,4)</f>
        <v>41764.092407407406</v>
      </c>
      <c r="C2248">
        <v>80</v>
      </c>
      <c r="D2248">
        <v>79.973564147999994</v>
      </c>
      <c r="E2248">
        <v>50</v>
      </c>
      <c r="F2248">
        <v>49.717266082999998</v>
      </c>
      <c r="G2248">
        <v>1346.8916016000001</v>
      </c>
      <c r="H2248">
        <v>1342.3125</v>
      </c>
      <c r="I2248">
        <v>1321.6959228999999</v>
      </c>
      <c r="J2248">
        <v>1317.4085693</v>
      </c>
      <c r="K2248">
        <v>2750</v>
      </c>
      <c r="L2248">
        <v>0</v>
      </c>
      <c r="M2248">
        <v>0</v>
      </c>
      <c r="N2248">
        <v>2750</v>
      </c>
    </row>
    <row r="2249" spans="1:14" x14ac:dyDescent="0.25">
      <c r="A2249">
        <v>1465.231726</v>
      </c>
      <c r="B2249" s="1">
        <f>DATE(2014,5,5) + TIME(5,33,41)</f>
        <v>41764.231724537036</v>
      </c>
      <c r="C2249">
        <v>80</v>
      </c>
      <c r="D2249">
        <v>79.974266052000004</v>
      </c>
      <c r="E2249">
        <v>50</v>
      </c>
      <c r="F2249">
        <v>49.709712981999999</v>
      </c>
      <c r="G2249">
        <v>1346.8803711</v>
      </c>
      <c r="H2249">
        <v>1342.3060303</v>
      </c>
      <c r="I2249">
        <v>1321.6951904</v>
      </c>
      <c r="J2249">
        <v>1317.4075928</v>
      </c>
      <c r="K2249">
        <v>2750</v>
      </c>
      <c r="L2249">
        <v>0</v>
      </c>
      <c r="M2249">
        <v>0</v>
      </c>
      <c r="N2249">
        <v>2750</v>
      </c>
    </row>
    <row r="2250" spans="1:14" x14ac:dyDescent="0.25">
      <c r="A2250">
        <v>1465.3753790000001</v>
      </c>
      <c r="B2250" s="1">
        <f>DATE(2014,5,5) + TIME(9,0,32)</f>
        <v>41764.37537037037</v>
      </c>
      <c r="C2250">
        <v>80</v>
      </c>
      <c r="D2250">
        <v>79.974822997999993</v>
      </c>
      <c r="E2250">
        <v>50</v>
      </c>
      <c r="F2250">
        <v>49.701969147</v>
      </c>
      <c r="G2250">
        <v>1346.8688964999999</v>
      </c>
      <c r="H2250">
        <v>1342.2993164</v>
      </c>
      <c r="I2250">
        <v>1321.6944579999999</v>
      </c>
      <c r="J2250">
        <v>1317.4066161999999</v>
      </c>
      <c r="K2250">
        <v>2750</v>
      </c>
      <c r="L2250">
        <v>0</v>
      </c>
      <c r="M2250">
        <v>0</v>
      </c>
      <c r="N2250">
        <v>2750</v>
      </c>
    </row>
    <row r="2251" spans="1:14" x14ac:dyDescent="0.25">
      <c r="A2251">
        <v>1465.523778</v>
      </c>
      <c r="B2251" s="1">
        <f>DATE(2014,5,5) + TIME(12,34,14)</f>
        <v>41764.523773148147</v>
      </c>
      <c r="C2251">
        <v>80</v>
      </c>
      <c r="D2251">
        <v>79.975265503000003</v>
      </c>
      <c r="E2251">
        <v>50</v>
      </c>
      <c r="F2251">
        <v>49.694019318000002</v>
      </c>
      <c r="G2251">
        <v>1346.8571777</v>
      </c>
      <c r="H2251">
        <v>1342.2924805</v>
      </c>
      <c r="I2251">
        <v>1321.6936035000001</v>
      </c>
      <c r="J2251">
        <v>1317.4056396000001</v>
      </c>
      <c r="K2251">
        <v>2750</v>
      </c>
      <c r="L2251">
        <v>0</v>
      </c>
      <c r="M2251">
        <v>0</v>
      </c>
      <c r="N2251">
        <v>2750</v>
      </c>
    </row>
    <row r="2252" spans="1:14" x14ac:dyDescent="0.25">
      <c r="A2252">
        <v>1465.677383</v>
      </c>
      <c r="B2252" s="1">
        <f>DATE(2014,5,5) + TIME(16,15,25)</f>
        <v>41764.677372685182</v>
      </c>
      <c r="C2252">
        <v>80</v>
      </c>
      <c r="D2252">
        <v>79.975624084000003</v>
      </c>
      <c r="E2252">
        <v>50</v>
      </c>
      <c r="F2252">
        <v>49.685836792000003</v>
      </c>
      <c r="G2252">
        <v>1346.8450928</v>
      </c>
      <c r="H2252">
        <v>1342.2854004000001</v>
      </c>
      <c r="I2252">
        <v>1321.6928711</v>
      </c>
      <c r="J2252">
        <v>1317.4045410000001</v>
      </c>
      <c r="K2252">
        <v>2750</v>
      </c>
      <c r="L2252">
        <v>0</v>
      </c>
      <c r="M2252">
        <v>0</v>
      </c>
      <c r="N2252">
        <v>2750</v>
      </c>
    </row>
    <row r="2253" spans="1:14" x14ac:dyDescent="0.25">
      <c r="A2253">
        <v>1465.8367109999999</v>
      </c>
      <c r="B2253" s="1">
        <f>DATE(2014,5,5) + TIME(20,4,51)</f>
        <v>41764.836701388886</v>
      </c>
      <c r="C2253">
        <v>80</v>
      </c>
      <c r="D2253">
        <v>79.975906371999997</v>
      </c>
      <c r="E2253">
        <v>50</v>
      </c>
      <c r="F2253">
        <v>49.677406310999999</v>
      </c>
      <c r="G2253">
        <v>1346.8326416</v>
      </c>
      <c r="H2253">
        <v>1342.2781981999999</v>
      </c>
      <c r="I2253">
        <v>1321.6920166</v>
      </c>
      <c r="J2253">
        <v>1317.4034423999999</v>
      </c>
      <c r="K2253">
        <v>2750</v>
      </c>
      <c r="L2253">
        <v>0</v>
      </c>
      <c r="M2253">
        <v>0</v>
      </c>
      <c r="N2253">
        <v>2750</v>
      </c>
    </row>
    <row r="2254" spans="1:14" x14ac:dyDescent="0.25">
      <c r="A2254">
        <v>1466.0023470000001</v>
      </c>
      <c r="B2254" s="1">
        <f>DATE(2014,5,6) + TIME(0,3,22)</f>
        <v>41765.002337962964</v>
      </c>
      <c r="C2254">
        <v>80</v>
      </c>
      <c r="D2254">
        <v>79.976127625000004</v>
      </c>
      <c r="E2254">
        <v>50</v>
      </c>
      <c r="F2254">
        <v>49.668697356999999</v>
      </c>
      <c r="G2254">
        <v>1346.8198242000001</v>
      </c>
      <c r="H2254">
        <v>1342.2707519999999</v>
      </c>
      <c r="I2254">
        <v>1321.6910399999999</v>
      </c>
      <c r="J2254">
        <v>1317.4023437999999</v>
      </c>
      <c r="K2254">
        <v>2750</v>
      </c>
      <c r="L2254">
        <v>0</v>
      </c>
      <c r="M2254">
        <v>0</v>
      </c>
      <c r="N2254">
        <v>2750</v>
      </c>
    </row>
    <row r="2255" spans="1:14" x14ac:dyDescent="0.25">
      <c r="A2255">
        <v>1466.1728250000001</v>
      </c>
      <c r="B2255" s="1">
        <f>DATE(2014,5,6) + TIME(4,8,52)</f>
        <v>41765.172824074078</v>
      </c>
      <c r="C2255">
        <v>80</v>
      </c>
      <c r="D2255">
        <v>79.976295471</v>
      </c>
      <c r="E2255">
        <v>50</v>
      </c>
      <c r="F2255">
        <v>49.659774779999999</v>
      </c>
      <c r="G2255">
        <v>1346.8066406</v>
      </c>
      <c r="H2255">
        <v>1342.2631836</v>
      </c>
      <c r="I2255">
        <v>1321.6901855000001</v>
      </c>
      <c r="J2255">
        <v>1317.4011230000001</v>
      </c>
      <c r="K2255">
        <v>2750</v>
      </c>
      <c r="L2255">
        <v>0</v>
      </c>
      <c r="M2255">
        <v>0</v>
      </c>
      <c r="N2255">
        <v>2750</v>
      </c>
    </row>
    <row r="2256" spans="1:14" x14ac:dyDescent="0.25">
      <c r="A2256">
        <v>1466.3482160000001</v>
      </c>
      <c r="B2256" s="1">
        <f>DATE(2014,5,6) + TIME(8,21,25)</f>
        <v>41765.34820601852</v>
      </c>
      <c r="C2256">
        <v>80</v>
      </c>
      <c r="D2256">
        <v>79.976432799999998</v>
      </c>
      <c r="E2256">
        <v>50</v>
      </c>
      <c r="F2256">
        <v>49.650634766000003</v>
      </c>
      <c r="G2256">
        <v>1346.7933350000001</v>
      </c>
      <c r="H2256">
        <v>1342.2554932</v>
      </c>
      <c r="I2256">
        <v>1321.6892089999999</v>
      </c>
      <c r="J2256">
        <v>1317.3999022999999</v>
      </c>
      <c r="K2256">
        <v>2750</v>
      </c>
      <c r="L2256">
        <v>0</v>
      </c>
      <c r="M2256">
        <v>0</v>
      </c>
      <c r="N2256">
        <v>2750</v>
      </c>
    </row>
    <row r="2257" spans="1:14" x14ac:dyDescent="0.25">
      <c r="A2257">
        <v>1466.528955</v>
      </c>
      <c r="B2257" s="1">
        <f>DATE(2014,5,6) + TIME(12,41,41)</f>
        <v>41765.528946759259</v>
      </c>
      <c r="C2257">
        <v>80</v>
      </c>
      <c r="D2257">
        <v>79.976531981999997</v>
      </c>
      <c r="E2257">
        <v>50</v>
      </c>
      <c r="F2257">
        <v>49.641265869000001</v>
      </c>
      <c r="G2257">
        <v>1346.7797852000001</v>
      </c>
      <c r="H2257">
        <v>1342.2476807</v>
      </c>
      <c r="I2257">
        <v>1321.6882324000001</v>
      </c>
      <c r="J2257">
        <v>1317.3986815999999</v>
      </c>
      <c r="K2257">
        <v>2750</v>
      </c>
      <c r="L2257">
        <v>0</v>
      </c>
      <c r="M2257">
        <v>0</v>
      </c>
      <c r="N2257">
        <v>2750</v>
      </c>
    </row>
    <row r="2258" spans="1:14" x14ac:dyDescent="0.25">
      <c r="A2258">
        <v>1466.7153740000001</v>
      </c>
      <c r="B2258" s="1">
        <f>DATE(2014,5,6) + TIME(17,10,8)</f>
        <v>41765.715370370373</v>
      </c>
      <c r="C2258">
        <v>80</v>
      </c>
      <c r="D2258">
        <v>79.976615906000006</v>
      </c>
      <c r="E2258">
        <v>50</v>
      </c>
      <c r="F2258">
        <v>49.631649017000001</v>
      </c>
      <c r="G2258">
        <v>1346.7659911999999</v>
      </c>
      <c r="H2258">
        <v>1342.2397461</v>
      </c>
      <c r="I2258">
        <v>1321.6872559000001</v>
      </c>
      <c r="J2258">
        <v>1317.3974608999999</v>
      </c>
      <c r="K2258">
        <v>2750</v>
      </c>
      <c r="L2258">
        <v>0</v>
      </c>
      <c r="M2258">
        <v>0</v>
      </c>
      <c r="N2258">
        <v>2750</v>
      </c>
    </row>
    <row r="2259" spans="1:14" x14ac:dyDescent="0.25">
      <c r="A2259">
        <v>1466.9032420000001</v>
      </c>
      <c r="B2259" s="1">
        <f>DATE(2014,5,6) + TIME(21,40,40)</f>
        <v>41765.903240740743</v>
      </c>
      <c r="C2259">
        <v>80</v>
      </c>
      <c r="D2259">
        <v>79.976669311999999</v>
      </c>
      <c r="E2259">
        <v>50</v>
      </c>
      <c r="F2259">
        <v>49.621967316000003</v>
      </c>
      <c r="G2259">
        <v>1346.7520752</v>
      </c>
      <c r="H2259">
        <v>1342.2318115</v>
      </c>
      <c r="I2259">
        <v>1321.6861572</v>
      </c>
      <c r="J2259">
        <v>1317.3961182</v>
      </c>
      <c r="K2259">
        <v>2750</v>
      </c>
      <c r="L2259">
        <v>0</v>
      </c>
      <c r="M2259">
        <v>0</v>
      </c>
      <c r="N2259">
        <v>2750</v>
      </c>
    </row>
    <row r="2260" spans="1:14" x14ac:dyDescent="0.25">
      <c r="A2260">
        <v>1467.0930760000001</v>
      </c>
      <c r="B2260" s="1">
        <f>DATE(2014,5,7) + TIME(2,14,1)</f>
        <v>41766.09306712963</v>
      </c>
      <c r="C2260">
        <v>80</v>
      </c>
      <c r="D2260">
        <v>79.976707458000007</v>
      </c>
      <c r="E2260">
        <v>50</v>
      </c>
      <c r="F2260">
        <v>49.612197876000003</v>
      </c>
      <c r="G2260">
        <v>1346.7382812000001</v>
      </c>
      <c r="H2260">
        <v>1342.223999</v>
      </c>
      <c r="I2260">
        <v>1321.6850586</v>
      </c>
      <c r="J2260">
        <v>1317.3947754000001</v>
      </c>
      <c r="K2260">
        <v>2750</v>
      </c>
      <c r="L2260">
        <v>0</v>
      </c>
      <c r="M2260">
        <v>0</v>
      </c>
      <c r="N2260">
        <v>2750</v>
      </c>
    </row>
    <row r="2261" spans="1:14" x14ac:dyDescent="0.25">
      <c r="A2261">
        <v>1467.2853930000001</v>
      </c>
      <c r="B2261" s="1">
        <f>DATE(2014,5,7) + TIME(6,50,57)</f>
        <v>41766.285381944443</v>
      </c>
      <c r="C2261">
        <v>80</v>
      </c>
      <c r="D2261">
        <v>79.976737975999995</v>
      </c>
      <c r="E2261">
        <v>50</v>
      </c>
      <c r="F2261">
        <v>49.602333068999997</v>
      </c>
      <c r="G2261">
        <v>1346.7244873</v>
      </c>
      <c r="H2261">
        <v>1342.2161865</v>
      </c>
      <c r="I2261">
        <v>1321.684082</v>
      </c>
      <c r="J2261">
        <v>1317.3934326000001</v>
      </c>
      <c r="K2261">
        <v>2750</v>
      </c>
      <c r="L2261">
        <v>0</v>
      </c>
      <c r="M2261">
        <v>0</v>
      </c>
      <c r="N2261">
        <v>2750</v>
      </c>
    </row>
    <row r="2262" spans="1:14" x14ac:dyDescent="0.25">
      <c r="A2262">
        <v>1467.480761</v>
      </c>
      <c r="B2262" s="1">
        <f>DATE(2014,5,7) + TIME(11,32,17)</f>
        <v>41766.480752314812</v>
      </c>
      <c r="C2262">
        <v>80</v>
      </c>
      <c r="D2262">
        <v>79.976753235000004</v>
      </c>
      <c r="E2262">
        <v>50</v>
      </c>
      <c r="F2262">
        <v>49.592350005999997</v>
      </c>
      <c r="G2262">
        <v>1346.7108154</v>
      </c>
      <c r="H2262">
        <v>1342.2084961</v>
      </c>
      <c r="I2262">
        <v>1321.6829834</v>
      </c>
      <c r="J2262">
        <v>1317.3919678</v>
      </c>
      <c r="K2262">
        <v>2750</v>
      </c>
      <c r="L2262">
        <v>0</v>
      </c>
      <c r="M2262">
        <v>0</v>
      </c>
      <c r="N2262">
        <v>2750</v>
      </c>
    </row>
    <row r="2263" spans="1:14" x14ac:dyDescent="0.25">
      <c r="A2263">
        <v>1467.6796650000001</v>
      </c>
      <c r="B2263" s="1">
        <f>DATE(2014,5,7) + TIME(16,18,43)</f>
        <v>41766.679664351854</v>
      </c>
      <c r="C2263">
        <v>80</v>
      </c>
      <c r="D2263">
        <v>79.976768493999998</v>
      </c>
      <c r="E2263">
        <v>50</v>
      </c>
      <c r="F2263">
        <v>49.582233428999999</v>
      </c>
      <c r="G2263">
        <v>1346.6971435999999</v>
      </c>
      <c r="H2263">
        <v>1342.2008057</v>
      </c>
      <c r="I2263">
        <v>1321.6818848</v>
      </c>
      <c r="J2263">
        <v>1317.390625</v>
      </c>
      <c r="K2263">
        <v>2750</v>
      </c>
      <c r="L2263">
        <v>0</v>
      </c>
      <c r="M2263">
        <v>0</v>
      </c>
      <c r="N2263">
        <v>2750</v>
      </c>
    </row>
    <row r="2264" spans="1:14" x14ac:dyDescent="0.25">
      <c r="A2264">
        <v>1467.8826160000001</v>
      </c>
      <c r="B2264" s="1">
        <f>DATE(2014,5,7) + TIME(21,10,58)</f>
        <v>41766.882615740738</v>
      </c>
      <c r="C2264">
        <v>80</v>
      </c>
      <c r="D2264">
        <v>79.976768493999998</v>
      </c>
      <c r="E2264">
        <v>50</v>
      </c>
      <c r="F2264">
        <v>49.571960449000002</v>
      </c>
      <c r="G2264">
        <v>1346.6835937999999</v>
      </c>
      <c r="H2264">
        <v>1342.1931152</v>
      </c>
      <c r="I2264">
        <v>1321.6806641000001</v>
      </c>
      <c r="J2264">
        <v>1317.3891602000001</v>
      </c>
      <c r="K2264">
        <v>2750</v>
      </c>
      <c r="L2264">
        <v>0</v>
      </c>
      <c r="M2264">
        <v>0</v>
      </c>
      <c r="N2264">
        <v>2750</v>
      </c>
    </row>
    <row r="2265" spans="1:14" x14ac:dyDescent="0.25">
      <c r="A2265">
        <v>1468.09016</v>
      </c>
      <c r="B2265" s="1">
        <f>DATE(2014,5,8) + TIME(2,9,49)</f>
        <v>41767.090150462966</v>
      </c>
      <c r="C2265">
        <v>80</v>
      </c>
      <c r="D2265">
        <v>79.976768493999998</v>
      </c>
      <c r="E2265">
        <v>50</v>
      </c>
      <c r="F2265">
        <v>49.561515808000003</v>
      </c>
      <c r="G2265">
        <v>1346.6699219</v>
      </c>
      <c r="H2265">
        <v>1342.1855469</v>
      </c>
      <c r="I2265">
        <v>1321.6795654</v>
      </c>
      <c r="J2265">
        <v>1317.3876952999999</v>
      </c>
      <c r="K2265">
        <v>2750</v>
      </c>
      <c r="L2265">
        <v>0</v>
      </c>
      <c r="M2265">
        <v>0</v>
      </c>
      <c r="N2265">
        <v>2750</v>
      </c>
    </row>
    <row r="2266" spans="1:14" x14ac:dyDescent="0.25">
      <c r="A2266">
        <v>1468.3028979999999</v>
      </c>
      <c r="B2266" s="1">
        <f>DATE(2014,5,8) + TIME(7,16,10)</f>
        <v>41767.302893518521</v>
      </c>
      <c r="C2266">
        <v>80</v>
      </c>
      <c r="D2266">
        <v>79.976760863999999</v>
      </c>
      <c r="E2266">
        <v>50</v>
      </c>
      <c r="F2266">
        <v>49.550876617</v>
      </c>
      <c r="G2266">
        <v>1346.65625</v>
      </c>
      <c r="H2266">
        <v>1342.1778564000001</v>
      </c>
      <c r="I2266">
        <v>1321.6783447</v>
      </c>
      <c r="J2266">
        <v>1317.3861084</v>
      </c>
      <c r="K2266">
        <v>2750</v>
      </c>
      <c r="L2266">
        <v>0</v>
      </c>
      <c r="M2266">
        <v>0</v>
      </c>
      <c r="N2266">
        <v>2750</v>
      </c>
    </row>
    <row r="2267" spans="1:14" x14ac:dyDescent="0.25">
      <c r="A2267">
        <v>1468.5206820000001</v>
      </c>
      <c r="B2267" s="1">
        <f>DATE(2014,5,8) + TIME(12,29,46)</f>
        <v>41767.520671296297</v>
      </c>
      <c r="C2267">
        <v>80</v>
      </c>
      <c r="D2267">
        <v>79.976753235000004</v>
      </c>
      <c r="E2267">
        <v>50</v>
      </c>
      <c r="F2267">
        <v>49.540039061999998</v>
      </c>
      <c r="G2267">
        <v>1346.6424560999999</v>
      </c>
      <c r="H2267">
        <v>1342.1701660000001</v>
      </c>
      <c r="I2267">
        <v>1321.677124</v>
      </c>
      <c r="J2267">
        <v>1317.3846435999999</v>
      </c>
      <c r="K2267">
        <v>2750</v>
      </c>
      <c r="L2267">
        <v>0</v>
      </c>
      <c r="M2267">
        <v>0</v>
      </c>
      <c r="N2267">
        <v>2750</v>
      </c>
    </row>
    <row r="2268" spans="1:14" x14ac:dyDescent="0.25">
      <c r="A2268">
        <v>1468.7408109999999</v>
      </c>
      <c r="B2268" s="1">
        <f>DATE(2014,5,8) + TIME(17,46,46)</f>
        <v>41767.740810185183</v>
      </c>
      <c r="C2268">
        <v>80</v>
      </c>
      <c r="D2268">
        <v>79.976737975999995</v>
      </c>
      <c r="E2268">
        <v>50</v>
      </c>
      <c r="F2268">
        <v>49.529117583999998</v>
      </c>
      <c r="G2268">
        <v>1346.6286620999999</v>
      </c>
      <c r="H2268">
        <v>1342.1624756000001</v>
      </c>
      <c r="I2268">
        <v>1321.6759033000001</v>
      </c>
      <c r="J2268">
        <v>1317.3830565999999</v>
      </c>
      <c r="K2268">
        <v>2750</v>
      </c>
      <c r="L2268">
        <v>0</v>
      </c>
      <c r="M2268">
        <v>0</v>
      </c>
      <c r="N2268">
        <v>2750</v>
      </c>
    </row>
    <row r="2269" spans="1:14" x14ac:dyDescent="0.25">
      <c r="A2269">
        <v>1468.963483</v>
      </c>
      <c r="B2269" s="1">
        <f>DATE(2014,5,8) + TIME(23,7,24)</f>
        <v>41767.963472222225</v>
      </c>
      <c r="C2269">
        <v>80</v>
      </c>
      <c r="D2269">
        <v>79.976722717000001</v>
      </c>
      <c r="E2269">
        <v>50</v>
      </c>
      <c r="F2269">
        <v>49.518104553000001</v>
      </c>
      <c r="G2269">
        <v>1346.6148682</v>
      </c>
      <c r="H2269">
        <v>1342.1549072</v>
      </c>
      <c r="I2269">
        <v>1321.6745605000001</v>
      </c>
      <c r="J2269">
        <v>1317.3813477000001</v>
      </c>
      <c r="K2269">
        <v>2750</v>
      </c>
      <c r="L2269">
        <v>0</v>
      </c>
      <c r="M2269">
        <v>0</v>
      </c>
      <c r="N2269">
        <v>2750</v>
      </c>
    </row>
    <row r="2270" spans="1:14" x14ac:dyDescent="0.25">
      <c r="A2270">
        <v>1469.189138</v>
      </c>
      <c r="B2270" s="1">
        <f>DATE(2014,5,9) + TIME(4,32,21)</f>
        <v>41768.189131944448</v>
      </c>
      <c r="C2270">
        <v>80</v>
      </c>
      <c r="D2270">
        <v>79.976707458000007</v>
      </c>
      <c r="E2270">
        <v>50</v>
      </c>
      <c r="F2270">
        <v>49.506984711000001</v>
      </c>
      <c r="G2270">
        <v>1346.6013184000001</v>
      </c>
      <c r="H2270">
        <v>1342.1474608999999</v>
      </c>
      <c r="I2270">
        <v>1321.6732178</v>
      </c>
      <c r="J2270">
        <v>1317.3797606999999</v>
      </c>
      <c r="K2270">
        <v>2750</v>
      </c>
      <c r="L2270">
        <v>0</v>
      </c>
      <c r="M2270">
        <v>0</v>
      </c>
      <c r="N2270">
        <v>2750</v>
      </c>
    </row>
    <row r="2271" spans="1:14" x14ac:dyDescent="0.25">
      <c r="A2271">
        <v>1469.4182579999999</v>
      </c>
      <c r="B2271" s="1">
        <f>DATE(2014,5,9) + TIME(10,2,17)</f>
        <v>41768.418252314812</v>
      </c>
      <c r="C2271">
        <v>80</v>
      </c>
      <c r="D2271">
        <v>79.976684570000003</v>
      </c>
      <c r="E2271">
        <v>50</v>
      </c>
      <c r="F2271">
        <v>49.495750426999997</v>
      </c>
      <c r="G2271">
        <v>1346.5878906</v>
      </c>
      <c r="H2271">
        <v>1342.1400146000001</v>
      </c>
      <c r="I2271">
        <v>1321.6719971</v>
      </c>
      <c r="J2271">
        <v>1317.3780518000001</v>
      </c>
      <c r="K2271">
        <v>2750</v>
      </c>
      <c r="L2271">
        <v>0</v>
      </c>
      <c r="M2271">
        <v>0</v>
      </c>
      <c r="N2271">
        <v>2750</v>
      </c>
    </row>
    <row r="2272" spans="1:14" x14ac:dyDescent="0.25">
      <c r="A2272">
        <v>1469.6513190000001</v>
      </c>
      <c r="B2272" s="1">
        <f>DATE(2014,5,9) + TIME(15,37,53)</f>
        <v>41768.651307870372</v>
      </c>
      <c r="C2272">
        <v>80</v>
      </c>
      <c r="D2272">
        <v>79.976661682</v>
      </c>
      <c r="E2272">
        <v>50</v>
      </c>
      <c r="F2272">
        <v>49.484382629000002</v>
      </c>
      <c r="G2272">
        <v>1346.5744629000001</v>
      </c>
      <c r="H2272">
        <v>1342.1326904</v>
      </c>
      <c r="I2272">
        <v>1321.6706543</v>
      </c>
      <c r="J2272">
        <v>1317.3763428</v>
      </c>
      <c r="K2272">
        <v>2750</v>
      </c>
      <c r="L2272">
        <v>0</v>
      </c>
      <c r="M2272">
        <v>0</v>
      </c>
      <c r="N2272">
        <v>2750</v>
      </c>
    </row>
    <row r="2273" spans="1:14" x14ac:dyDescent="0.25">
      <c r="A2273">
        <v>1469.889138</v>
      </c>
      <c r="B2273" s="1">
        <f>DATE(2014,5,9) + TIME(21,20,21)</f>
        <v>41768.889131944445</v>
      </c>
      <c r="C2273">
        <v>80</v>
      </c>
      <c r="D2273">
        <v>79.976646423000005</v>
      </c>
      <c r="E2273">
        <v>50</v>
      </c>
      <c r="F2273">
        <v>49.472850800000003</v>
      </c>
      <c r="G2273">
        <v>1346.5610352000001</v>
      </c>
      <c r="H2273">
        <v>1342.1253661999999</v>
      </c>
      <c r="I2273">
        <v>1321.6691894999999</v>
      </c>
      <c r="J2273">
        <v>1317.3746338000001</v>
      </c>
      <c r="K2273">
        <v>2750</v>
      </c>
      <c r="L2273">
        <v>0</v>
      </c>
      <c r="M2273">
        <v>0</v>
      </c>
      <c r="N2273">
        <v>2750</v>
      </c>
    </row>
    <row r="2274" spans="1:14" x14ac:dyDescent="0.25">
      <c r="A2274">
        <v>1470.1322869999999</v>
      </c>
      <c r="B2274" s="1">
        <f>DATE(2014,5,10) + TIME(3,10,29)</f>
        <v>41769.132280092592</v>
      </c>
      <c r="C2274">
        <v>80</v>
      </c>
      <c r="D2274">
        <v>79.976615906000006</v>
      </c>
      <c r="E2274">
        <v>50</v>
      </c>
      <c r="F2274">
        <v>49.461132050000003</v>
      </c>
      <c r="G2274">
        <v>1346.5476074000001</v>
      </c>
      <c r="H2274">
        <v>1342.1181641000001</v>
      </c>
      <c r="I2274">
        <v>1321.6678466999999</v>
      </c>
      <c r="J2274">
        <v>1317.3728027</v>
      </c>
      <c r="K2274">
        <v>2750</v>
      </c>
      <c r="L2274">
        <v>0</v>
      </c>
      <c r="M2274">
        <v>0</v>
      </c>
      <c r="N2274">
        <v>2750</v>
      </c>
    </row>
    <row r="2275" spans="1:14" x14ac:dyDescent="0.25">
      <c r="A2275">
        <v>1470.3813929999999</v>
      </c>
      <c r="B2275" s="1">
        <f>DATE(2014,5,10) + TIME(9,9,12)</f>
        <v>41769.381388888891</v>
      </c>
      <c r="C2275">
        <v>80</v>
      </c>
      <c r="D2275">
        <v>79.976593018000003</v>
      </c>
      <c r="E2275">
        <v>50</v>
      </c>
      <c r="F2275">
        <v>49.449203490999999</v>
      </c>
      <c r="G2275">
        <v>1346.5341797000001</v>
      </c>
      <c r="H2275">
        <v>1342.1108397999999</v>
      </c>
      <c r="I2275">
        <v>1321.6663818</v>
      </c>
      <c r="J2275">
        <v>1317.3709716999999</v>
      </c>
      <c r="K2275">
        <v>2750</v>
      </c>
      <c r="L2275">
        <v>0</v>
      </c>
      <c r="M2275">
        <v>0</v>
      </c>
      <c r="N2275">
        <v>2750</v>
      </c>
    </row>
    <row r="2276" spans="1:14" x14ac:dyDescent="0.25">
      <c r="A2276">
        <v>1470.6371449999999</v>
      </c>
      <c r="B2276" s="1">
        <f>DATE(2014,5,10) + TIME(15,17,29)</f>
        <v>41769.637141203704</v>
      </c>
      <c r="C2276">
        <v>80</v>
      </c>
      <c r="D2276">
        <v>79.976570128999995</v>
      </c>
      <c r="E2276">
        <v>50</v>
      </c>
      <c r="F2276">
        <v>49.437038422000001</v>
      </c>
      <c r="G2276">
        <v>1346.5207519999999</v>
      </c>
      <c r="H2276">
        <v>1342.1035156</v>
      </c>
      <c r="I2276">
        <v>1321.6649170000001</v>
      </c>
      <c r="J2276">
        <v>1317.3691406</v>
      </c>
      <c r="K2276">
        <v>2750</v>
      </c>
      <c r="L2276">
        <v>0</v>
      </c>
      <c r="M2276">
        <v>0</v>
      </c>
      <c r="N2276">
        <v>2750</v>
      </c>
    </row>
    <row r="2277" spans="1:14" x14ac:dyDescent="0.25">
      <c r="A2277">
        <v>1470.9003070000001</v>
      </c>
      <c r="B2277" s="1">
        <f>DATE(2014,5,10) + TIME(21,36,26)</f>
        <v>41769.900300925925</v>
      </c>
      <c r="C2277">
        <v>80</v>
      </c>
      <c r="D2277">
        <v>79.976539611999996</v>
      </c>
      <c r="E2277">
        <v>50</v>
      </c>
      <c r="F2277">
        <v>49.424610137999998</v>
      </c>
      <c r="G2277">
        <v>1346.5072021000001</v>
      </c>
      <c r="H2277">
        <v>1342.0961914</v>
      </c>
      <c r="I2277">
        <v>1321.6634521000001</v>
      </c>
      <c r="J2277">
        <v>1317.3671875</v>
      </c>
      <c r="K2277">
        <v>2750</v>
      </c>
      <c r="L2277">
        <v>0</v>
      </c>
      <c r="M2277">
        <v>0</v>
      </c>
      <c r="N2277">
        <v>2750</v>
      </c>
    </row>
    <row r="2278" spans="1:14" x14ac:dyDescent="0.25">
      <c r="A2278">
        <v>1471.1717410000001</v>
      </c>
      <c r="B2278" s="1">
        <f>DATE(2014,5,11) + TIME(4,7,18)</f>
        <v>41770.171736111108</v>
      </c>
      <c r="C2278">
        <v>80</v>
      </c>
      <c r="D2278">
        <v>79.976516724000007</v>
      </c>
      <c r="E2278">
        <v>50</v>
      </c>
      <c r="F2278">
        <v>49.411884307999998</v>
      </c>
      <c r="G2278">
        <v>1346.4935303</v>
      </c>
      <c r="H2278">
        <v>1342.0888672000001</v>
      </c>
      <c r="I2278">
        <v>1321.6618652</v>
      </c>
      <c r="J2278">
        <v>1317.3651123</v>
      </c>
      <c r="K2278">
        <v>2750</v>
      </c>
      <c r="L2278">
        <v>0</v>
      </c>
      <c r="M2278">
        <v>0</v>
      </c>
      <c r="N2278">
        <v>2750</v>
      </c>
    </row>
    <row r="2279" spans="1:14" x14ac:dyDescent="0.25">
      <c r="A2279">
        <v>1471.44886</v>
      </c>
      <c r="B2279" s="1">
        <f>DATE(2014,5,11) + TIME(10,46,21)</f>
        <v>41770.448854166665</v>
      </c>
      <c r="C2279">
        <v>80</v>
      </c>
      <c r="D2279">
        <v>79.976486206000004</v>
      </c>
      <c r="E2279">
        <v>50</v>
      </c>
      <c r="F2279">
        <v>49.398941039999997</v>
      </c>
      <c r="G2279">
        <v>1346.4796143000001</v>
      </c>
      <c r="H2279">
        <v>1342.0814209</v>
      </c>
      <c r="I2279">
        <v>1321.6601562000001</v>
      </c>
      <c r="J2279">
        <v>1317.3630370999999</v>
      </c>
      <c r="K2279">
        <v>2750</v>
      </c>
      <c r="L2279">
        <v>0</v>
      </c>
      <c r="M2279">
        <v>0</v>
      </c>
      <c r="N2279">
        <v>2750</v>
      </c>
    </row>
    <row r="2280" spans="1:14" x14ac:dyDescent="0.25">
      <c r="A2280">
        <v>1471.730624</v>
      </c>
      <c r="B2280" s="1">
        <f>DATE(2014,5,11) + TIME(17,32,5)</f>
        <v>41770.730613425927</v>
      </c>
      <c r="C2280">
        <v>80</v>
      </c>
      <c r="D2280">
        <v>79.976455688000001</v>
      </c>
      <c r="E2280">
        <v>50</v>
      </c>
      <c r="F2280">
        <v>49.385826111</v>
      </c>
      <c r="G2280">
        <v>1346.4658202999999</v>
      </c>
      <c r="H2280">
        <v>1342.0739745999999</v>
      </c>
      <c r="I2280">
        <v>1321.6585693</v>
      </c>
      <c r="J2280">
        <v>1317.3609618999999</v>
      </c>
      <c r="K2280">
        <v>2750</v>
      </c>
      <c r="L2280">
        <v>0</v>
      </c>
      <c r="M2280">
        <v>0</v>
      </c>
      <c r="N2280">
        <v>2750</v>
      </c>
    </row>
    <row r="2281" spans="1:14" x14ac:dyDescent="0.25">
      <c r="A2281">
        <v>1472.017462</v>
      </c>
      <c r="B2281" s="1">
        <f>DATE(2014,5,12) + TIME(0,25,8)</f>
        <v>41771.017453703702</v>
      </c>
      <c r="C2281">
        <v>80</v>
      </c>
      <c r="D2281">
        <v>79.976425171000002</v>
      </c>
      <c r="E2281">
        <v>50</v>
      </c>
      <c r="F2281">
        <v>49.372531891000001</v>
      </c>
      <c r="G2281">
        <v>1346.4520264</v>
      </c>
      <c r="H2281">
        <v>1342.0666504000001</v>
      </c>
      <c r="I2281">
        <v>1321.6567382999999</v>
      </c>
      <c r="J2281">
        <v>1317.3587646000001</v>
      </c>
      <c r="K2281">
        <v>2750</v>
      </c>
      <c r="L2281">
        <v>0</v>
      </c>
      <c r="M2281">
        <v>0</v>
      </c>
      <c r="N2281">
        <v>2750</v>
      </c>
    </row>
    <row r="2282" spans="1:14" x14ac:dyDescent="0.25">
      <c r="A2282">
        <v>1472.3099259999999</v>
      </c>
      <c r="B2282" s="1">
        <f>DATE(2014,5,12) + TIME(7,26,17)</f>
        <v>41771.309918981482</v>
      </c>
      <c r="C2282">
        <v>80</v>
      </c>
      <c r="D2282">
        <v>79.976394653</v>
      </c>
      <c r="E2282">
        <v>50</v>
      </c>
      <c r="F2282">
        <v>49.359043120999999</v>
      </c>
      <c r="G2282">
        <v>1346.4383545000001</v>
      </c>
      <c r="H2282">
        <v>1342.0593262</v>
      </c>
      <c r="I2282">
        <v>1321.6550293</v>
      </c>
      <c r="J2282">
        <v>1317.3565673999999</v>
      </c>
      <c r="K2282">
        <v>2750</v>
      </c>
      <c r="L2282">
        <v>0</v>
      </c>
      <c r="M2282">
        <v>0</v>
      </c>
      <c r="N2282">
        <v>2750</v>
      </c>
    </row>
    <row r="2283" spans="1:14" x14ac:dyDescent="0.25">
      <c r="A2283">
        <v>1472.6092980000001</v>
      </c>
      <c r="B2283" s="1">
        <f>DATE(2014,5,12) + TIME(14,37,23)</f>
        <v>41771.609293981484</v>
      </c>
      <c r="C2283">
        <v>80</v>
      </c>
      <c r="D2283">
        <v>79.976364136000001</v>
      </c>
      <c r="E2283">
        <v>50</v>
      </c>
      <c r="F2283">
        <v>49.345321654999999</v>
      </c>
      <c r="G2283">
        <v>1346.4245605000001</v>
      </c>
      <c r="H2283">
        <v>1342.0520019999999</v>
      </c>
      <c r="I2283">
        <v>1321.6531981999999</v>
      </c>
      <c r="J2283">
        <v>1317.3542480000001</v>
      </c>
      <c r="K2283">
        <v>2750</v>
      </c>
      <c r="L2283">
        <v>0</v>
      </c>
      <c r="M2283">
        <v>0</v>
      </c>
      <c r="N2283">
        <v>2750</v>
      </c>
    </row>
    <row r="2284" spans="1:14" x14ac:dyDescent="0.25">
      <c r="A2284">
        <v>1472.9158210000001</v>
      </c>
      <c r="B2284" s="1">
        <f>DATE(2014,5,12) + TIME(21,58,46)</f>
        <v>41771.915810185186</v>
      </c>
      <c r="C2284">
        <v>80</v>
      </c>
      <c r="D2284">
        <v>79.976333617999998</v>
      </c>
      <c r="E2284">
        <v>50</v>
      </c>
      <c r="F2284">
        <v>49.331359863000003</v>
      </c>
      <c r="G2284">
        <v>1346.4107666</v>
      </c>
      <c r="H2284">
        <v>1342.0447998</v>
      </c>
      <c r="I2284">
        <v>1321.6513672000001</v>
      </c>
      <c r="J2284">
        <v>1317.3519286999999</v>
      </c>
      <c r="K2284">
        <v>2750</v>
      </c>
      <c r="L2284">
        <v>0</v>
      </c>
      <c r="M2284">
        <v>0</v>
      </c>
      <c r="N2284">
        <v>2750</v>
      </c>
    </row>
    <row r="2285" spans="1:14" x14ac:dyDescent="0.25">
      <c r="A2285">
        <v>1473.2290270000001</v>
      </c>
      <c r="B2285" s="1">
        <f>DATE(2014,5,13) + TIME(5,29,47)</f>
        <v>41772.229016203702</v>
      </c>
      <c r="C2285">
        <v>80</v>
      </c>
      <c r="D2285">
        <v>79.976303100999999</v>
      </c>
      <c r="E2285">
        <v>50</v>
      </c>
      <c r="F2285">
        <v>49.317173003999997</v>
      </c>
      <c r="G2285">
        <v>1346.3969727000001</v>
      </c>
      <c r="H2285">
        <v>1342.0374756000001</v>
      </c>
      <c r="I2285">
        <v>1321.6495361</v>
      </c>
      <c r="J2285">
        <v>1317.3494873</v>
      </c>
      <c r="K2285">
        <v>2750</v>
      </c>
      <c r="L2285">
        <v>0</v>
      </c>
      <c r="M2285">
        <v>0</v>
      </c>
      <c r="N2285">
        <v>2750</v>
      </c>
    </row>
    <row r="2286" spans="1:14" x14ac:dyDescent="0.25">
      <c r="A2286">
        <v>1473.54971</v>
      </c>
      <c r="B2286" s="1">
        <f>DATE(2014,5,13) + TIME(13,11,34)</f>
        <v>41772.549699074072</v>
      </c>
      <c r="C2286">
        <v>80</v>
      </c>
      <c r="D2286">
        <v>79.976272582999997</v>
      </c>
      <c r="E2286">
        <v>50</v>
      </c>
      <c r="F2286">
        <v>49.302734375</v>
      </c>
      <c r="G2286">
        <v>1346.3831786999999</v>
      </c>
      <c r="H2286">
        <v>1342.0301514</v>
      </c>
      <c r="I2286">
        <v>1321.6475829999999</v>
      </c>
      <c r="J2286">
        <v>1317.3469238</v>
      </c>
      <c r="K2286">
        <v>2750</v>
      </c>
      <c r="L2286">
        <v>0</v>
      </c>
      <c r="M2286">
        <v>0</v>
      </c>
      <c r="N2286">
        <v>2750</v>
      </c>
    </row>
    <row r="2287" spans="1:14" x14ac:dyDescent="0.25">
      <c r="A2287">
        <v>1473.8777749999999</v>
      </c>
      <c r="B2287" s="1">
        <f>DATE(2014,5,13) + TIME(21,3,59)</f>
        <v>41772.877766203703</v>
      </c>
      <c r="C2287">
        <v>80</v>
      </c>
      <c r="D2287">
        <v>79.976242064999994</v>
      </c>
      <c r="E2287">
        <v>50</v>
      </c>
      <c r="F2287">
        <v>49.288051605</v>
      </c>
      <c r="G2287">
        <v>1346.3692627</v>
      </c>
      <c r="H2287">
        <v>1342.0228271000001</v>
      </c>
      <c r="I2287">
        <v>1321.6455077999999</v>
      </c>
      <c r="J2287">
        <v>1317.3443603999999</v>
      </c>
      <c r="K2287">
        <v>2750</v>
      </c>
      <c r="L2287">
        <v>0</v>
      </c>
      <c r="M2287">
        <v>0</v>
      </c>
      <c r="N2287">
        <v>2750</v>
      </c>
    </row>
    <row r="2288" spans="1:14" x14ac:dyDescent="0.25">
      <c r="A2288">
        <v>1474.2111159999999</v>
      </c>
      <c r="B2288" s="1">
        <f>DATE(2014,5,14) + TIME(5,4,0)</f>
        <v>41773.211111111108</v>
      </c>
      <c r="C2288">
        <v>80</v>
      </c>
      <c r="D2288">
        <v>79.976211547999995</v>
      </c>
      <c r="E2288">
        <v>50</v>
      </c>
      <c r="F2288">
        <v>49.273185730000002</v>
      </c>
      <c r="G2288">
        <v>1346.3552245999999</v>
      </c>
      <c r="H2288">
        <v>1342.0155029</v>
      </c>
      <c r="I2288">
        <v>1321.6435547000001</v>
      </c>
      <c r="J2288">
        <v>1317.3417969</v>
      </c>
      <c r="K2288">
        <v>2750</v>
      </c>
      <c r="L2288">
        <v>0</v>
      </c>
      <c r="M2288">
        <v>0</v>
      </c>
      <c r="N2288">
        <v>2750</v>
      </c>
    </row>
    <row r="2289" spans="1:14" x14ac:dyDescent="0.25">
      <c r="A2289">
        <v>1474.5463569999999</v>
      </c>
      <c r="B2289" s="1">
        <f>DATE(2014,5,14) + TIME(13,6,45)</f>
        <v>41773.546354166669</v>
      </c>
      <c r="C2289">
        <v>80</v>
      </c>
      <c r="D2289">
        <v>79.976173400999997</v>
      </c>
      <c r="E2289">
        <v>50</v>
      </c>
      <c r="F2289">
        <v>49.258255005000002</v>
      </c>
      <c r="G2289">
        <v>1346.3414307</v>
      </c>
      <c r="H2289">
        <v>1342.0083007999999</v>
      </c>
      <c r="I2289">
        <v>1321.6413574000001</v>
      </c>
      <c r="J2289">
        <v>1317.3391113</v>
      </c>
      <c r="K2289">
        <v>2750</v>
      </c>
      <c r="L2289">
        <v>0</v>
      </c>
      <c r="M2289">
        <v>0</v>
      </c>
      <c r="N2289">
        <v>2750</v>
      </c>
    </row>
    <row r="2290" spans="1:14" x14ac:dyDescent="0.25">
      <c r="A2290">
        <v>1474.8844200000001</v>
      </c>
      <c r="B2290" s="1">
        <f>DATE(2014,5,14) + TIME(21,13,33)</f>
        <v>41773.884409722225</v>
      </c>
      <c r="C2290">
        <v>80</v>
      </c>
      <c r="D2290">
        <v>79.976142882999994</v>
      </c>
      <c r="E2290">
        <v>50</v>
      </c>
      <c r="F2290">
        <v>49.243251801</v>
      </c>
      <c r="G2290">
        <v>1346.3277588000001</v>
      </c>
      <c r="H2290">
        <v>1342.0010986</v>
      </c>
      <c r="I2290">
        <v>1321.6392822</v>
      </c>
      <c r="J2290">
        <v>1317.3363036999999</v>
      </c>
      <c r="K2290">
        <v>2750</v>
      </c>
      <c r="L2290">
        <v>0</v>
      </c>
      <c r="M2290">
        <v>0</v>
      </c>
      <c r="N2290">
        <v>2750</v>
      </c>
    </row>
    <row r="2291" spans="1:14" x14ac:dyDescent="0.25">
      <c r="A2291">
        <v>1475.2266589999999</v>
      </c>
      <c r="B2291" s="1">
        <f>DATE(2014,5,15) + TIME(5,26,23)</f>
        <v>41774.226655092592</v>
      </c>
      <c r="C2291">
        <v>80</v>
      </c>
      <c r="D2291">
        <v>79.976112365999995</v>
      </c>
      <c r="E2291">
        <v>50</v>
      </c>
      <c r="F2291">
        <v>49.228141784999998</v>
      </c>
      <c r="G2291">
        <v>1346.3142089999999</v>
      </c>
      <c r="H2291">
        <v>1341.9941406</v>
      </c>
      <c r="I2291">
        <v>1321.6370850000001</v>
      </c>
      <c r="J2291">
        <v>1317.3334961</v>
      </c>
      <c r="K2291">
        <v>2750</v>
      </c>
      <c r="L2291">
        <v>0</v>
      </c>
      <c r="M2291">
        <v>0</v>
      </c>
      <c r="N2291">
        <v>2750</v>
      </c>
    </row>
    <row r="2292" spans="1:14" x14ac:dyDescent="0.25">
      <c r="A2292">
        <v>1475.5739779999999</v>
      </c>
      <c r="B2292" s="1">
        <f>DATE(2014,5,15) + TIME(13,46,31)</f>
        <v>41774.573969907404</v>
      </c>
      <c r="C2292">
        <v>80</v>
      </c>
      <c r="D2292">
        <v>79.976081848000007</v>
      </c>
      <c r="E2292">
        <v>50</v>
      </c>
      <c r="F2292">
        <v>49.212905884000001</v>
      </c>
      <c r="G2292">
        <v>1346.3007812000001</v>
      </c>
      <c r="H2292">
        <v>1341.9870605000001</v>
      </c>
      <c r="I2292">
        <v>1321.6348877</v>
      </c>
      <c r="J2292">
        <v>1317.3306885</v>
      </c>
      <c r="K2292">
        <v>2750</v>
      </c>
      <c r="L2292">
        <v>0</v>
      </c>
      <c r="M2292">
        <v>0</v>
      </c>
      <c r="N2292">
        <v>2750</v>
      </c>
    </row>
    <row r="2293" spans="1:14" x14ac:dyDescent="0.25">
      <c r="A2293">
        <v>1475.9270180000001</v>
      </c>
      <c r="B2293" s="1">
        <f>DATE(2014,5,15) + TIME(22,14,54)</f>
        <v>41774.92701388889</v>
      </c>
      <c r="C2293">
        <v>80</v>
      </c>
      <c r="D2293">
        <v>79.976051330999994</v>
      </c>
      <c r="E2293">
        <v>50</v>
      </c>
      <c r="F2293">
        <v>49.197521209999998</v>
      </c>
      <c r="G2293">
        <v>1346.2873535000001</v>
      </c>
      <c r="H2293">
        <v>1341.9801024999999</v>
      </c>
      <c r="I2293">
        <v>1321.6325684000001</v>
      </c>
      <c r="J2293">
        <v>1317.3277588000001</v>
      </c>
      <c r="K2293">
        <v>2750</v>
      </c>
      <c r="L2293">
        <v>0</v>
      </c>
      <c r="M2293">
        <v>0</v>
      </c>
      <c r="N2293">
        <v>2750</v>
      </c>
    </row>
    <row r="2294" spans="1:14" x14ac:dyDescent="0.25">
      <c r="A2294">
        <v>1476.285286</v>
      </c>
      <c r="B2294" s="1">
        <f>DATE(2014,5,16) + TIME(6,50,48)</f>
        <v>41775.285277777781</v>
      </c>
      <c r="C2294">
        <v>80</v>
      </c>
      <c r="D2294">
        <v>79.976020813000005</v>
      </c>
      <c r="E2294">
        <v>50</v>
      </c>
      <c r="F2294">
        <v>49.182003021</v>
      </c>
      <c r="G2294">
        <v>1346.2740478999999</v>
      </c>
      <c r="H2294">
        <v>1341.9732666</v>
      </c>
      <c r="I2294">
        <v>1321.630249</v>
      </c>
      <c r="J2294">
        <v>1317.3248291</v>
      </c>
      <c r="K2294">
        <v>2750</v>
      </c>
      <c r="L2294">
        <v>0</v>
      </c>
      <c r="M2294">
        <v>0</v>
      </c>
      <c r="N2294">
        <v>2750</v>
      </c>
    </row>
    <row r="2295" spans="1:14" x14ac:dyDescent="0.25">
      <c r="A2295">
        <v>1476.64975</v>
      </c>
      <c r="B2295" s="1">
        <f>DATE(2014,5,16) + TIME(15,35,38)</f>
        <v>41775.649745370371</v>
      </c>
      <c r="C2295">
        <v>80</v>
      </c>
      <c r="D2295">
        <v>79.975990295000003</v>
      </c>
      <c r="E2295">
        <v>50</v>
      </c>
      <c r="F2295">
        <v>49.166320800999998</v>
      </c>
      <c r="G2295">
        <v>1346.2607422000001</v>
      </c>
      <c r="H2295">
        <v>1341.9664307</v>
      </c>
      <c r="I2295">
        <v>1321.6279297000001</v>
      </c>
      <c r="J2295">
        <v>1317.3217772999999</v>
      </c>
      <c r="K2295">
        <v>2750</v>
      </c>
      <c r="L2295">
        <v>0</v>
      </c>
      <c r="M2295">
        <v>0</v>
      </c>
      <c r="N2295">
        <v>2750</v>
      </c>
    </row>
    <row r="2296" spans="1:14" x14ac:dyDescent="0.25">
      <c r="A2296">
        <v>1477.0211839999999</v>
      </c>
      <c r="B2296" s="1">
        <f>DATE(2014,5,17) + TIME(0,30,30)</f>
        <v>41776.021180555559</v>
      </c>
      <c r="C2296">
        <v>80</v>
      </c>
      <c r="D2296">
        <v>79.975952148000005</v>
      </c>
      <c r="E2296">
        <v>50</v>
      </c>
      <c r="F2296">
        <v>49.150451660000002</v>
      </c>
      <c r="G2296">
        <v>1346.2474365</v>
      </c>
      <c r="H2296">
        <v>1341.9594727000001</v>
      </c>
      <c r="I2296">
        <v>1321.6254882999999</v>
      </c>
      <c r="J2296">
        <v>1317.3186035000001</v>
      </c>
      <c r="K2296">
        <v>2750</v>
      </c>
      <c r="L2296">
        <v>0</v>
      </c>
      <c r="M2296">
        <v>0</v>
      </c>
      <c r="N2296">
        <v>2750</v>
      </c>
    </row>
    <row r="2297" spans="1:14" x14ac:dyDescent="0.25">
      <c r="A2297">
        <v>1477.4005400000001</v>
      </c>
      <c r="B2297" s="1">
        <f>DATE(2014,5,17) + TIME(9,36,46)</f>
        <v>41776.40053240741</v>
      </c>
      <c r="C2297">
        <v>80</v>
      </c>
      <c r="D2297">
        <v>79.975921631000006</v>
      </c>
      <c r="E2297">
        <v>50</v>
      </c>
      <c r="F2297">
        <v>49.134365082000002</v>
      </c>
      <c r="G2297">
        <v>1346.2341309000001</v>
      </c>
      <c r="H2297">
        <v>1341.9526367000001</v>
      </c>
      <c r="I2297">
        <v>1321.6230469</v>
      </c>
      <c r="J2297">
        <v>1317.3154297000001</v>
      </c>
      <c r="K2297">
        <v>2750</v>
      </c>
      <c r="L2297">
        <v>0</v>
      </c>
      <c r="M2297">
        <v>0</v>
      </c>
      <c r="N2297">
        <v>2750</v>
      </c>
    </row>
    <row r="2298" spans="1:14" x14ac:dyDescent="0.25">
      <c r="A2298">
        <v>1477.788847</v>
      </c>
      <c r="B2298" s="1">
        <f>DATE(2014,5,17) + TIME(18,55,56)</f>
        <v>41776.788842592592</v>
      </c>
      <c r="C2298">
        <v>80</v>
      </c>
      <c r="D2298">
        <v>79.975891113000003</v>
      </c>
      <c r="E2298">
        <v>50</v>
      </c>
      <c r="F2298">
        <v>49.118030548</v>
      </c>
      <c r="G2298">
        <v>1346.2208252</v>
      </c>
      <c r="H2298">
        <v>1341.9458007999999</v>
      </c>
      <c r="I2298">
        <v>1321.6204834</v>
      </c>
      <c r="J2298">
        <v>1317.3121338000001</v>
      </c>
      <c r="K2298">
        <v>2750</v>
      </c>
      <c r="L2298">
        <v>0</v>
      </c>
      <c r="M2298">
        <v>0</v>
      </c>
      <c r="N2298">
        <v>2750</v>
      </c>
    </row>
    <row r="2299" spans="1:14" x14ac:dyDescent="0.25">
      <c r="A2299">
        <v>1478.1872719999999</v>
      </c>
      <c r="B2299" s="1">
        <f>DATE(2014,5,18) + TIME(4,29,40)</f>
        <v>41777.187268518515</v>
      </c>
      <c r="C2299">
        <v>80</v>
      </c>
      <c r="D2299">
        <v>79.975860596000004</v>
      </c>
      <c r="E2299">
        <v>50</v>
      </c>
      <c r="F2299">
        <v>49.101406097000002</v>
      </c>
      <c r="G2299">
        <v>1346.2075195</v>
      </c>
      <c r="H2299">
        <v>1341.9389647999999</v>
      </c>
      <c r="I2299">
        <v>1321.6177978999999</v>
      </c>
      <c r="J2299">
        <v>1317.3087158000001</v>
      </c>
      <c r="K2299">
        <v>2750</v>
      </c>
      <c r="L2299">
        <v>0</v>
      </c>
      <c r="M2299">
        <v>0</v>
      </c>
      <c r="N2299">
        <v>2750</v>
      </c>
    </row>
    <row r="2300" spans="1:14" x14ac:dyDescent="0.25">
      <c r="A2300">
        <v>1478.597096</v>
      </c>
      <c r="B2300" s="1">
        <f>DATE(2014,5,18) + TIME(14,19,49)</f>
        <v>41777.597094907411</v>
      </c>
      <c r="C2300">
        <v>80</v>
      </c>
      <c r="D2300">
        <v>79.975830078000001</v>
      </c>
      <c r="E2300">
        <v>50</v>
      </c>
      <c r="F2300">
        <v>49.084453582999998</v>
      </c>
      <c r="G2300">
        <v>1346.1939697</v>
      </c>
      <c r="H2300">
        <v>1341.9320068</v>
      </c>
      <c r="I2300">
        <v>1321.6151123</v>
      </c>
      <c r="J2300">
        <v>1317.3051757999999</v>
      </c>
      <c r="K2300">
        <v>2750</v>
      </c>
      <c r="L2300">
        <v>0</v>
      </c>
      <c r="M2300">
        <v>0</v>
      </c>
      <c r="N2300">
        <v>2750</v>
      </c>
    </row>
    <row r="2301" spans="1:14" x14ac:dyDescent="0.25">
      <c r="A2301">
        <v>1479.018626</v>
      </c>
      <c r="B2301" s="1">
        <f>DATE(2014,5,19) + TIME(0,26,49)</f>
        <v>41778.018622685187</v>
      </c>
      <c r="C2301">
        <v>80</v>
      </c>
      <c r="D2301">
        <v>79.975791931000003</v>
      </c>
      <c r="E2301">
        <v>50</v>
      </c>
      <c r="F2301">
        <v>49.067150116000001</v>
      </c>
      <c r="G2301">
        <v>1346.1804199000001</v>
      </c>
      <c r="H2301">
        <v>1341.9250488</v>
      </c>
      <c r="I2301">
        <v>1321.6123047000001</v>
      </c>
      <c r="J2301">
        <v>1317.3013916</v>
      </c>
      <c r="K2301">
        <v>2750</v>
      </c>
      <c r="L2301">
        <v>0</v>
      </c>
      <c r="M2301">
        <v>0</v>
      </c>
      <c r="N2301">
        <v>2750</v>
      </c>
    </row>
    <row r="2302" spans="1:14" x14ac:dyDescent="0.25">
      <c r="A2302">
        <v>1479.444581</v>
      </c>
      <c r="B2302" s="1">
        <f>DATE(2014,5,19) + TIME(10,40,11)</f>
        <v>41778.444571759261</v>
      </c>
      <c r="C2302">
        <v>80</v>
      </c>
      <c r="D2302">
        <v>79.975761414000004</v>
      </c>
      <c r="E2302">
        <v>50</v>
      </c>
      <c r="F2302">
        <v>49.049686432000001</v>
      </c>
      <c r="G2302">
        <v>1346.166626</v>
      </c>
      <c r="H2302">
        <v>1341.9180908000001</v>
      </c>
      <c r="I2302">
        <v>1321.609375</v>
      </c>
      <c r="J2302">
        <v>1317.2976074000001</v>
      </c>
      <c r="K2302">
        <v>2750</v>
      </c>
      <c r="L2302">
        <v>0</v>
      </c>
      <c r="M2302">
        <v>0</v>
      </c>
      <c r="N2302">
        <v>2750</v>
      </c>
    </row>
    <row r="2303" spans="1:14" x14ac:dyDescent="0.25">
      <c r="A2303">
        <v>1479.8742130000001</v>
      </c>
      <c r="B2303" s="1">
        <f>DATE(2014,5,19) + TIME(20,58,52)</f>
        <v>41778.874212962961</v>
      </c>
      <c r="C2303">
        <v>80</v>
      </c>
      <c r="D2303">
        <v>79.975730896000002</v>
      </c>
      <c r="E2303">
        <v>50</v>
      </c>
      <c r="F2303">
        <v>49.032112122000001</v>
      </c>
      <c r="G2303">
        <v>1346.1530762</v>
      </c>
      <c r="H2303">
        <v>1341.9111327999999</v>
      </c>
      <c r="I2303">
        <v>1321.6064452999999</v>
      </c>
      <c r="J2303">
        <v>1317.2937012</v>
      </c>
      <c r="K2303">
        <v>2750</v>
      </c>
      <c r="L2303">
        <v>0</v>
      </c>
      <c r="M2303">
        <v>0</v>
      </c>
      <c r="N2303">
        <v>2750</v>
      </c>
    </row>
    <row r="2304" spans="1:14" x14ac:dyDescent="0.25">
      <c r="A2304">
        <v>1480.3083340000001</v>
      </c>
      <c r="B2304" s="1">
        <f>DATE(2014,5,20) + TIME(7,24,0)</f>
        <v>41779.308333333334</v>
      </c>
      <c r="C2304">
        <v>80</v>
      </c>
      <c r="D2304">
        <v>79.975700377999999</v>
      </c>
      <c r="E2304">
        <v>50</v>
      </c>
      <c r="F2304">
        <v>49.014431000000002</v>
      </c>
      <c r="G2304">
        <v>1346.1395264</v>
      </c>
      <c r="H2304">
        <v>1341.9041748</v>
      </c>
      <c r="I2304">
        <v>1321.6033935999999</v>
      </c>
      <c r="J2304">
        <v>1317.2897949000001</v>
      </c>
      <c r="K2304">
        <v>2750</v>
      </c>
      <c r="L2304">
        <v>0</v>
      </c>
      <c r="M2304">
        <v>0</v>
      </c>
      <c r="N2304">
        <v>2750</v>
      </c>
    </row>
    <row r="2305" spans="1:14" x14ac:dyDescent="0.25">
      <c r="A2305">
        <v>1480.7489820000001</v>
      </c>
      <c r="B2305" s="1">
        <f>DATE(2014,5,20) + TIME(17,58,32)</f>
        <v>41779.748981481483</v>
      </c>
      <c r="C2305">
        <v>80</v>
      </c>
      <c r="D2305">
        <v>79.975662231000001</v>
      </c>
      <c r="E2305">
        <v>50</v>
      </c>
      <c r="F2305">
        <v>48.996612548999998</v>
      </c>
      <c r="G2305">
        <v>1346.1262207</v>
      </c>
      <c r="H2305">
        <v>1341.8973389</v>
      </c>
      <c r="I2305">
        <v>1321.6002197</v>
      </c>
      <c r="J2305">
        <v>1317.2856445</v>
      </c>
      <c r="K2305">
        <v>2750</v>
      </c>
      <c r="L2305">
        <v>0</v>
      </c>
      <c r="M2305">
        <v>0</v>
      </c>
      <c r="N2305">
        <v>2750</v>
      </c>
    </row>
    <row r="2306" spans="1:14" x14ac:dyDescent="0.25">
      <c r="A2306">
        <v>1481.197418</v>
      </c>
      <c r="B2306" s="1">
        <f>DATE(2014,5,21) + TIME(4,44,16)</f>
        <v>41780.19740740741</v>
      </c>
      <c r="C2306">
        <v>80</v>
      </c>
      <c r="D2306">
        <v>79.975631714000002</v>
      </c>
      <c r="E2306">
        <v>50</v>
      </c>
      <c r="F2306">
        <v>48.978622436999999</v>
      </c>
      <c r="G2306">
        <v>1346.112793</v>
      </c>
      <c r="H2306">
        <v>1341.890625</v>
      </c>
      <c r="I2306">
        <v>1321.5970459</v>
      </c>
      <c r="J2306">
        <v>1317.2814940999999</v>
      </c>
      <c r="K2306">
        <v>2750</v>
      </c>
      <c r="L2306">
        <v>0</v>
      </c>
      <c r="M2306">
        <v>0</v>
      </c>
      <c r="N2306">
        <v>2750</v>
      </c>
    </row>
    <row r="2307" spans="1:14" x14ac:dyDescent="0.25">
      <c r="A2307">
        <v>1481.6546269999999</v>
      </c>
      <c r="B2307" s="1">
        <f>DATE(2014,5,21) + TIME(15,42,39)</f>
        <v>41780.654618055552</v>
      </c>
      <c r="C2307">
        <v>80</v>
      </c>
      <c r="D2307">
        <v>79.975601196</v>
      </c>
      <c r="E2307">
        <v>50</v>
      </c>
      <c r="F2307">
        <v>48.960426331000001</v>
      </c>
      <c r="G2307">
        <v>1346.0994873</v>
      </c>
      <c r="H2307">
        <v>1341.8837891000001</v>
      </c>
      <c r="I2307">
        <v>1321.5938721</v>
      </c>
      <c r="J2307">
        <v>1317.2772216999999</v>
      </c>
      <c r="K2307">
        <v>2750</v>
      </c>
      <c r="L2307">
        <v>0</v>
      </c>
      <c r="M2307">
        <v>0</v>
      </c>
      <c r="N2307">
        <v>2750</v>
      </c>
    </row>
    <row r="2308" spans="1:14" x14ac:dyDescent="0.25">
      <c r="A2308">
        <v>1482.117121</v>
      </c>
      <c r="B2308" s="1">
        <f>DATE(2014,5,22) + TIME(2,48,39)</f>
        <v>41781.117118055554</v>
      </c>
      <c r="C2308">
        <v>80</v>
      </c>
      <c r="D2308">
        <v>79.975570679</v>
      </c>
      <c r="E2308">
        <v>50</v>
      </c>
      <c r="F2308">
        <v>48.942108154000003</v>
      </c>
      <c r="G2308">
        <v>1346.0860596</v>
      </c>
      <c r="H2308">
        <v>1341.8769531</v>
      </c>
      <c r="I2308">
        <v>1321.5904541</v>
      </c>
      <c r="J2308">
        <v>1317.2728271000001</v>
      </c>
      <c r="K2308">
        <v>2750</v>
      </c>
      <c r="L2308">
        <v>0</v>
      </c>
      <c r="M2308">
        <v>0</v>
      </c>
      <c r="N2308">
        <v>2750</v>
      </c>
    </row>
    <row r="2309" spans="1:14" x14ac:dyDescent="0.25">
      <c r="A2309">
        <v>1482.5817070000001</v>
      </c>
      <c r="B2309" s="1">
        <f>DATE(2014,5,22) + TIME(13,57,39)</f>
        <v>41781.581701388888</v>
      </c>
      <c r="C2309">
        <v>80</v>
      </c>
      <c r="D2309">
        <v>79.975540160999998</v>
      </c>
      <c r="E2309">
        <v>50</v>
      </c>
      <c r="F2309">
        <v>48.923759459999999</v>
      </c>
      <c r="G2309">
        <v>1346.072876</v>
      </c>
      <c r="H2309">
        <v>1341.8702393000001</v>
      </c>
      <c r="I2309">
        <v>1321.5870361</v>
      </c>
      <c r="J2309">
        <v>1317.2683105000001</v>
      </c>
      <c r="K2309">
        <v>2750</v>
      </c>
      <c r="L2309">
        <v>0</v>
      </c>
      <c r="M2309">
        <v>0</v>
      </c>
      <c r="N2309">
        <v>2750</v>
      </c>
    </row>
    <row r="2310" spans="1:14" x14ac:dyDescent="0.25">
      <c r="A2310">
        <v>1483.050847</v>
      </c>
      <c r="B2310" s="1">
        <f>DATE(2014,5,23) + TIME(1,13,13)</f>
        <v>41782.050844907404</v>
      </c>
      <c r="C2310">
        <v>80</v>
      </c>
      <c r="D2310">
        <v>79.975509643999999</v>
      </c>
      <c r="E2310">
        <v>50</v>
      </c>
      <c r="F2310">
        <v>48.905345916999998</v>
      </c>
      <c r="G2310">
        <v>1346.0596923999999</v>
      </c>
      <c r="H2310">
        <v>1341.8635254000001</v>
      </c>
      <c r="I2310">
        <v>1321.5836182</v>
      </c>
      <c r="J2310">
        <v>1317.2636719</v>
      </c>
      <c r="K2310">
        <v>2750</v>
      </c>
      <c r="L2310">
        <v>0</v>
      </c>
      <c r="M2310">
        <v>0</v>
      </c>
      <c r="N2310">
        <v>2750</v>
      </c>
    </row>
    <row r="2311" spans="1:14" x14ac:dyDescent="0.25">
      <c r="A2311">
        <v>1483.5257200000001</v>
      </c>
      <c r="B2311" s="1">
        <f>DATE(2014,5,23) + TIME(12,37,2)</f>
        <v>41782.525717592594</v>
      </c>
      <c r="C2311">
        <v>80</v>
      </c>
      <c r="D2311">
        <v>79.975471497000001</v>
      </c>
      <c r="E2311">
        <v>50</v>
      </c>
      <c r="F2311">
        <v>48.886848450000002</v>
      </c>
      <c r="G2311">
        <v>1346.0467529</v>
      </c>
      <c r="H2311">
        <v>1341.8569336</v>
      </c>
      <c r="I2311">
        <v>1321.5800781</v>
      </c>
      <c r="J2311">
        <v>1317.2589111</v>
      </c>
      <c r="K2311">
        <v>2750</v>
      </c>
      <c r="L2311">
        <v>0</v>
      </c>
      <c r="M2311">
        <v>0</v>
      </c>
      <c r="N2311">
        <v>2750</v>
      </c>
    </row>
    <row r="2312" spans="1:14" x14ac:dyDescent="0.25">
      <c r="A2312">
        <v>1484.0076650000001</v>
      </c>
      <c r="B2312" s="1">
        <f>DATE(2014,5,24) + TIME(0,11,2)</f>
        <v>41783.007662037038</v>
      </c>
      <c r="C2312">
        <v>80</v>
      </c>
      <c r="D2312">
        <v>79.975440978999998</v>
      </c>
      <c r="E2312">
        <v>50</v>
      </c>
      <c r="F2312">
        <v>48.868228911999999</v>
      </c>
      <c r="G2312">
        <v>1346.0338135</v>
      </c>
      <c r="H2312">
        <v>1341.8504639</v>
      </c>
      <c r="I2312">
        <v>1321.5764160000001</v>
      </c>
      <c r="J2312">
        <v>1317.2541504000001</v>
      </c>
      <c r="K2312">
        <v>2750</v>
      </c>
      <c r="L2312">
        <v>0</v>
      </c>
      <c r="M2312">
        <v>0</v>
      </c>
      <c r="N2312">
        <v>2750</v>
      </c>
    </row>
    <row r="2313" spans="1:14" x14ac:dyDescent="0.25">
      <c r="A2313">
        <v>1484.4978759999999</v>
      </c>
      <c r="B2313" s="1">
        <f>DATE(2014,5,24) + TIME(11,56,56)</f>
        <v>41783.497870370367</v>
      </c>
      <c r="C2313">
        <v>80</v>
      </c>
      <c r="D2313">
        <v>79.975410460999996</v>
      </c>
      <c r="E2313">
        <v>50</v>
      </c>
      <c r="F2313">
        <v>48.849456787000001</v>
      </c>
      <c r="G2313">
        <v>1346.020874</v>
      </c>
      <c r="H2313">
        <v>1341.8438721</v>
      </c>
      <c r="I2313">
        <v>1321.5726318</v>
      </c>
      <c r="J2313">
        <v>1317.2491454999999</v>
      </c>
      <c r="K2313">
        <v>2750</v>
      </c>
      <c r="L2313">
        <v>0</v>
      </c>
      <c r="M2313">
        <v>0</v>
      </c>
      <c r="N2313">
        <v>2750</v>
      </c>
    </row>
    <row r="2314" spans="1:14" x14ac:dyDescent="0.25">
      <c r="A2314">
        <v>1484.997709</v>
      </c>
      <c r="B2314" s="1">
        <f>DATE(2014,5,24) + TIME(23,56,42)</f>
        <v>41783.997708333336</v>
      </c>
      <c r="C2314">
        <v>80</v>
      </c>
      <c r="D2314">
        <v>79.975379943999997</v>
      </c>
      <c r="E2314">
        <v>50</v>
      </c>
      <c r="F2314">
        <v>48.830486297999997</v>
      </c>
      <c r="G2314">
        <v>1346.0079346</v>
      </c>
      <c r="H2314">
        <v>1341.8372803</v>
      </c>
      <c r="I2314">
        <v>1321.5688477000001</v>
      </c>
      <c r="J2314">
        <v>1317.2440185999999</v>
      </c>
      <c r="K2314">
        <v>2750</v>
      </c>
      <c r="L2314">
        <v>0</v>
      </c>
      <c r="M2314">
        <v>0</v>
      </c>
      <c r="N2314">
        <v>2750</v>
      </c>
    </row>
    <row r="2315" spans="1:14" x14ac:dyDescent="0.25">
      <c r="A2315">
        <v>1485.5086309999999</v>
      </c>
      <c r="B2315" s="1">
        <f>DATE(2014,5,25) + TIME(12,12,25)</f>
        <v>41784.508622685185</v>
      </c>
      <c r="C2315">
        <v>80</v>
      </c>
      <c r="D2315">
        <v>79.975349425999994</v>
      </c>
      <c r="E2315">
        <v>50</v>
      </c>
      <c r="F2315">
        <v>48.811275481999999</v>
      </c>
      <c r="G2315">
        <v>1345.9949951000001</v>
      </c>
      <c r="H2315">
        <v>1341.8306885</v>
      </c>
      <c r="I2315">
        <v>1321.5649414</v>
      </c>
      <c r="J2315">
        <v>1317.2387695</v>
      </c>
      <c r="K2315">
        <v>2750</v>
      </c>
      <c r="L2315">
        <v>0</v>
      </c>
      <c r="M2315">
        <v>0</v>
      </c>
      <c r="N2315">
        <v>2750</v>
      </c>
    </row>
    <row r="2316" spans="1:14" x14ac:dyDescent="0.25">
      <c r="A2316">
        <v>1486.032242</v>
      </c>
      <c r="B2316" s="1">
        <f>DATE(2014,5,26) + TIME(0,46,25)</f>
        <v>41785.032233796293</v>
      </c>
      <c r="C2316">
        <v>80</v>
      </c>
      <c r="D2316">
        <v>79.975318908999995</v>
      </c>
      <c r="E2316">
        <v>50</v>
      </c>
      <c r="F2316">
        <v>48.791774750000002</v>
      </c>
      <c r="G2316">
        <v>1345.9820557</v>
      </c>
      <c r="H2316">
        <v>1341.8240966999999</v>
      </c>
      <c r="I2316">
        <v>1321.5607910000001</v>
      </c>
      <c r="J2316">
        <v>1317.2332764</v>
      </c>
      <c r="K2316">
        <v>2750</v>
      </c>
      <c r="L2316">
        <v>0</v>
      </c>
      <c r="M2316">
        <v>0</v>
      </c>
      <c r="N2316">
        <v>2750</v>
      </c>
    </row>
    <row r="2317" spans="1:14" x14ac:dyDescent="0.25">
      <c r="A2317">
        <v>1486.5703020000001</v>
      </c>
      <c r="B2317" s="1">
        <f>DATE(2014,5,26) + TIME(13,41,14)</f>
        <v>41785.570300925923</v>
      </c>
      <c r="C2317">
        <v>80</v>
      </c>
      <c r="D2317">
        <v>79.975288391000007</v>
      </c>
      <c r="E2317">
        <v>50</v>
      </c>
      <c r="F2317">
        <v>48.771930695000002</v>
      </c>
      <c r="G2317">
        <v>1345.9688721</v>
      </c>
      <c r="H2317">
        <v>1341.8175048999999</v>
      </c>
      <c r="I2317">
        <v>1321.5566406</v>
      </c>
      <c r="J2317">
        <v>1317.2275391000001</v>
      </c>
      <c r="K2317">
        <v>2750</v>
      </c>
      <c r="L2317">
        <v>0</v>
      </c>
      <c r="M2317">
        <v>0</v>
      </c>
      <c r="N2317">
        <v>2750</v>
      </c>
    </row>
    <row r="2318" spans="1:14" x14ac:dyDescent="0.25">
      <c r="A2318">
        <v>1487.1247800000001</v>
      </c>
      <c r="B2318" s="1">
        <f>DATE(2014,5,27) + TIME(2,59,40)</f>
        <v>41786.124768518515</v>
      </c>
      <c r="C2318">
        <v>80</v>
      </c>
      <c r="D2318">
        <v>79.975257873999993</v>
      </c>
      <c r="E2318">
        <v>50</v>
      </c>
      <c r="F2318">
        <v>48.751689911</v>
      </c>
      <c r="G2318">
        <v>1345.9556885</v>
      </c>
      <c r="H2318">
        <v>1341.8107910000001</v>
      </c>
      <c r="I2318">
        <v>1321.5522461</v>
      </c>
      <c r="J2318">
        <v>1317.2216797000001</v>
      </c>
      <c r="K2318">
        <v>2750</v>
      </c>
      <c r="L2318">
        <v>0</v>
      </c>
      <c r="M2318">
        <v>0</v>
      </c>
      <c r="N2318">
        <v>2750</v>
      </c>
    </row>
    <row r="2319" spans="1:14" x14ac:dyDescent="0.25">
      <c r="A2319">
        <v>1487.697891</v>
      </c>
      <c r="B2319" s="1">
        <f>DATE(2014,5,27) + TIME(16,44,57)</f>
        <v>41786.697881944441</v>
      </c>
      <c r="C2319">
        <v>80</v>
      </c>
      <c r="D2319">
        <v>79.975227356000005</v>
      </c>
      <c r="E2319">
        <v>50</v>
      </c>
      <c r="F2319">
        <v>48.730987548999998</v>
      </c>
      <c r="G2319">
        <v>1345.9422606999999</v>
      </c>
      <c r="H2319">
        <v>1341.8039550999999</v>
      </c>
      <c r="I2319">
        <v>1321.5476074000001</v>
      </c>
      <c r="J2319">
        <v>1317.2154541</v>
      </c>
      <c r="K2319">
        <v>2750</v>
      </c>
      <c r="L2319">
        <v>0</v>
      </c>
      <c r="M2319">
        <v>0</v>
      </c>
      <c r="N2319">
        <v>2750</v>
      </c>
    </row>
    <row r="2320" spans="1:14" x14ac:dyDescent="0.25">
      <c r="A2320">
        <v>1488.2871419999999</v>
      </c>
      <c r="B2320" s="1">
        <f>DATE(2014,5,28) + TIME(6,53,29)</f>
        <v>41787.287141203706</v>
      </c>
      <c r="C2320">
        <v>80</v>
      </c>
      <c r="D2320">
        <v>79.975196838000002</v>
      </c>
      <c r="E2320">
        <v>50</v>
      </c>
      <c r="F2320">
        <v>48.709854126000003</v>
      </c>
      <c r="G2320">
        <v>1345.9285889</v>
      </c>
      <c r="H2320">
        <v>1341.7969971</v>
      </c>
      <c r="I2320">
        <v>1321.5428466999999</v>
      </c>
      <c r="J2320">
        <v>1317.2089844</v>
      </c>
      <c r="K2320">
        <v>2750</v>
      </c>
      <c r="L2320">
        <v>0</v>
      </c>
      <c r="M2320">
        <v>0</v>
      </c>
      <c r="N2320">
        <v>2750</v>
      </c>
    </row>
    <row r="2321" spans="1:14" x14ac:dyDescent="0.25">
      <c r="A2321">
        <v>1488.8871999999999</v>
      </c>
      <c r="B2321" s="1">
        <f>DATE(2014,5,28) + TIME(21,17,34)</f>
        <v>41787.887199074074</v>
      </c>
      <c r="C2321">
        <v>80</v>
      </c>
      <c r="D2321">
        <v>79.975158691000004</v>
      </c>
      <c r="E2321">
        <v>50</v>
      </c>
      <c r="F2321">
        <v>48.688404083000002</v>
      </c>
      <c r="G2321">
        <v>1345.9147949000001</v>
      </c>
      <c r="H2321">
        <v>1341.7900391000001</v>
      </c>
      <c r="I2321">
        <v>1321.5378418</v>
      </c>
      <c r="J2321">
        <v>1317.2021483999999</v>
      </c>
      <c r="K2321">
        <v>2750</v>
      </c>
      <c r="L2321">
        <v>0</v>
      </c>
      <c r="M2321">
        <v>0</v>
      </c>
      <c r="N2321">
        <v>2750</v>
      </c>
    </row>
    <row r="2322" spans="1:14" x14ac:dyDescent="0.25">
      <c r="A2322">
        <v>1489.4886449999999</v>
      </c>
      <c r="B2322" s="1">
        <f>DATE(2014,5,29) + TIME(11,43,38)</f>
        <v>41788.488634259258</v>
      </c>
      <c r="C2322">
        <v>80</v>
      </c>
      <c r="D2322">
        <v>79.975128174000005</v>
      </c>
      <c r="E2322">
        <v>50</v>
      </c>
      <c r="F2322">
        <v>48.666870117000002</v>
      </c>
      <c r="G2322">
        <v>1345.901001</v>
      </c>
      <c r="H2322">
        <v>1341.7830810999999</v>
      </c>
      <c r="I2322">
        <v>1321.5327147999999</v>
      </c>
      <c r="J2322">
        <v>1317.1951904</v>
      </c>
      <c r="K2322">
        <v>2750</v>
      </c>
      <c r="L2322">
        <v>0</v>
      </c>
      <c r="M2322">
        <v>0</v>
      </c>
      <c r="N2322">
        <v>2750</v>
      </c>
    </row>
    <row r="2323" spans="1:14" x14ac:dyDescent="0.25">
      <c r="A2323">
        <v>1490.092103</v>
      </c>
      <c r="B2323" s="1">
        <f>DATE(2014,5,30) + TIME(2,12,37)</f>
        <v>41789.092094907406</v>
      </c>
      <c r="C2323">
        <v>80</v>
      </c>
      <c r="D2323">
        <v>79.975097656000003</v>
      </c>
      <c r="E2323">
        <v>50</v>
      </c>
      <c r="F2323">
        <v>48.645328522</v>
      </c>
      <c r="G2323">
        <v>1345.8873291</v>
      </c>
      <c r="H2323">
        <v>1341.7761230000001</v>
      </c>
      <c r="I2323">
        <v>1321.5274658000001</v>
      </c>
      <c r="J2323">
        <v>1317.1881103999999</v>
      </c>
      <c r="K2323">
        <v>2750</v>
      </c>
      <c r="L2323">
        <v>0</v>
      </c>
      <c r="M2323">
        <v>0</v>
      </c>
      <c r="N2323">
        <v>2750</v>
      </c>
    </row>
    <row r="2324" spans="1:14" x14ac:dyDescent="0.25">
      <c r="A2324">
        <v>1490.698809</v>
      </c>
      <c r="B2324" s="1">
        <f>DATE(2014,5,30) + TIME(16,46,17)</f>
        <v>41789.698807870373</v>
      </c>
      <c r="C2324">
        <v>80</v>
      </c>
      <c r="D2324">
        <v>79.975067139000004</v>
      </c>
      <c r="E2324">
        <v>50</v>
      </c>
      <c r="F2324">
        <v>48.623809813999998</v>
      </c>
      <c r="G2324">
        <v>1345.8739014</v>
      </c>
      <c r="H2324">
        <v>1341.7692870999999</v>
      </c>
      <c r="I2324">
        <v>1321.5220947</v>
      </c>
      <c r="J2324">
        <v>1317.1807861</v>
      </c>
      <c r="K2324">
        <v>2750</v>
      </c>
      <c r="L2324">
        <v>0</v>
      </c>
      <c r="M2324">
        <v>0</v>
      </c>
      <c r="N2324">
        <v>2750</v>
      </c>
    </row>
    <row r="2325" spans="1:14" x14ac:dyDescent="0.25">
      <c r="A2325">
        <v>1491.308624</v>
      </c>
      <c r="B2325" s="1">
        <f>DATE(2014,5,31) + TIME(7,24,25)</f>
        <v>41790.308622685188</v>
      </c>
      <c r="C2325">
        <v>80</v>
      </c>
      <c r="D2325">
        <v>79.975036621000001</v>
      </c>
      <c r="E2325">
        <v>50</v>
      </c>
      <c r="F2325">
        <v>48.602325438999998</v>
      </c>
      <c r="G2325">
        <v>1345.8607178</v>
      </c>
      <c r="H2325">
        <v>1341.7625731999999</v>
      </c>
      <c r="I2325">
        <v>1321.5167236</v>
      </c>
      <c r="J2325">
        <v>1317.1733397999999</v>
      </c>
      <c r="K2325">
        <v>2750</v>
      </c>
      <c r="L2325">
        <v>0</v>
      </c>
      <c r="M2325">
        <v>0</v>
      </c>
      <c r="N2325">
        <v>2750</v>
      </c>
    </row>
    <row r="2326" spans="1:14" x14ac:dyDescent="0.25">
      <c r="A2326">
        <v>1491.923826</v>
      </c>
      <c r="B2326" s="1">
        <f>DATE(2014,5,31) + TIME(22,10,18)</f>
        <v>41790.923819444448</v>
      </c>
      <c r="C2326">
        <v>80</v>
      </c>
      <c r="D2326">
        <v>79.975006104000002</v>
      </c>
      <c r="E2326">
        <v>50</v>
      </c>
      <c r="F2326">
        <v>48.580848693999997</v>
      </c>
      <c r="G2326">
        <v>1345.8475341999999</v>
      </c>
      <c r="H2326">
        <v>1341.7558594</v>
      </c>
      <c r="I2326">
        <v>1321.5112305</v>
      </c>
      <c r="J2326">
        <v>1317.1657714999999</v>
      </c>
      <c r="K2326">
        <v>2750</v>
      </c>
      <c r="L2326">
        <v>0</v>
      </c>
      <c r="M2326">
        <v>0</v>
      </c>
      <c r="N2326">
        <v>2750</v>
      </c>
    </row>
    <row r="2327" spans="1:14" x14ac:dyDescent="0.25">
      <c r="A2327">
        <v>1492</v>
      </c>
      <c r="B2327" s="1">
        <f>DATE(2014,6,1) + TIME(0,0,0)</f>
        <v>41791</v>
      </c>
      <c r="C2327">
        <v>80</v>
      </c>
      <c r="D2327">
        <v>79.974990844999994</v>
      </c>
      <c r="E2327">
        <v>50</v>
      </c>
      <c r="F2327">
        <v>48.576488495</v>
      </c>
      <c r="G2327">
        <v>1345.8345947</v>
      </c>
      <c r="H2327">
        <v>1341.7492675999999</v>
      </c>
      <c r="I2327">
        <v>1321.5057373</v>
      </c>
      <c r="J2327">
        <v>1317.1593018000001</v>
      </c>
      <c r="K2327">
        <v>2750</v>
      </c>
      <c r="L2327">
        <v>0</v>
      </c>
      <c r="M2327">
        <v>0</v>
      </c>
      <c r="N2327">
        <v>2750</v>
      </c>
    </row>
    <row r="2328" spans="1:14" x14ac:dyDescent="0.25">
      <c r="A2328">
        <v>1492.6222660000001</v>
      </c>
      <c r="B2328" s="1">
        <f>DATE(2014,6,1) + TIME(14,56,3)</f>
        <v>41791.622256944444</v>
      </c>
      <c r="C2328">
        <v>80</v>
      </c>
      <c r="D2328">
        <v>79.974967957000004</v>
      </c>
      <c r="E2328">
        <v>50</v>
      </c>
      <c r="F2328">
        <v>48.555767058999997</v>
      </c>
      <c r="G2328">
        <v>1345.8328856999999</v>
      </c>
      <c r="H2328">
        <v>1341.7484131000001</v>
      </c>
      <c r="I2328">
        <v>1321.5047606999999</v>
      </c>
      <c r="J2328">
        <v>1317.1568603999999</v>
      </c>
      <c r="K2328">
        <v>2750</v>
      </c>
      <c r="L2328">
        <v>0</v>
      </c>
      <c r="M2328">
        <v>0</v>
      </c>
      <c r="N2328">
        <v>2750</v>
      </c>
    </row>
    <row r="2329" spans="1:14" x14ac:dyDescent="0.25">
      <c r="A2329">
        <v>1493.2548300000001</v>
      </c>
      <c r="B2329" s="1">
        <f>DATE(2014,6,2) + TIME(6,6,57)</f>
        <v>41792.254826388889</v>
      </c>
      <c r="C2329">
        <v>80</v>
      </c>
      <c r="D2329">
        <v>79.974937439000001</v>
      </c>
      <c r="E2329">
        <v>50</v>
      </c>
      <c r="F2329">
        <v>48.534591675000001</v>
      </c>
      <c r="G2329">
        <v>1345.8199463000001</v>
      </c>
      <c r="H2329">
        <v>1341.7418213000001</v>
      </c>
      <c r="I2329">
        <v>1321.4990233999999</v>
      </c>
      <c r="J2329">
        <v>1317.1488036999999</v>
      </c>
      <c r="K2329">
        <v>2750</v>
      </c>
      <c r="L2329">
        <v>0</v>
      </c>
      <c r="M2329">
        <v>0</v>
      </c>
      <c r="N2329">
        <v>2750</v>
      </c>
    </row>
    <row r="2330" spans="1:14" x14ac:dyDescent="0.25">
      <c r="A2330">
        <v>1493.8985250000001</v>
      </c>
      <c r="B2330" s="1">
        <f>DATE(2014,6,2) + TIME(21,33,52)</f>
        <v>41792.898518518516</v>
      </c>
      <c r="C2330">
        <v>80</v>
      </c>
      <c r="D2330">
        <v>79.974906920999999</v>
      </c>
      <c r="E2330">
        <v>50</v>
      </c>
      <c r="F2330">
        <v>48.513076781999999</v>
      </c>
      <c r="G2330">
        <v>1345.8070068</v>
      </c>
      <c r="H2330">
        <v>1341.7352295000001</v>
      </c>
      <c r="I2330">
        <v>1321.4930420000001</v>
      </c>
      <c r="J2330">
        <v>1317.140625</v>
      </c>
      <c r="K2330">
        <v>2750</v>
      </c>
      <c r="L2330">
        <v>0</v>
      </c>
      <c r="M2330">
        <v>0</v>
      </c>
      <c r="N2330">
        <v>2750</v>
      </c>
    </row>
    <row r="2331" spans="1:14" x14ac:dyDescent="0.25">
      <c r="A2331">
        <v>1494.5552279999999</v>
      </c>
      <c r="B2331" s="1">
        <f>DATE(2014,6,3) + TIME(13,19,31)</f>
        <v>41793.555219907408</v>
      </c>
      <c r="C2331">
        <v>80</v>
      </c>
      <c r="D2331">
        <v>79.974876404</v>
      </c>
      <c r="E2331">
        <v>50</v>
      </c>
      <c r="F2331">
        <v>48.491249084000003</v>
      </c>
      <c r="G2331">
        <v>1345.7940673999999</v>
      </c>
      <c r="H2331">
        <v>1341.7286377</v>
      </c>
      <c r="I2331">
        <v>1321.4869385</v>
      </c>
      <c r="J2331">
        <v>1317.1320800999999</v>
      </c>
      <c r="K2331">
        <v>2750</v>
      </c>
      <c r="L2331">
        <v>0</v>
      </c>
      <c r="M2331">
        <v>0</v>
      </c>
      <c r="N2331">
        <v>2750</v>
      </c>
    </row>
    <row r="2332" spans="1:14" x14ac:dyDescent="0.25">
      <c r="A2332">
        <v>1495.227083</v>
      </c>
      <c r="B2332" s="1">
        <f>DATE(2014,6,4) + TIME(5,26,59)</f>
        <v>41794.227071759262</v>
      </c>
      <c r="C2332">
        <v>80</v>
      </c>
      <c r="D2332">
        <v>79.974845885999997</v>
      </c>
      <c r="E2332">
        <v>50</v>
      </c>
      <c r="F2332">
        <v>48.469104766999997</v>
      </c>
      <c r="G2332">
        <v>1345.7810059000001</v>
      </c>
      <c r="H2332">
        <v>1341.7219238</v>
      </c>
      <c r="I2332">
        <v>1321.4804687999999</v>
      </c>
      <c r="J2332">
        <v>1317.1232910000001</v>
      </c>
      <c r="K2332">
        <v>2750</v>
      </c>
      <c r="L2332">
        <v>0</v>
      </c>
      <c r="M2332">
        <v>0</v>
      </c>
      <c r="N2332">
        <v>2750</v>
      </c>
    </row>
    <row r="2333" spans="1:14" x14ac:dyDescent="0.25">
      <c r="A2333">
        <v>1495.913423</v>
      </c>
      <c r="B2333" s="1">
        <f>DATE(2014,6,4) + TIME(21,55,19)</f>
        <v>41794.913414351853</v>
      </c>
      <c r="C2333">
        <v>80</v>
      </c>
      <c r="D2333">
        <v>79.974815368999998</v>
      </c>
      <c r="E2333">
        <v>50</v>
      </c>
      <c r="F2333">
        <v>48.446659087999997</v>
      </c>
      <c r="G2333">
        <v>1345.7679443</v>
      </c>
      <c r="H2333">
        <v>1341.7152100000001</v>
      </c>
      <c r="I2333">
        <v>1321.4738769999999</v>
      </c>
      <c r="J2333">
        <v>1317.1140137</v>
      </c>
      <c r="K2333">
        <v>2750</v>
      </c>
      <c r="L2333">
        <v>0</v>
      </c>
      <c r="M2333">
        <v>0</v>
      </c>
      <c r="N2333">
        <v>2750</v>
      </c>
    </row>
    <row r="2334" spans="1:14" x14ac:dyDescent="0.25">
      <c r="A2334">
        <v>1496.613697</v>
      </c>
      <c r="B2334" s="1">
        <f>DATE(2014,6,5) + TIME(14,43,43)</f>
        <v>41795.613692129627</v>
      </c>
      <c r="C2334">
        <v>80</v>
      </c>
      <c r="D2334">
        <v>79.974784850999995</v>
      </c>
      <c r="E2334">
        <v>50</v>
      </c>
      <c r="F2334">
        <v>48.423931121999999</v>
      </c>
      <c r="G2334">
        <v>1345.7547606999999</v>
      </c>
      <c r="H2334">
        <v>1341.708374</v>
      </c>
      <c r="I2334">
        <v>1321.4671631000001</v>
      </c>
      <c r="J2334">
        <v>1317.1044922000001</v>
      </c>
      <c r="K2334">
        <v>2750</v>
      </c>
      <c r="L2334">
        <v>0</v>
      </c>
      <c r="M2334">
        <v>0</v>
      </c>
      <c r="N2334">
        <v>2750</v>
      </c>
    </row>
    <row r="2335" spans="1:14" x14ac:dyDescent="0.25">
      <c r="A2335">
        <v>1497.3299609999999</v>
      </c>
      <c r="B2335" s="1">
        <f>DATE(2014,6,6) + TIME(7,55,8)</f>
        <v>41796.329953703702</v>
      </c>
      <c r="C2335">
        <v>80</v>
      </c>
      <c r="D2335">
        <v>79.974754333000007</v>
      </c>
      <c r="E2335">
        <v>50</v>
      </c>
      <c r="F2335">
        <v>48.400905608999999</v>
      </c>
      <c r="G2335">
        <v>1345.7415771000001</v>
      </c>
      <c r="H2335">
        <v>1341.7016602000001</v>
      </c>
      <c r="I2335">
        <v>1321.4600829999999</v>
      </c>
      <c r="J2335">
        <v>1317.0946045000001</v>
      </c>
      <c r="K2335">
        <v>2750</v>
      </c>
      <c r="L2335">
        <v>0</v>
      </c>
      <c r="M2335">
        <v>0</v>
      </c>
      <c r="N2335">
        <v>2750</v>
      </c>
    </row>
    <row r="2336" spans="1:14" x14ac:dyDescent="0.25">
      <c r="A2336">
        <v>1498.0646770000001</v>
      </c>
      <c r="B2336" s="1">
        <f>DATE(2014,6,7) + TIME(1,33,8)</f>
        <v>41797.064675925925</v>
      </c>
      <c r="C2336">
        <v>80</v>
      </c>
      <c r="D2336">
        <v>79.974723815999994</v>
      </c>
      <c r="E2336">
        <v>50</v>
      </c>
      <c r="F2336">
        <v>48.377536773999999</v>
      </c>
      <c r="G2336">
        <v>1345.7281493999999</v>
      </c>
      <c r="H2336">
        <v>1341.6947021000001</v>
      </c>
      <c r="I2336">
        <v>1321.4527588000001</v>
      </c>
      <c r="J2336">
        <v>1317.0843506000001</v>
      </c>
      <c r="K2336">
        <v>2750</v>
      </c>
      <c r="L2336">
        <v>0</v>
      </c>
      <c r="M2336">
        <v>0</v>
      </c>
      <c r="N2336">
        <v>2750</v>
      </c>
    </row>
    <row r="2337" spans="1:14" x14ac:dyDescent="0.25">
      <c r="A2337">
        <v>1498.820563</v>
      </c>
      <c r="B2337" s="1">
        <f>DATE(2014,6,7) + TIME(19,41,36)</f>
        <v>41797.820555555554</v>
      </c>
      <c r="C2337">
        <v>80</v>
      </c>
      <c r="D2337">
        <v>79.974700928000004</v>
      </c>
      <c r="E2337">
        <v>50</v>
      </c>
      <c r="F2337">
        <v>48.353771209999998</v>
      </c>
      <c r="G2337">
        <v>1345.7147216999999</v>
      </c>
      <c r="H2337">
        <v>1341.6877440999999</v>
      </c>
      <c r="I2337">
        <v>1321.4450684000001</v>
      </c>
      <c r="J2337">
        <v>1317.0736084</v>
      </c>
      <c r="K2337">
        <v>2750</v>
      </c>
      <c r="L2337">
        <v>0</v>
      </c>
      <c r="M2337">
        <v>0</v>
      </c>
      <c r="N2337">
        <v>2750</v>
      </c>
    </row>
    <row r="2338" spans="1:14" x14ac:dyDescent="0.25">
      <c r="A2338">
        <v>1499.6006930000001</v>
      </c>
      <c r="B2338" s="1">
        <f>DATE(2014,6,8) + TIME(14,24,59)</f>
        <v>41798.600682870368</v>
      </c>
      <c r="C2338">
        <v>80</v>
      </c>
      <c r="D2338">
        <v>79.974670410000002</v>
      </c>
      <c r="E2338">
        <v>50</v>
      </c>
      <c r="F2338">
        <v>48.329540252999998</v>
      </c>
      <c r="G2338">
        <v>1345.7011719</v>
      </c>
      <c r="H2338">
        <v>1341.6807861</v>
      </c>
      <c r="I2338">
        <v>1321.4371338000001</v>
      </c>
      <c r="J2338">
        <v>1317.0623779</v>
      </c>
      <c r="K2338">
        <v>2750</v>
      </c>
      <c r="L2338">
        <v>0</v>
      </c>
      <c r="M2338">
        <v>0</v>
      </c>
      <c r="N2338">
        <v>2750</v>
      </c>
    </row>
    <row r="2339" spans="1:14" x14ac:dyDescent="0.25">
      <c r="A2339">
        <v>1499.996075</v>
      </c>
      <c r="B2339" s="1">
        <f>DATE(2014,6,8) + TIME(23,54,20)</f>
        <v>41798.996064814812</v>
      </c>
      <c r="C2339">
        <v>80</v>
      </c>
      <c r="D2339">
        <v>79.974639893000003</v>
      </c>
      <c r="E2339">
        <v>50</v>
      </c>
      <c r="F2339">
        <v>48.313068389999998</v>
      </c>
      <c r="G2339">
        <v>1345.6872559000001</v>
      </c>
      <c r="H2339">
        <v>1341.6735839999999</v>
      </c>
      <c r="I2339">
        <v>1321.4290771000001</v>
      </c>
      <c r="J2339">
        <v>1317.0515137</v>
      </c>
      <c r="K2339">
        <v>2750</v>
      </c>
      <c r="L2339">
        <v>0</v>
      </c>
      <c r="M2339">
        <v>0</v>
      </c>
      <c r="N2339">
        <v>2750</v>
      </c>
    </row>
    <row r="2340" spans="1:14" x14ac:dyDescent="0.25">
      <c r="A2340">
        <v>1500.3914580000001</v>
      </c>
      <c r="B2340" s="1">
        <f>DATE(2014,6,9) + TIME(9,23,41)</f>
        <v>41799.391446759262</v>
      </c>
      <c r="C2340">
        <v>80</v>
      </c>
      <c r="D2340">
        <v>79.974624633999994</v>
      </c>
      <c r="E2340">
        <v>50</v>
      </c>
      <c r="F2340">
        <v>48.298034668</v>
      </c>
      <c r="G2340">
        <v>1345.6802978999999</v>
      </c>
      <c r="H2340">
        <v>1341.6699219</v>
      </c>
      <c r="I2340">
        <v>1321.4245605000001</v>
      </c>
      <c r="J2340">
        <v>1317.0449219</v>
      </c>
      <c r="K2340">
        <v>2750</v>
      </c>
      <c r="L2340">
        <v>0</v>
      </c>
      <c r="M2340">
        <v>0</v>
      </c>
      <c r="N2340">
        <v>2750</v>
      </c>
    </row>
    <row r="2341" spans="1:14" x14ac:dyDescent="0.25">
      <c r="A2341">
        <v>1500.78684</v>
      </c>
      <c r="B2341" s="1">
        <f>DATE(2014,6,9) + TIME(18,53,3)</f>
        <v>41799.786840277775</v>
      </c>
      <c r="C2341">
        <v>80</v>
      </c>
      <c r="D2341">
        <v>79.974601746000005</v>
      </c>
      <c r="E2341">
        <v>50</v>
      </c>
      <c r="F2341">
        <v>48.283958435000002</v>
      </c>
      <c r="G2341">
        <v>1345.6734618999999</v>
      </c>
      <c r="H2341">
        <v>1341.6663818</v>
      </c>
      <c r="I2341">
        <v>1321.4201660000001</v>
      </c>
      <c r="J2341">
        <v>1317.0384521000001</v>
      </c>
      <c r="K2341">
        <v>2750</v>
      </c>
      <c r="L2341">
        <v>0</v>
      </c>
      <c r="M2341">
        <v>0</v>
      </c>
      <c r="N2341">
        <v>2750</v>
      </c>
    </row>
    <row r="2342" spans="1:14" x14ac:dyDescent="0.25">
      <c r="A2342">
        <v>1501.5776060000001</v>
      </c>
      <c r="B2342" s="1">
        <f>DATE(2014,6,10) + TIME(13,51,45)</f>
        <v>41800.577604166669</v>
      </c>
      <c r="C2342">
        <v>80</v>
      </c>
      <c r="D2342">
        <v>79.974586486999996</v>
      </c>
      <c r="E2342">
        <v>50</v>
      </c>
      <c r="F2342">
        <v>48.26398468</v>
      </c>
      <c r="G2342">
        <v>1345.6667480000001</v>
      </c>
      <c r="H2342">
        <v>1341.6628418</v>
      </c>
      <c r="I2342">
        <v>1321.4154053</v>
      </c>
      <c r="J2342">
        <v>1317.03125</v>
      </c>
      <c r="K2342">
        <v>2750</v>
      </c>
      <c r="L2342">
        <v>0</v>
      </c>
      <c r="M2342">
        <v>0</v>
      </c>
      <c r="N2342">
        <v>2750</v>
      </c>
    </row>
    <row r="2343" spans="1:14" x14ac:dyDescent="0.25">
      <c r="A2343">
        <v>1502.3698549999999</v>
      </c>
      <c r="B2343" s="1">
        <f>DATE(2014,6,11) + TIME(8,52,35)</f>
        <v>41801.369849537034</v>
      </c>
      <c r="C2343">
        <v>80</v>
      </c>
      <c r="D2343">
        <v>79.974555968999994</v>
      </c>
      <c r="E2343">
        <v>50</v>
      </c>
      <c r="F2343">
        <v>48.241821289000001</v>
      </c>
      <c r="G2343">
        <v>1345.6533202999999</v>
      </c>
      <c r="H2343">
        <v>1341.6558838000001</v>
      </c>
      <c r="I2343">
        <v>1321.4069824000001</v>
      </c>
      <c r="J2343">
        <v>1317.0192870999999</v>
      </c>
      <c r="K2343">
        <v>2750</v>
      </c>
      <c r="L2343">
        <v>0</v>
      </c>
      <c r="M2343">
        <v>0</v>
      </c>
      <c r="N2343">
        <v>2750</v>
      </c>
    </row>
    <row r="2344" spans="1:14" x14ac:dyDescent="0.25">
      <c r="A2344">
        <v>1503.1706730000001</v>
      </c>
      <c r="B2344" s="1">
        <f>DATE(2014,6,12) + TIME(4,5,46)</f>
        <v>41802.170671296299</v>
      </c>
      <c r="C2344">
        <v>80</v>
      </c>
      <c r="D2344">
        <v>79.974533081000004</v>
      </c>
      <c r="E2344">
        <v>50</v>
      </c>
      <c r="F2344">
        <v>48.218589782999999</v>
      </c>
      <c r="G2344">
        <v>1345.6400146000001</v>
      </c>
      <c r="H2344">
        <v>1341.6489257999999</v>
      </c>
      <c r="I2344">
        <v>1321.3981934000001</v>
      </c>
      <c r="J2344">
        <v>1317.0069579999999</v>
      </c>
      <c r="K2344">
        <v>2750</v>
      </c>
      <c r="L2344">
        <v>0</v>
      </c>
      <c r="M2344">
        <v>0</v>
      </c>
      <c r="N2344">
        <v>2750</v>
      </c>
    </row>
    <row r="2345" spans="1:14" x14ac:dyDescent="0.25">
      <c r="A2345">
        <v>1503.977973</v>
      </c>
      <c r="B2345" s="1">
        <f>DATE(2014,6,12) + TIME(23,28,16)</f>
        <v>41802.977962962963</v>
      </c>
      <c r="C2345">
        <v>80</v>
      </c>
      <c r="D2345">
        <v>79.974502563000001</v>
      </c>
      <c r="E2345">
        <v>50</v>
      </c>
      <c r="F2345">
        <v>48.194854736000003</v>
      </c>
      <c r="G2345">
        <v>1345.6267089999999</v>
      </c>
      <c r="H2345">
        <v>1341.6420897999999</v>
      </c>
      <c r="I2345">
        <v>1321.3891602000001</v>
      </c>
      <c r="J2345">
        <v>1316.9940185999999</v>
      </c>
      <c r="K2345">
        <v>2750</v>
      </c>
      <c r="L2345">
        <v>0</v>
      </c>
      <c r="M2345">
        <v>0</v>
      </c>
      <c r="N2345">
        <v>2750</v>
      </c>
    </row>
    <row r="2346" spans="1:14" x14ac:dyDescent="0.25">
      <c r="A2346">
        <v>1504.789698</v>
      </c>
      <c r="B2346" s="1">
        <f>DATE(2014,6,13) + TIME(18,57,9)</f>
        <v>41803.789687500001</v>
      </c>
      <c r="C2346">
        <v>80</v>
      </c>
      <c r="D2346">
        <v>79.974472046000002</v>
      </c>
      <c r="E2346">
        <v>50</v>
      </c>
      <c r="F2346">
        <v>48.17093277</v>
      </c>
      <c r="G2346">
        <v>1345.6136475000001</v>
      </c>
      <c r="H2346">
        <v>1341.6351318</v>
      </c>
      <c r="I2346">
        <v>1321.3798827999999</v>
      </c>
      <c r="J2346">
        <v>1316.9808350000001</v>
      </c>
      <c r="K2346">
        <v>2750</v>
      </c>
      <c r="L2346">
        <v>0</v>
      </c>
      <c r="M2346">
        <v>0</v>
      </c>
      <c r="N2346">
        <v>2750</v>
      </c>
    </row>
    <row r="2347" spans="1:14" x14ac:dyDescent="0.25">
      <c r="A2347">
        <v>1505.611987</v>
      </c>
      <c r="B2347" s="1">
        <f>DATE(2014,6,14) + TIME(14,41,15)</f>
        <v>41804.611979166664</v>
      </c>
      <c r="C2347">
        <v>80</v>
      </c>
      <c r="D2347">
        <v>79.974449157999999</v>
      </c>
      <c r="E2347">
        <v>50</v>
      </c>
      <c r="F2347">
        <v>48.146892547999997</v>
      </c>
      <c r="G2347">
        <v>1345.6005858999999</v>
      </c>
      <c r="H2347">
        <v>1341.6282959</v>
      </c>
      <c r="I2347">
        <v>1321.3704834</v>
      </c>
      <c r="J2347">
        <v>1316.9671631000001</v>
      </c>
      <c r="K2347">
        <v>2750</v>
      </c>
      <c r="L2347">
        <v>0</v>
      </c>
      <c r="M2347">
        <v>0</v>
      </c>
      <c r="N2347">
        <v>2750</v>
      </c>
    </row>
    <row r="2348" spans="1:14" x14ac:dyDescent="0.25">
      <c r="A2348">
        <v>1506.4474700000001</v>
      </c>
      <c r="B2348" s="1">
        <f>DATE(2014,6,15) + TIME(10,44,21)</f>
        <v>41805.447465277779</v>
      </c>
      <c r="C2348">
        <v>80</v>
      </c>
      <c r="D2348">
        <v>79.974418639999996</v>
      </c>
      <c r="E2348">
        <v>50</v>
      </c>
      <c r="F2348">
        <v>48.122730255</v>
      </c>
      <c r="G2348">
        <v>1345.5876464999999</v>
      </c>
      <c r="H2348">
        <v>1341.6214600000001</v>
      </c>
      <c r="I2348">
        <v>1321.3607178</v>
      </c>
      <c r="J2348">
        <v>1316.9532471</v>
      </c>
      <c r="K2348">
        <v>2750</v>
      </c>
      <c r="L2348">
        <v>0</v>
      </c>
      <c r="M2348">
        <v>0</v>
      </c>
      <c r="N2348">
        <v>2750</v>
      </c>
    </row>
    <row r="2349" spans="1:14" x14ac:dyDescent="0.25">
      <c r="A2349">
        <v>1507.2991099999999</v>
      </c>
      <c r="B2349" s="1">
        <f>DATE(2014,6,16) + TIME(7,10,43)</f>
        <v>41806.299108796295</v>
      </c>
      <c r="C2349">
        <v>80</v>
      </c>
      <c r="D2349">
        <v>79.974388122999997</v>
      </c>
      <c r="E2349">
        <v>50</v>
      </c>
      <c r="F2349">
        <v>48.098411560000002</v>
      </c>
      <c r="G2349">
        <v>1345.574707</v>
      </c>
      <c r="H2349">
        <v>1341.614624</v>
      </c>
      <c r="I2349">
        <v>1321.3508300999999</v>
      </c>
      <c r="J2349">
        <v>1316.9388428</v>
      </c>
      <c r="K2349">
        <v>2750</v>
      </c>
      <c r="L2349">
        <v>0</v>
      </c>
      <c r="M2349">
        <v>0</v>
      </c>
      <c r="N2349">
        <v>2750</v>
      </c>
    </row>
    <row r="2350" spans="1:14" x14ac:dyDescent="0.25">
      <c r="A2350">
        <v>1508.1697300000001</v>
      </c>
      <c r="B2350" s="1">
        <f>DATE(2014,6,17) + TIME(4,4,24)</f>
        <v>41807.169722222221</v>
      </c>
      <c r="C2350">
        <v>80</v>
      </c>
      <c r="D2350">
        <v>79.974365234000004</v>
      </c>
      <c r="E2350">
        <v>50</v>
      </c>
      <c r="F2350">
        <v>48.073875426999997</v>
      </c>
      <c r="G2350">
        <v>1345.5616454999999</v>
      </c>
      <c r="H2350">
        <v>1341.6077881000001</v>
      </c>
      <c r="I2350">
        <v>1321.3404541</v>
      </c>
      <c r="J2350">
        <v>1316.9238281</v>
      </c>
      <c r="K2350">
        <v>2750</v>
      </c>
      <c r="L2350">
        <v>0</v>
      </c>
      <c r="M2350">
        <v>0</v>
      </c>
      <c r="N2350">
        <v>2750</v>
      </c>
    </row>
    <row r="2351" spans="1:14" x14ac:dyDescent="0.25">
      <c r="A2351">
        <v>1509.062424</v>
      </c>
      <c r="B2351" s="1">
        <f>DATE(2014,6,18) + TIME(1,29,53)</f>
        <v>41808.062418981484</v>
      </c>
      <c r="C2351">
        <v>80</v>
      </c>
      <c r="D2351">
        <v>79.974334717000005</v>
      </c>
      <c r="E2351">
        <v>50</v>
      </c>
      <c r="F2351">
        <v>48.049064635999997</v>
      </c>
      <c r="G2351">
        <v>1345.5484618999999</v>
      </c>
      <c r="H2351">
        <v>1341.6008300999999</v>
      </c>
      <c r="I2351">
        <v>1321.3298339999999</v>
      </c>
      <c r="J2351">
        <v>1316.9084473</v>
      </c>
      <c r="K2351">
        <v>2750</v>
      </c>
      <c r="L2351">
        <v>0</v>
      </c>
      <c r="M2351">
        <v>0</v>
      </c>
      <c r="N2351">
        <v>2750</v>
      </c>
    </row>
    <row r="2352" spans="1:14" x14ac:dyDescent="0.25">
      <c r="A2352">
        <v>1509.9807510000001</v>
      </c>
      <c r="B2352" s="1">
        <f>DATE(2014,6,18) + TIME(23,32,16)</f>
        <v>41808.980740740742</v>
      </c>
      <c r="C2352">
        <v>80</v>
      </c>
      <c r="D2352">
        <v>79.974311829000001</v>
      </c>
      <c r="E2352">
        <v>50</v>
      </c>
      <c r="F2352">
        <v>48.023914337000001</v>
      </c>
      <c r="G2352">
        <v>1345.5351562000001</v>
      </c>
      <c r="H2352">
        <v>1341.59375</v>
      </c>
      <c r="I2352">
        <v>1321.3187256000001</v>
      </c>
      <c r="J2352">
        <v>1316.8923339999999</v>
      </c>
      <c r="K2352">
        <v>2750</v>
      </c>
      <c r="L2352">
        <v>0</v>
      </c>
      <c r="M2352">
        <v>0</v>
      </c>
      <c r="N2352">
        <v>2750</v>
      </c>
    </row>
    <row r="2353" spans="1:14" x14ac:dyDescent="0.25">
      <c r="A2353">
        <v>1510.926473</v>
      </c>
      <c r="B2353" s="1">
        <f>DATE(2014,6,19) + TIME(22,14,7)</f>
        <v>41809.926469907405</v>
      </c>
      <c r="C2353">
        <v>80</v>
      </c>
      <c r="D2353">
        <v>79.974281310999999</v>
      </c>
      <c r="E2353">
        <v>50</v>
      </c>
      <c r="F2353">
        <v>47.998374939000001</v>
      </c>
      <c r="G2353">
        <v>1345.5217285000001</v>
      </c>
      <c r="H2353">
        <v>1341.5865478999999</v>
      </c>
      <c r="I2353">
        <v>1321.307251</v>
      </c>
      <c r="J2353">
        <v>1316.8756103999999</v>
      </c>
      <c r="K2353">
        <v>2750</v>
      </c>
      <c r="L2353">
        <v>0</v>
      </c>
      <c r="M2353">
        <v>0</v>
      </c>
      <c r="N2353">
        <v>2750</v>
      </c>
    </row>
    <row r="2354" spans="1:14" x14ac:dyDescent="0.25">
      <c r="A2354">
        <v>1511.8906609999999</v>
      </c>
      <c r="B2354" s="1">
        <f>DATE(2014,6,20) + TIME(21,22,33)</f>
        <v>41810.890659722223</v>
      </c>
      <c r="C2354">
        <v>80</v>
      </c>
      <c r="D2354">
        <v>79.974250792999996</v>
      </c>
      <c r="E2354">
        <v>50</v>
      </c>
      <c r="F2354">
        <v>47.972537994</v>
      </c>
      <c r="G2354">
        <v>1345.5080565999999</v>
      </c>
      <c r="H2354">
        <v>1341.5792236</v>
      </c>
      <c r="I2354">
        <v>1321.2952881000001</v>
      </c>
      <c r="J2354">
        <v>1316.8580322</v>
      </c>
      <c r="K2354">
        <v>2750</v>
      </c>
      <c r="L2354">
        <v>0</v>
      </c>
      <c r="M2354">
        <v>0</v>
      </c>
      <c r="N2354">
        <v>2750</v>
      </c>
    </row>
    <row r="2355" spans="1:14" x14ac:dyDescent="0.25">
      <c r="A2355">
        <v>1512.871486</v>
      </c>
      <c r="B2355" s="1">
        <f>DATE(2014,6,21) + TIME(20,54,56)</f>
        <v>41811.871481481481</v>
      </c>
      <c r="C2355">
        <v>80</v>
      </c>
      <c r="D2355">
        <v>79.974227905000006</v>
      </c>
      <c r="E2355">
        <v>50</v>
      </c>
      <c r="F2355">
        <v>47.946506499999998</v>
      </c>
      <c r="G2355">
        <v>1345.4943848</v>
      </c>
      <c r="H2355">
        <v>1341.5718993999999</v>
      </c>
      <c r="I2355">
        <v>1321.2829589999999</v>
      </c>
      <c r="J2355">
        <v>1316.8399658000001</v>
      </c>
      <c r="K2355">
        <v>2750</v>
      </c>
      <c r="L2355">
        <v>0</v>
      </c>
      <c r="M2355">
        <v>0</v>
      </c>
      <c r="N2355">
        <v>2750</v>
      </c>
    </row>
    <row r="2356" spans="1:14" x14ac:dyDescent="0.25">
      <c r="A2356">
        <v>1513.371866</v>
      </c>
      <c r="B2356" s="1">
        <f>DATE(2014,6,22) + TIME(8,55,29)</f>
        <v>41812.371863425928</v>
      </c>
      <c r="C2356">
        <v>80</v>
      </c>
      <c r="D2356">
        <v>79.974205017000003</v>
      </c>
      <c r="E2356">
        <v>50</v>
      </c>
      <c r="F2356">
        <v>47.928157806000002</v>
      </c>
      <c r="G2356">
        <v>1345.4805908000001</v>
      </c>
      <c r="H2356">
        <v>1341.5644531</v>
      </c>
      <c r="I2356">
        <v>1321.270874</v>
      </c>
      <c r="J2356">
        <v>1316.8227539</v>
      </c>
      <c r="K2356">
        <v>2750</v>
      </c>
      <c r="L2356">
        <v>0</v>
      </c>
      <c r="M2356">
        <v>0</v>
      </c>
      <c r="N2356">
        <v>2750</v>
      </c>
    </row>
    <row r="2357" spans="1:14" x14ac:dyDescent="0.25">
      <c r="A2357">
        <v>1513.8722459999999</v>
      </c>
      <c r="B2357" s="1">
        <f>DATE(2014,6,22) + TIME(20,56,2)</f>
        <v>41812.872245370374</v>
      </c>
      <c r="C2357">
        <v>80</v>
      </c>
      <c r="D2357">
        <v>79.974182128999999</v>
      </c>
      <c r="E2357">
        <v>50</v>
      </c>
      <c r="F2357">
        <v>47.911933898999997</v>
      </c>
      <c r="G2357">
        <v>1345.4737548999999</v>
      </c>
      <c r="H2357">
        <v>1341.5606689000001</v>
      </c>
      <c r="I2357">
        <v>1321.2636719</v>
      </c>
      <c r="J2357">
        <v>1316.8120117000001</v>
      </c>
      <c r="K2357">
        <v>2750</v>
      </c>
      <c r="L2357">
        <v>0</v>
      </c>
      <c r="M2357">
        <v>0</v>
      </c>
      <c r="N2357">
        <v>2750</v>
      </c>
    </row>
    <row r="2358" spans="1:14" x14ac:dyDescent="0.25">
      <c r="A2358">
        <v>1514.3726260000001</v>
      </c>
      <c r="B2358" s="1">
        <f>DATE(2014,6,23) + TIME(8,56,34)</f>
        <v>41813.372615740744</v>
      </c>
      <c r="C2358">
        <v>80</v>
      </c>
      <c r="D2358">
        <v>79.974166870000005</v>
      </c>
      <c r="E2358">
        <v>50</v>
      </c>
      <c r="F2358">
        <v>47.897014618</v>
      </c>
      <c r="G2358">
        <v>1345.4669189000001</v>
      </c>
      <c r="H2358">
        <v>1341.5570068</v>
      </c>
      <c r="I2358">
        <v>1321.2567139</v>
      </c>
      <c r="J2358">
        <v>1316.8015137</v>
      </c>
      <c r="K2358">
        <v>2750</v>
      </c>
      <c r="L2358">
        <v>0</v>
      </c>
      <c r="M2358">
        <v>0</v>
      </c>
      <c r="N2358">
        <v>2750</v>
      </c>
    </row>
    <row r="2359" spans="1:14" x14ac:dyDescent="0.25">
      <c r="A2359">
        <v>1514.873006</v>
      </c>
      <c r="B2359" s="1">
        <f>DATE(2014,6,23) + TIME(20,57,7)</f>
        <v>41813.872997685183</v>
      </c>
      <c r="C2359">
        <v>80</v>
      </c>
      <c r="D2359">
        <v>79.974151610999996</v>
      </c>
      <c r="E2359">
        <v>50</v>
      </c>
      <c r="F2359">
        <v>47.882923126000001</v>
      </c>
      <c r="G2359">
        <v>1345.4600829999999</v>
      </c>
      <c r="H2359">
        <v>1341.5533447</v>
      </c>
      <c r="I2359">
        <v>1321.2498779</v>
      </c>
      <c r="J2359">
        <v>1316.7912598</v>
      </c>
      <c r="K2359">
        <v>2750</v>
      </c>
      <c r="L2359">
        <v>0</v>
      </c>
      <c r="M2359">
        <v>0</v>
      </c>
      <c r="N2359">
        <v>2750</v>
      </c>
    </row>
    <row r="2360" spans="1:14" x14ac:dyDescent="0.25">
      <c r="A2360">
        <v>1515.373386</v>
      </c>
      <c r="B2360" s="1">
        <f>DATE(2014,6,24) + TIME(8,57,40)</f>
        <v>41814.373379629629</v>
      </c>
      <c r="C2360">
        <v>80</v>
      </c>
      <c r="D2360">
        <v>79.974136353000006</v>
      </c>
      <c r="E2360">
        <v>50</v>
      </c>
      <c r="F2360">
        <v>47.869358063</v>
      </c>
      <c r="G2360">
        <v>1345.4533690999999</v>
      </c>
      <c r="H2360">
        <v>1341.5496826000001</v>
      </c>
      <c r="I2360">
        <v>1321.2430420000001</v>
      </c>
      <c r="J2360">
        <v>1316.7811279</v>
      </c>
      <c r="K2360">
        <v>2750</v>
      </c>
      <c r="L2360">
        <v>0</v>
      </c>
      <c r="M2360">
        <v>0</v>
      </c>
      <c r="N2360">
        <v>2750</v>
      </c>
    </row>
    <row r="2361" spans="1:14" x14ac:dyDescent="0.25">
      <c r="A2361">
        <v>1515.8737659999999</v>
      </c>
      <c r="B2361" s="1">
        <f>DATE(2014,6,24) + TIME(20,58,13)</f>
        <v>41814.873761574076</v>
      </c>
      <c r="C2361">
        <v>80</v>
      </c>
      <c r="D2361">
        <v>79.974128723000007</v>
      </c>
      <c r="E2361">
        <v>50</v>
      </c>
      <c r="F2361">
        <v>47.856151580999999</v>
      </c>
      <c r="G2361">
        <v>1345.4466553</v>
      </c>
      <c r="H2361">
        <v>1341.5460204999999</v>
      </c>
      <c r="I2361">
        <v>1321.2362060999999</v>
      </c>
      <c r="J2361">
        <v>1316.7709961</v>
      </c>
      <c r="K2361">
        <v>2750</v>
      </c>
      <c r="L2361">
        <v>0</v>
      </c>
      <c r="M2361">
        <v>0</v>
      </c>
      <c r="N2361">
        <v>2750</v>
      </c>
    </row>
    <row r="2362" spans="1:14" x14ac:dyDescent="0.25">
      <c r="A2362">
        <v>1516.8745260000001</v>
      </c>
      <c r="B2362" s="1">
        <f>DATE(2014,6,25) + TIME(20,59,19)</f>
        <v>41815.874525462961</v>
      </c>
      <c r="C2362">
        <v>80</v>
      </c>
      <c r="D2362">
        <v>79.974113463999998</v>
      </c>
      <c r="E2362">
        <v>50</v>
      </c>
      <c r="F2362">
        <v>47.837669372999997</v>
      </c>
      <c r="G2362">
        <v>1345.4401855000001</v>
      </c>
      <c r="H2362">
        <v>1341.5424805</v>
      </c>
      <c r="I2362">
        <v>1321.2288818</v>
      </c>
      <c r="J2362">
        <v>1316.7597656</v>
      </c>
      <c r="K2362">
        <v>2750</v>
      </c>
      <c r="L2362">
        <v>0</v>
      </c>
      <c r="M2362">
        <v>0</v>
      </c>
      <c r="N2362">
        <v>2750</v>
      </c>
    </row>
    <row r="2363" spans="1:14" x14ac:dyDescent="0.25">
      <c r="A2363">
        <v>1517.877616</v>
      </c>
      <c r="B2363" s="1">
        <f>DATE(2014,6,26) + TIME(21,3,46)</f>
        <v>41816.877615740741</v>
      </c>
      <c r="C2363">
        <v>80</v>
      </c>
      <c r="D2363">
        <v>79.974090575999995</v>
      </c>
      <c r="E2363">
        <v>50</v>
      </c>
      <c r="F2363">
        <v>47.815486907999997</v>
      </c>
      <c r="G2363">
        <v>1345.4270019999999</v>
      </c>
      <c r="H2363">
        <v>1341.5352783000001</v>
      </c>
      <c r="I2363">
        <v>1321.2160644999999</v>
      </c>
      <c r="J2363">
        <v>1316.7410889</v>
      </c>
      <c r="K2363">
        <v>2750</v>
      </c>
      <c r="L2363">
        <v>0</v>
      </c>
      <c r="M2363">
        <v>0</v>
      </c>
      <c r="N2363">
        <v>2750</v>
      </c>
    </row>
    <row r="2364" spans="1:14" x14ac:dyDescent="0.25">
      <c r="A2364">
        <v>1518.8941910000001</v>
      </c>
      <c r="B2364" s="1">
        <f>DATE(2014,6,27) + TIME(21,27,38)</f>
        <v>41817.894189814811</v>
      </c>
      <c r="C2364">
        <v>80</v>
      </c>
      <c r="D2364">
        <v>79.974067688000005</v>
      </c>
      <c r="E2364">
        <v>50</v>
      </c>
      <c r="F2364">
        <v>47.791816711000003</v>
      </c>
      <c r="G2364">
        <v>1345.4139404</v>
      </c>
      <c r="H2364">
        <v>1341.5281981999999</v>
      </c>
      <c r="I2364">
        <v>1321.2026367000001</v>
      </c>
      <c r="J2364">
        <v>1316.7211914</v>
      </c>
      <c r="K2364">
        <v>2750</v>
      </c>
      <c r="L2364">
        <v>0</v>
      </c>
      <c r="M2364">
        <v>0</v>
      </c>
      <c r="N2364">
        <v>2750</v>
      </c>
    </row>
    <row r="2365" spans="1:14" x14ac:dyDescent="0.25">
      <c r="A2365">
        <v>1519.929727</v>
      </c>
      <c r="B2365" s="1">
        <f>DATE(2014,6,28) + TIME(22,18,48)</f>
        <v>41818.929722222223</v>
      </c>
      <c r="C2365">
        <v>80</v>
      </c>
      <c r="D2365">
        <v>79.974044800000001</v>
      </c>
      <c r="E2365">
        <v>50</v>
      </c>
      <c r="F2365">
        <v>47.767513274999999</v>
      </c>
      <c r="G2365">
        <v>1345.401001</v>
      </c>
      <c r="H2365">
        <v>1341.5209961</v>
      </c>
      <c r="I2365">
        <v>1321.1887207</v>
      </c>
      <c r="J2365">
        <v>1316.7004394999999</v>
      </c>
      <c r="K2365">
        <v>2750</v>
      </c>
      <c r="L2365">
        <v>0</v>
      </c>
      <c r="M2365">
        <v>0</v>
      </c>
      <c r="N2365">
        <v>2750</v>
      </c>
    </row>
    <row r="2366" spans="1:14" x14ac:dyDescent="0.25">
      <c r="A2366">
        <v>1520.988351</v>
      </c>
      <c r="B2366" s="1">
        <f>DATE(2014,6,29) + TIME(23,43,13)</f>
        <v>41819.988344907404</v>
      </c>
      <c r="C2366">
        <v>80</v>
      </c>
      <c r="D2366">
        <v>79.974021911999998</v>
      </c>
      <c r="E2366">
        <v>50</v>
      </c>
      <c r="F2366">
        <v>47.742900847999998</v>
      </c>
      <c r="G2366">
        <v>1345.3879394999999</v>
      </c>
      <c r="H2366">
        <v>1341.5139160000001</v>
      </c>
      <c r="I2366">
        <v>1321.1743164</v>
      </c>
      <c r="J2366">
        <v>1316.6790771000001</v>
      </c>
      <c r="K2366">
        <v>2750</v>
      </c>
      <c r="L2366">
        <v>0</v>
      </c>
      <c r="M2366">
        <v>0</v>
      </c>
      <c r="N2366">
        <v>2750</v>
      </c>
    </row>
    <row r="2367" spans="1:14" x14ac:dyDescent="0.25">
      <c r="A2367">
        <v>1522</v>
      </c>
      <c r="B2367" s="1">
        <f>DATE(2014,7,1) + TIME(0,0,0)</f>
        <v>41821</v>
      </c>
      <c r="C2367">
        <v>80</v>
      </c>
      <c r="D2367">
        <v>79.973999023000005</v>
      </c>
      <c r="E2367">
        <v>50</v>
      </c>
      <c r="F2367">
        <v>47.718807220000002</v>
      </c>
      <c r="G2367">
        <v>1345.3747559000001</v>
      </c>
      <c r="H2367">
        <v>1341.5065918</v>
      </c>
      <c r="I2367">
        <v>1321.1595459</v>
      </c>
      <c r="J2367">
        <v>1316.6569824000001</v>
      </c>
      <c r="K2367">
        <v>2750</v>
      </c>
      <c r="L2367">
        <v>0</v>
      </c>
      <c r="M2367">
        <v>0</v>
      </c>
      <c r="N2367">
        <v>2750</v>
      </c>
    </row>
    <row r="2368" spans="1:14" x14ac:dyDescent="0.25">
      <c r="A2368">
        <v>1523.085707</v>
      </c>
      <c r="B2368" s="1">
        <f>DATE(2014,7,2) + TIME(2,3,25)</f>
        <v>41822.085706018515</v>
      </c>
      <c r="C2368">
        <v>80</v>
      </c>
      <c r="D2368">
        <v>79.973976135000001</v>
      </c>
      <c r="E2368">
        <v>50</v>
      </c>
      <c r="F2368">
        <v>47.694679260000001</v>
      </c>
      <c r="G2368">
        <v>1345.3624268000001</v>
      </c>
      <c r="H2368">
        <v>1341.4997559000001</v>
      </c>
      <c r="I2368">
        <v>1321.1450195</v>
      </c>
      <c r="J2368">
        <v>1316.6351318</v>
      </c>
      <c r="K2368">
        <v>2750</v>
      </c>
      <c r="L2368">
        <v>0</v>
      </c>
      <c r="M2368">
        <v>0</v>
      </c>
      <c r="N2368">
        <v>2750</v>
      </c>
    </row>
    <row r="2369" spans="1:14" x14ac:dyDescent="0.25">
      <c r="A2369">
        <v>1524.2278859999999</v>
      </c>
      <c r="B2369" s="1">
        <f>DATE(2014,7,3) + TIME(5,28,9)</f>
        <v>41823.227881944447</v>
      </c>
      <c r="C2369">
        <v>80</v>
      </c>
      <c r="D2369">
        <v>79.973953246999997</v>
      </c>
      <c r="E2369">
        <v>50</v>
      </c>
      <c r="F2369">
        <v>47.670063018999997</v>
      </c>
      <c r="G2369">
        <v>1345.3492432</v>
      </c>
      <c r="H2369">
        <v>1341.4924315999999</v>
      </c>
      <c r="I2369">
        <v>1321.1295166</v>
      </c>
      <c r="J2369">
        <v>1316.6118164</v>
      </c>
      <c r="K2369">
        <v>2750</v>
      </c>
      <c r="L2369">
        <v>0</v>
      </c>
      <c r="M2369">
        <v>0</v>
      </c>
      <c r="N2369">
        <v>2750</v>
      </c>
    </row>
    <row r="2370" spans="1:14" x14ac:dyDescent="0.25">
      <c r="A2370">
        <v>1525.392871</v>
      </c>
      <c r="B2370" s="1">
        <f>DATE(2014,7,4) + TIME(9,25,44)</f>
        <v>41824.392870370371</v>
      </c>
      <c r="C2370">
        <v>80</v>
      </c>
      <c r="D2370">
        <v>79.973930358999993</v>
      </c>
      <c r="E2370">
        <v>50</v>
      </c>
      <c r="F2370">
        <v>47.64515686</v>
      </c>
      <c r="G2370">
        <v>1345.3356934000001</v>
      </c>
      <c r="H2370">
        <v>1341.4848632999999</v>
      </c>
      <c r="I2370">
        <v>1321.1131591999999</v>
      </c>
      <c r="J2370">
        <v>1316.5872803</v>
      </c>
      <c r="K2370">
        <v>2750</v>
      </c>
      <c r="L2370">
        <v>0</v>
      </c>
      <c r="M2370">
        <v>0</v>
      </c>
      <c r="N2370">
        <v>2750</v>
      </c>
    </row>
    <row r="2371" spans="1:14" x14ac:dyDescent="0.25">
      <c r="A2371">
        <v>1526.5853689999999</v>
      </c>
      <c r="B2371" s="1">
        <f>DATE(2014,7,5) + TIME(14,2,55)</f>
        <v>41825.585358796299</v>
      </c>
      <c r="C2371">
        <v>80</v>
      </c>
      <c r="D2371">
        <v>79.973907471000004</v>
      </c>
      <c r="E2371">
        <v>50</v>
      </c>
      <c r="F2371">
        <v>47.620201111</v>
      </c>
      <c r="G2371">
        <v>1345.3220214999999</v>
      </c>
      <c r="H2371">
        <v>1341.4771728999999</v>
      </c>
      <c r="I2371">
        <v>1321.0963135</v>
      </c>
      <c r="J2371">
        <v>1316.5617675999999</v>
      </c>
      <c r="K2371">
        <v>2750</v>
      </c>
      <c r="L2371">
        <v>0</v>
      </c>
      <c r="M2371">
        <v>0</v>
      </c>
      <c r="N2371">
        <v>2750</v>
      </c>
    </row>
    <row r="2372" spans="1:14" x14ac:dyDescent="0.25">
      <c r="A2372">
        <v>1527.802473</v>
      </c>
      <c r="B2372" s="1">
        <f>DATE(2014,7,6) + TIME(19,15,33)</f>
        <v>41826.802465277775</v>
      </c>
      <c r="C2372">
        <v>80</v>
      </c>
      <c r="D2372">
        <v>79.973884583</v>
      </c>
      <c r="E2372">
        <v>50</v>
      </c>
      <c r="F2372">
        <v>47.595340729</v>
      </c>
      <c r="G2372">
        <v>1345.3082274999999</v>
      </c>
      <c r="H2372">
        <v>1341.4694824000001</v>
      </c>
      <c r="I2372">
        <v>1321.0788574000001</v>
      </c>
      <c r="J2372">
        <v>1316.5355225000001</v>
      </c>
      <c r="K2372">
        <v>2750</v>
      </c>
      <c r="L2372">
        <v>0</v>
      </c>
      <c r="M2372">
        <v>0</v>
      </c>
      <c r="N2372">
        <v>2750</v>
      </c>
    </row>
    <row r="2373" spans="1:14" x14ac:dyDescent="0.25">
      <c r="A2373">
        <v>1529.0494409999999</v>
      </c>
      <c r="B2373" s="1">
        <f>DATE(2014,7,8) + TIME(1,11,11)</f>
        <v>41828.049432870372</v>
      </c>
      <c r="C2373">
        <v>80</v>
      </c>
      <c r="D2373">
        <v>79.973854064999998</v>
      </c>
      <c r="E2373">
        <v>50</v>
      </c>
      <c r="F2373">
        <v>47.570655823000003</v>
      </c>
      <c r="G2373">
        <v>1345.2944336</v>
      </c>
      <c r="H2373">
        <v>1341.4616699000001</v>
      </c>
      <c r="I2373">
        <v>1321.0610352000001</v>
      </c>
      <c r="J2373">
        <v>1316.5083007999999</v>
      </c>
      <c r="K2373">
        <v>2750</v>
      </c>
      <c r="L2373">
        <v>0</v>
      </c>
      <c r="M2373">
        <v>0</v>
      </c>
      <c r="N2373">
        <v>2750</v>
      </c>
    </row>
    <row r="2374" spans="1:14" x14ac:dyDescent="0.25">
      <c r="A2374">
        <v>1530.2973750000001</v>
      </c>
      <c r="B2374" s="1">
        <f>DATE(2014,7,9) + TIME(7,8,13)</f>
        <v>41829.297372685185</v>
      </c>
      <c r="C2374">
        <v>80</v>
      </c>
      <c r="D2374">
        <v>79.973831176999994</v>
      </c>
      <c r="E2374">
        <v>50</v>
      </c>
      <c r="F2374">
        <v>47.546417236000003</v>
      </c>
      <c r="G2374">
        <v>1345.2803954999999</v>
      </c>
      <c r="H2374">
        <v>1341.4537353999999</v>
      </c>
      <c r="I2374">
        <v>1321.0426024999999</v>
      </c>
      <c r="J2374">
        <v>1316.4803466999999</v>
      </c>
      <c r="K2374">
        <v>2750</v>
      </c>
      <c r="L2374">
        <v>0</v>
      </c>
      <c r="M2374">
        <v>0</v>
      </c>
      <c r="N2374">
        <v>2750</v>
      </c>
    </row>
    <row r="2375" spans="1:14" x14ac:dyDescent="0.25">
      <c r="A2375">
        <v>1531.5471130000001</v>
      </c>
      <c r="B2375" s="1">
        <f>DATE(2014,7,10) + TIME(13,7,50)</f>
        <v>41830.547106481485</v>
      </c>
      <c r="C2375">
        <v>80</v>
      </c>
      <c r="D2375">
        <v>79.973808289000004</v>
      </c>
      <c r="E2375">
        <v>50</v>
      </c>
      <c r="F2375">
        <v>47.522888184000003</v>
      </c>
      <c r="G2375">
        <v>1345.2667236</v>
      </c>
      <c r="H2375">
        <v>1341.4459228999999</v>
      </c>
      <c r="I2375">
        <v>1321.0240478999999</v>
      </c>
      <c r="J2375">
        <v>1316.4520264</v>
      </c>
      <c r="K2375">
        <v>2750</v>
      </c>
      <c r="L2375">
        <v>0</v>
      </c>
      <c r="M2375">
        <v>0</v>
      </c>
      <c r="N2375">
        <v>2750</v>
      </c>
    </row>
    <row r="2376" spans="1:14" x14ac:dyDescent="0.25">
      <c r="A2376">
        <v>1532.803263</v>
      </c>
      <c r="B2376" s="1">
        <f>DATE(2014,7,11) + TIME(19,16,41)</f>
        <v>41831.803252314814</v>
      </c>
      <c r="C2376">
        <v>80</v>
      </c>
      <c r="D2376">
        <v>79.973793029999996</v>
      </c>
      <c r="E2376">
        <v>50</v>
      </c>
      <c r="F2376">
        <v>47.500171661000003</v>
      </c>
      <c r="G2376">
        <v>1345.2530518000001</v>
      </c>
      <c r="H2376">
        <v>1341.4381103999999</v>
      </c>
      <c r="I2376">
        <v>1321.0053711</v>
      </c>
      <c r="J2376">
        <v>1316.4233397999999</v>
      </c>
      <c r="K2376">
        <v>2750</v>
      </c>
      <c r="L2376">
        <v>0</v>
      </c>
      <c r="M2376">
        <v>0</v>
      </c>
      <c r="N2376">
        <v>2750</v>
      </c>
    </row>
    <row r="2377" spans="1:14" x14ac:dyDescent="0.25">
      <c r="A2377">
        <v>1534.070367</v>
      </c>
      <c r="B2377" s="1">
        <f>DATE(2014,7,13) + TIME(1,41,19)</f>
        <v>41833.0703587963</v>
      </c>
      <c r="C2377">
        <v>80</v>
      </c>
      <c r="D2377">
        <v>79.973770142000006</v>
      </c>
      <c r="E2377">
        <v>50</v>
      </c>
      <c r="F2377">
        <v>47.478282927999999</v>
      </c>
      <c r="G2377">
        <v>1345.239624</v>
      </c>
      <c r="H2377">
        <v>1341.4304199000001</v>
      </c>
      <c r="I2377">
        <v>1320.9864502</v>
      </c>
      <c r="J2377">
        <v>1316.3942870999999</v>
      </c>
      <c r="K2377">
        <v>2750</v>
      </c>
      <c r="L2377">
        <v>0</v>
      </c>
      <c r="M2377">
        <v>0</v>
      </c>
      <c r="N2377">
        <v>2750</v>
      </c>
    </row>
    <row r="2378" spans="1:14" x14ac:dyDescent="0.25">
      <c r="A2378">
        <v>1535.362795</v>
      </c>
      <c r="B2378" s="1">
        <f>DATE(2014,7,14) + TIME(8,42,25)</f>
        <v>41834.36278935185</v>
      </c>
      <c r="C2378">
        <v>80</v>
      </c>
      <c r="D2378">
        <v>79.973747252999999</v>
      </c>
      <c r="E2378">
        <v>50</v>
      </c>
      <c r="F2378">
        <v>47.457172393999997</v>
      </c>
      <c r="G2378">
        <v>1345.2263184000001</v>
      </c>
      <c r="H2378">
        <v>1341.4227295000001</v>
      </c>
      <c r="I2378">
        <v>1320.9672852000001</v>
      </c>
      <c r="J2378">
        <v>1316.3648682</v>
      </c>
      <c r="K2378">
        <v>2750</v>
      </c>
      <c r="L2378">
        <v>0</v>
      </c>
      <c r="M2378">
        <v>0</v>
      </c>
      <c r="N2378">
        <v>2750</v>
      </c>
    </row>
    <row r="2379" spans="1:14" x14ac:dyDescent="0.25">
      <c r="A2379">
        <v>1536.6860200000001</v>
      </c>
      <c r="B2379" s="1">
        <f>DATE(2014,7,15) + TIME(16,27,52)</f>
        <v>41835.686018518521</v>
      </c>
      <c r="C2379">
        <v>80</v>
      </c>
      <c r="D2379">
        <v>79.973724364999995</v>
      </c>
      <c r="E2379">
        <v>50</v>
      </c>
      <c r="F2379">
        <v>47.436794280999997</v>
      </c>
      <c r="G2379">
        <v>1345.2128906</v>
      </c>
      <c r="H2379">
        <v>1341.4149170000001</v>
      </c>
      <c r="I2379">
        <v>1320.9477539</v>
      </c>
      <c r="J2379">
        <v>1316.3347168</v>
      </c>
      <c r="K2379">
        <v>2750</v>
      </c>
      <c r="L2379">
        <v>0</v>
      </c>
      <c r="M2379">
        <v>0</v>
      </c>
      <c r="N2379">
        <v>2750</v>
      </c>
    </row>
    <row r="2380" spans="1:14" x14ac:dyDescent="0.25">
      <c r="A2380">
        <v>1538.029894</v>
      </c>
      <c r="B2380" s="1">
        <f>DATE(2014,7,17) + TIME(0,43,2)</f>
        <v>41837.02988425926</v>
      </c>
      <c r="C2380">
        <v>80</v>
      </c>
      <c r="D2380">
        <v>79.973709106000001</v>
      </c>
      <c r="E2380">
        <v>50</v>
      </c>
      <c r="F2380">
        <v>47.417251587000003</v>
      </c>
      <c r="G2380">
        <v>1345.1993408000001</v>
      </c>
      <c r="H2380">
        <v>1341.4071045000001</v>
      </c>
      <c r="I2380">
        <v>1320.9277344</v>
      </c>
      <c r="J2380">
        <v>1316.3037108999999</v>
      </c>
      <c r="K2380">
        <v>2750</v>
      </c>
      <c r="L2380">
        <v>0</v>
      </c>
      <c r="M2380">
        <v>0</v>
      </c>
      <c r="N2380">
        <v>2750</v>
      </c>
    </row>
    <row r="2381" spans="1:14" x14ac:dyDescent="0.25">
      <c r="A2381">
        <v>1539.386964</v>
      </c>
      <c r="B2381" s="1">
        <f>DATE(2014,7,18) + TIME(9,17,13)</f>
        <v>41838.386956018519</v>
      </c>
      <c r="C2381">
        <v>80</v>
      </c>
      <c r="D2381">
        <v>79.973686217999997</v>
      </c>
      <c r="E2381">
        <v>50</v>
      </c>
      <c r="F2381">
        <v>47.398757934999999</v>
      </c>
      <c r="G2381">
        <v>1345.1856689000001</v>
      </c>
      <c r="H2381">
        <v>1341.3991699000001</v>
      </c>
      <c r="I2381">
        <v>1320.9073486</v>
      </c>
      <c r="J2381">
        <v>1316.2719727000001</v>
      </c>
      <c r="K2381">
        <v>2750</v>
      </c>
      <c r="L2381">
        <v>0</v>
      </c>
      <c r="M2381">
        <v>0</v>
      </c>
      <c r="N2381">
        <v>2750</v>
      </c>
    </row>
    <row r="2382" spans="1:14" x14ac:dyDescent="0.25">
      <c r="A2382">
        <v>1540.762604</v>
      </c>
      <c r="B2382" s="1">
        <f>DATE(2014,7,19) + TIME(18,18,8)</f>
        <v>41839.762592592589</v>
      </c>
      <c r="C2382">
        <v>80</v>
      </c>
      <c r="D2382">
        <v>79.973670959000003</v>
      </c>
      <c r="E2382">
        <v>50</v>
      </c>
      <c r="F2382">
        <v>47.381469727000002</v>
      </c>
      <c r="G2382">
        <v>1345.1722411999999</v>
      </c>
      <c r="H2382">
        <v>1341.3912353999999</v>
      </c>
      <c r="I2382">
        <v>1320.8868408000001</v>
      </c>
      <c r="J2382">
        <v>1316.2398682</v>
      </c>
      <c r="K2382">
        <v>2750</v>
      </c>
      <c r="L2382">
        <v>0</v>
      </c>
      <c r="M2382">
        <v>0</v>
      </c>
      <c r="N2382">
        <v>2750</v>
      </c>
    </row>
    <row r="2383" spans="1:14" x14ac:dyDescent="0.25">
      <c r="A2383">
        <v>1542.1733019999999</v>
      </c>
      <c r="B2383" s="1">
        <f>DATE(2014,7,21) + TIME(4,9,33)</f>
        <v>41841.173298611109</v>
      </c>
      <c r="C2383">
        <v>80</v>
      </c>
      <c r="D2383">
        <v>79.973648071</v>
      </c>
      <c r="E2383">
        <v>50</v>
      </c>
      <c r="F2383">
        <v>47.365467072000001</v>
      </c>
      <c r="G2383">
        <v>1345.1586914</v>
      </c>
      <c r="H2383">
        <v>1341.3833007999999</v>
      </c>
      <c r="I2383">
        <v>1320.8658447</v>
      </c>
      <c r="J2383">
        <v>1316.2071533000001</v>
      </c>
      <c r="K2383">
        <v>2750</v>
      </c>
      <c r="L2383">
        <v>0</v>
      </c>
      <c r="M2383">
        <v>0</v>
      </c>
      <c r="N2383">
        <v>2750</v>
      </c>
    </row>
    <row r="2384" spans="1:14" x14ac:dyDescent="0.25">
      <c r="A2384">
        <v>1543.6259930000001</v>
      </c>
      <c r="B2384" s="1">
        <f>DATE(2014,7,22) + TIME(15,1,25)</f>
        <v>41842.625983796293</v>
      </c>
      <c r="C2384">
        <v>80</v>
      </c>
      <c r="D2384">
        <v>79.973632812000005</v>
      </c>
      <c r="E2384">
        <v>50</v>
      </c>
      <c r="F2384">
        <v>47.350822448999999</v>
      </c>
      <c r="G2384">
        <v>1345.1451416</v>
      </c>
      <c r="H2384">
        <v>1341.3752440999999</v>
      </c>
      <c r="I2384">
        <v>1320.8444824000001</v>
      </c>
      <c r="J2384">
        <v>1316.1735839999999</v>
      </c>
      <c r="K2384">
        <v>2750</v>
      </c>
      <c r="L2384">
        <v>0</v>
      </c>
      <c r="M2384">
        <v>0</v>
      </c>
      <c r="N2384">
        <v>2750</v>
      </c>
    </row>
    <row r="2385" spans="1:14" x14ac:dyDescent="0.25">
      <c r="A2385">
        <v>1545.1224560000001</v>
      </c>
      <c r="B2385" s="1">
        <f>DATE(2014,7,24) + TIME(2,56,20)</f>
        <v>41844.122453703705</v>
      </c>
      <c r="C2385">
        <v>80</v>
      </c>
      <c r="D2385">
        <v>79.973609924000002</v>
      </c>
      <c r="E2385">
        <v>50</v>
      </c>
      <c r="F2385">
        <v>47.337699890000003</v>
      </c>
      <c r="G2385">
        <v>1345.1312256000001</v>
      </c>
      <c r="H2385">
        <v>1341.3670654</v>
      </c>
      <c r="I2385">
        <v>1320.8223877</v>
      </c>
      <c r="J2385">
        <v>1316.1389160000001</v>
      </c>
      <c r="K2385">
        <v>2750</v>
      </c>
      <c r="L2385">
        <v>0</v>
      </c>
      <c r="M2385">
        <v>0</v>
      </c>
      <c r="N2385">
        <v>2750</v>
      </c>
    </row>
    <row r="2386" spans="1:14" x14ac:dyDescent="0.25">
      <c r="A2386">
        <v>1546.6320679999999</v>
      </c>
      <c r="B2386" s="1">
        <f>DATE(2014,7,25) + TIME(15,10,10)</f>
        <v>41845.632060185184</v>
      </c>
      <c r="C2386">
        <v>80</v>
      </c>
      <c r="D2386">
        <v>79.973594665999997</v>
      </c>
      <c r="E2386">
        <v>50</v>
      </c>
      <c r="F2386">
        <v>47.326435089</v>
      </c>
      <c r="G2386">
        <v>1345.1171875</v>
      </c>
      <c r="H2386">
        <v>1341.3586425999999</v>
      </c>
      <c r="I2386">
        <v>1320.7999268000001</v>
      </c>
      <c r="J2386">
        <v>1316.1032714999999</v>
      </c>
      <c r="K2386">
        <v>2750</v>
      </c>
      <c r="L2386">
        <v>0</v>
      </c>
      <c r="M2386">
        <v>0</v>
      </c>
      <c r="N2386">
        <v>2750</v>
      </c>
    </row>
    <row r="2387" spans="1:14" x14ac:dyDescent="0.25">
      <c r="A2387">
        <v>1548.1766359999999</v>
      </c>
      <c r="B2387" s="1">
        <f>DATE(2014,7,27) + TIME(4,14,21)</f>
        <v>41847.176631944443</v>
      </c>
      <c r="C2387">
        <v>80</v>
      </c>
      <c r="D2387">
        <v>79.973571777000004</v>
      </c>
      <c r="E2387">
        <v>50</v>
      </c>
      <c r="F2387">
        <v>47.317367554</v>
      </c>
      <c r="G2387">
        <v>1345.1032714999999</v>
      </c>
      <c r="H2387">
        <v>1341.3503418</v>
      </c>
      <c r="I2387">
        <v>1320.7770995999999</v>
      </c>
      <c r="J2387">
        <v>1316.0671387</v>
      </c>
      <c r="K2387">
        <v>2750</v>
      </c>
      <c r="L2387">
        <v>0</v>
      </c>
      <c r="M2387">
        <v>0</v>
      </c>
      <c r="N2387">
        <v>2750</v>
      </c>
    </row>
    <row r="2388" spans="1:14" x14ac:dyDescent="0.25">
      <c r="A2388">
        <v>1549.7401170000001</v>
      </c>
      <c r="B2388" s="1">
        <f>DATE(2014,7,28) + TIME(17,45,46)</f>
        <v>41848.740115740744</v>
      </c>
      <c r="C2388">
        <v>80</v>
      </c>
      <c r="D2388">
        <v>79.973556518999999</v>
      </c>
      <c r="E2388">
        <v>50</v>
      </c>
      <c r="F2388">
        <v>47.310764313</v>
      </c>
      <c r="G2388">
        <v>1345.0892334</v>
      </c>
      <c r="H2388">
        <v>1341.3417969</v>
      </c>
      <c r="I2388">
        <v>1320.7539062000001</v>
      </c>
      <c r="J2388">
        <v>1316.0302733999999</v>
      </c>
      <c r="K2388">
        <v>2750</v>
      </c>
      <c r="L2388">
        <v>0</v>
      </c>
      <c r="M2388">
        <v>0</v>
      </c>
      <c r="N2388">
        <v>2750</v>
      </c>
    </row>
    <row r="2389" spans="1:14" x14ac:dyDescent="0.25">
      <c r="A2389">
        <v>1551.3154360000001</v>
      </c>
      <c r="B2389" s="1">
        <f>DATE(2014,7,30) + TIME(7,34,13)</f>
        <v>41850.315428240741</v>
      </c>
      <c r="C2389">
        <v>80</v>
      </c>
      <c r="D2389">
        <v>79.973541260000005</v>
      </c>
      <c r="E2389">
        <v>50</v>
      </c>
      <c r="F2389">
        <v>47.306941985999998</v>
      </c>
      <c r="G2389">
        <v>1345.0751952999999</v>
      </c>
      <c r="H2389">
        <v>1341.333374</v>
      </c>
      <c r="I2389">
        <v>1320.7305908000001</v>
      </c>
      <c r="J2389">
        <v>1315.9930420000001</v>
      </c>
      <c r="K2389">
        <v>2750</v>
      </c>
      <c r="L2389">
        <v>0</v>
      </c>
      <c r="M2389">
        <v>0</v>
      </c>
      <c r="N2389">
        <v>2750</v>
      </c>
    </row>
    <row r="2390" spans="1:14" x14ac:dyDescent="0.25">
      <c r="A2390">
        <v>1552.9149809999999</v>
      </c>
      <c r="B2390" s="1">
        <f>DATE(2014,7,31) + TIME(21,57,34)</f>
        <v>41851.914976851855</v>
      </c>
      <c r="C2390">
        <v>80</v>
      </c>
      <c r="D2390">
        <v>79.973526000999996</v>
      </c>
      <c r="E2390">
        <v>50</v>
      </c>
      <c r="F2390">
        <v>47.306217193999998</v>
      </c>
      <c r="G2390">
        <v>1345.0611572</v>
      </c>
      <c r="H2390">
        <v>1341.3248291</v>
      </c>
      <c r="I2390">
        <v>1320.7071533000001</v>
      </c>
      <c r="J2390">
        <v>1315.9554443</v>
      </c>
      <c r="K2390">
        <v>2750</v>
      </c>
      <c r="L2390">
        <v>0</v>
      </c>
      <c r="M2390">
        <v>0</v>
      </c>
      <c r="N2390">
        <v>2750</v>
      </c>
    </row>
    <row r="2391" spans="1:14" x14ac:dyDescent="0.25">
      <c r="A2391">
        <v>1553</v>
      </c>
      <c r="B2391" s="1">
        <f>DATE(2014,8,1) + TIME(0,0,0)</f>
        <v>41852</v>
      </c>
      <c r="C2391">
        <v>80</v>
      </c>
      <c r="D2391">
        <v>79.973518372000001</v>
      </c>
      <c r="E2391">
        <v>50</v>
      </c>
      <c r="F2391">
        <v>47.306632995999998</v>
      </c>
      <c r="G2391">
        <v>1345.0476074000001</v>
      </c>
      <c r="H2391">
        <v>1341.3166504000001</v>
      </c>
      <c r="I2391">
        <v>1320.6899414</v>
      </c>
      <c r="J2391">
        <v>1315.9277344</v>
      </c>
      <c r="K2391">
        <v>2750</v>
      </c>
      <c r="L2391">
        <v>0</v>
      </c>
      <c r="M2391">
        <v>0</v>
      </c>
      <c r="N2391">
        <v>2750</v>
      </c>
    </row>
    <row r="2392" spans="1:14" x14ac:dyDescent="0.25">
      <c r="A2392">
        <v>1554.6186680000001</v>
      </c>
      <c r="B2392" s="1">
        <f>DATE(2014,8,2) + TIME(14,50,52)</f>
        <v>41853.618657407409</v>
      </c>
      <c r="C2392">
        <v>80</v>
      </c>
      <c r="D2392">
        <v>79.973503113000007</v>
      </c>
      <c r="E2392">
        <v>50</v>
      </c>
      <c r="F2392">
        <v>47.309337616000001</v>
      </c>
      <c r="G2392">
        <v>1345.0465088000001</v>
      </c>
      <c r="H2392">
        <v>1341.315918</v>
      </c>
      <c r="I2392">
        <v>1320.6816406</v>
      </c>
      <c r="J2392">
        <v>1315.9144286999999</v>
      </c>
      <c r="K2392">
        <v>2750</v>
      </c>
      <c r="L2392">
        <v>0</v>
      </c>
      <c r="M2392">
        <v>0</v>
      </c>
      <c r="N2392">
        <v>2750</v>
      </c>
    </row>
    <row r="2393" spans="1:14" x14ac:dyDescent="0.25">
      <c r="A2393">
        <v>1556.2493890000001</v>
      </c>
      <c r="B2393" s="1">
        <f>DATE(2014,8,4) + TIME(5,59,7)</f>
        <v>41855.249386574076</v>
      </c>
      <c r="C2393">
        <v>80</v>
      </c>
      <c r="D2393">
        <v>79.973495482999994</v>
      </c>
      <c r="E2393">
        <v>50</v>
      </c>
      <c r="F2393">
        <v>47.315967559999997</v>
      </c>
      <c r="G2393">
        <v>1345.0327147999999</v>
      </c>
      <c r="H2393">
        <v>1341.3073730000001</v>
      </c>
      <c r="I2393">
        <v>1320.6584473</v>
      </c>
      <c r="J2393">
        <v>1315.8769531</v>
      </c>
      <c r="K2393">
        <v>2750</v>
      </c>
      <c r="L2393">
        <v>0</v>
      </c>
      <c r="M2393">
        <v>0</v>
      </c>
      <c r="N2393">
        <v>2750</v>
      </c>
    </row>
    <row r="2394" spans="1:14" x14ac:dyDescent="0.25">
      <c r="A2394">
        <v>1557.897909</v>
      </c>
      <c r="B2394" s="1">
        <f>DATE(2014,8,5) + TIME(21,32,59)</f>
        <v>41856.897905092592</v>
      </c>
      <c r="C2394">
        <v>80</v>
      </c>
      <c r="D2394">
        <v>79.973480225000003</v>
      </c>
      <c r="E2394">
        <v>50</v>
      </c>
      <c r="F2394">
        <v>47.326786040999998</v>
      </c>
      <c r="G2394">
        <v>1345.0189209</v>
      </c>
      <c r="H2394">
        <v>1341.2988281</v>
      </c>
      <c r="I2394">
        <v>1320.6350098</v>
      </c>
      <c r="J2394">
        <v>1315.8387451000001</v>
      </c>
      <c r="K2394">
        <v>2750</v>
      </c>
      <c r="L2394">
        <v>0</v>
      </c>
      <c r="M2394">
        <v>0</v>
      </c>
      <c r="N2394">
        <v>2750</v>
      </c>
    </row>
    <row r="2395" spans="1:14" x14ac:dyDescent="0.25">
      <c r="A2395">
        <v>1559.5707359999999</v>
      </c>
      <c r="B2395" s="1">
        <f>DATE(2014,8,7) + TIME(13,41,51)</f>
        <v>41858.570729166669</v>
      </c>
      <c r="C2395">
        <v>80</v>
      </c>
      <c r="D2395">
        <v>79.973464965999995</v>
      </c>
      <c r="E2395">
        <v>50</v>
      </c>
      <c r="F2395">
        <v>47.342185974000003</v>
      </c>
      <c r="G2395">
        <v>1345.0051269999999</v>
      </c>
      <c r="H2395">
        <v>1341.2904053</v>
      </c>
      <c r="I2395">
        <v>1320.6114502</v>
      </c>
      <c r="J2395">
        <v>1315.8004149999999</v>
      </c>
      <c r="K2395">
        <v>2750</v>
      </c>
      <c r="L2395">
        <v>0</v>
      </c>
      <c r="M2395">
        <v>0</v>
      </c>
      <c r="N2395">
        <v>2750</v>
      </c>
    </row>
    <row r="2396" spans="1:14" x14ac:dyDescent="0.25">
      <c r="A2396">
        <v>1561.288014</v>
      </c>
      <c r="B2396" s="1">
        <f>DATE(2014,8,9) + TIME(6,54,44)</f>
        <v>41860.28800925926</v>
      </c>
      <c r="C2396">
        <v>80</v>
      </c>
      <c r="D2396">
        <v>79.973449707</v>
      </c>
      <c r="E2396">
        <v>50</v>
      </c>
      <c r="F2396">
        <v>47.362728119000003</v>
      </c>
      <c r="G2396">
        <v>1344.9913329999999</v>
      </c>
      <c r="H2396">
        <v>1341.2818603999999</v>
      </c>
      <c r="I2396">
        <v>1320.5878906</v>
      </c>
      <c r="J2396">
        <v>1315.7617187999999</v>
      </c>
      <c r="K2396">
        <v>2750</v>
      </c>
      <c r="L2396">
        <v>0</v>
      </c>
      <c r="M2396">
        <v>0</v>
      </c>
      <c r="N2396">
        <v>2750</v>
      </c>
    </row>
    <row r="2397" spans="1:14" x14ac:dyDescent="0.25">
      <c r="A2397">
        <v>1563.0634319999999</v>
      </c>
      <c r="B2397" s="1">
        <f>DATE(2014,8,11) + TIME(1,31,20)</f>
        <v>41862.063425925924</v>
      </c>
      <c r="C2397">
        <v>80</v>
      </c>
      <c r="D2397">
        <v>79.973434448000006</v>
      </c>
      <c r="E2397">
        <v>50</v>
      </c>
      <c r="F2397">
        <v>47.389244079999997</v>
      </c>
      <c r="G2397">
        <v>1344.9774170000001</v>
      </c>
      <c r="H2397">
        <v>1341.2730713000001</v>
      </c>
      <c r="I2397">
        <v>1320.5640868999999</v>
      </c>
      <c r="J2397">
        <v>1315.7224120999999</v>
      </c>
      <c r="K2397">
        <v>2750</v>
      </c>
      <c r="L2397">
        <v>0</v>
      </c>
      <c r="M2397">
        <v>0</v>
      </c>
      <c r="N2397">
        <v>2750</v>
      </c>
    </row>
    <row r="2398" spans="1:14" x14ac:dyDescent="0.25">
      <c r="A2398">
        <v>1564.891995</v>
      </c>
      <c r="B2398" s="1">
        <f>DATE(2014,8,12) + TIME(21,24,28)</f>
        <v>41863.89199074074</v>
      </c>
      <c r="C2398">
        <v>80</v>
      </c>
      <c r="D2398">
        <v>79.973426818999997</v>
      </c>
      <c r="E2398">
        <v>50</v>
      </c>
      <c r="F2398">
        <v>47.422702788999999</v>
      </c>
      <c r="G2398">
        <v>1344.9632568</v>
      </c>
      <c r="H2398">
        <v>1341.2641602000001</v>
      </c>
      <c r="I2398">
        <v>1320.5397949000001</v>
      </c>
      <c r="J2398">
        <v>1315.6823730000001</v>
      </c>
      <c r="K2398">
        <v>2750</v>
      </c>
      <c r="L2398">
        <v>0</v>
      </c>
      <c r="M2398">
        <v>0</v>
      </c>
      <c r="N2398">
        <v>2750</v>
      </c>
    </row>
    <row r="2399" spans="1:14" x14ac:dyDescent="0.25">
      <c r="A2399">
        <v>1566.731264</v>
      </c>
      <c r="B2399" s="1">
        <f>DATE(2014,8,14) + TIME(17,33,1)</f>
        <v>41865.731261574074</v>
      </c>
      <c r="C2399">
        <v>80</v>
      </c>
      <c r="D2399">
        <v>79.973411560000002</v>
      </c>
      <c r="E2399">
        <v>50</v>
      </c>
      <c r="F2399">
        <v>47.463848114000001</v>
      </c>
      <c r="G2399">
        <v>1344.9489745999999</v>
      </c>
      <c r="H2399">
        <v>1341.2551269999999</v>
      </c>
      <c r="I2399">
        <v>1320.5155029</v>
      </c>
      <c r="J2399">
        <v>1315.6418457</v>
      </c>
      <c r="K2399">
        <v>2750</v>
      </c>
      <c r="L2399">
        <v>0</v>
      </c>
      <c r="M2399">
        <v>0</v>
      </c>
      <c r="N2399">
        <v>2750</v>
      </c>
    </row>
    <row r="2400" spans="1:14" x14ac:dyDescent="0.25">
      <c r="A2400">
        <v>1568.5902160000001</v>
      </c>
      <c r="B2400" s="1">
        <f>DATE(2014,8,16) + TIME(14,9,54)</f>
        <v>41867.590208333335</v>
      </c>
      <c r="C2400">
        <v>80</v>
      </c>
      <c r="D2400">
        <v>79.973396300999994</v>
      </c>
      <c r="E2400">
        <v>50</v>
      </c>
      <c r="F2400">
        <v>47.513084411999998</v>
      </c>
      <c r="G2400">
        <v>1344.9346923999999</v>
      </c>
      <c r="H2400">
        <v>1341.2460937999999</v>
      </c>
      <c r="I2400">
        <v>1320.4913329999999</v>
      </c>
      <c r="J2400">
        <v>1315.6014404</v>
      </c>
      <c r="K2400">
        <v>2750</v>
      </c>
      <c r="L2400">
        <v>0</v>
      </c>
      <c r="M2400">
        <v>0</v>
      </c>
      <c r="N2400">
        <v>2750</v>
      </c>
    </row>
    <row r="2401" spans="1:14" x14ac:dyDescent="0.25">
      <c r="A2401">
        <v>1570.4785629999999</v>
      </c>
      <c r="B2401" s="1">
        <f>DATE(2014,8,18) + TIME(11,29,7)</f>
        <v>41869.47855324074</v>
      </c>
      <c r="C2401">
        <v>80</v>
      </c>
      <c r="D2401">
        <v>79.973388671999999</v>
      </c>
      <c r="E2401">
        <v>50</v>
      </c>
      <c r="F2401">
        <v>47.571285248000002</v>
      </c>
      <c r="G2401">
        <v>1344.9204102000001</v>
      </c>
      <c r="H2401">
        <v>1341.2370605000001</v>
      </c>
      <c r="I2401">
        <v>1320.4674072</v>
      </c>
      <c r="J2401">
        <v>1315.5614014</v>
      </c>
      <c r="K2401">
        <v>2750</v>
      </c>
      <c r="L2401">
        <v>0</v>
      </c>
      <c r="M2401">
        <v>0</v>
      </c>
      <c r="N2401">
        <v>2750</v>
      </c>
    </row>
    <row r="2402" spans="1:14" x14ac:dyDescent="0.25">
      <c r="A2402">
        <v>1572.414164</v>
      </c>
      <c r="B2402" s="1">
        <f>DATE(2014,8,20) + TIME(9,56,23)</f>
        <v>41871.414155092592</v>
      </c>
      <c r="C2402">
        <v>80</v>
      </c>
      <c r="D2402">
        <v>79.973381042</v>
      </c>
      <c r="E2402">
        <v>50</v>
      </c>
      <c r="F2402">
        <v>47.639732361</v>
      </c>
      <c r="G2402">
        <v>1344.90625</v>
      </c>
      <c r="H2402">
        <v>1341.2279053</v>
      </c>
      <c r="I2402">
        <v>1320.4437256000001</v>
      </c>
      <c r="J2402">
        <v>1315.5214844</v>
      </c>
      <c r="K2402">
        <v>2750</v>
      </c>
      <c r="L2402">
        <v>0</v>
      </c>
      <c r="M2402">
        <v>0</v>
      </c>
      <c r="N2402">
        <v>2750</v>
      </c>
    </row>
    <row r="2403" spans="1:14" x14ac:dyDescent="0.25">
      <c r="A2403">
        <v>1574.4156909999999</v>
      </c>
      <c r="B2403" s="1">
        <f>DATE(2014,8,22) + TIME(9,58,35)</f>
        <v>41873.415682870371</v>
      </c>
      <c r="C2403">
        <v>80</v>
      </c>
      <c r="D2403">
        <v>79.973365783999995</v>
      </c>
      <c r="E2403">
        <v>50</v>
      </c>
      <c r="F2403">
        <v>47.720176696999999</v>
      </c>
      <c r="G2403">
        <v>1344.8918457</v>
      </c>
      <c r="H2403">
        <v>1341.2186279</v>
      </c>
      <c r="I2403">
        <v>1320.4202881000001</v>
      </c>
      <c r="J2403">
        <v>1315.4815673999999</v>
      </c>
      <c r="K2403">
        <v>2750</v>
      </c>
      <c r="L2403">
        <v>0</v>
      </c>
      <c r="M2403">
        <v>0</v>
      </c>
      <c r="N2403">
        <v>2750</v>
      </c>
    </row>
    <row r="2404" spans="1:14" x14ac:dyDescent="0.25">
      <c r="A2404">
        <v>1576.43011</v>
      </c>
      <c r="B2404" s="1">
        <f>DATE(2014,8,24) + TIME(10,19,21)</f>
        <v>41875.430104166669</v>
      </c>
      <c r="C2404">
        <v>80</v>
      </c>
      <c r="D2404">
        <v>79.973358153999996</v>
      </c>
      <c r="E2404">
        <v>50</v>
      </c>
      <c r="F2404">
        <v>47.814121245999999</v>
      </c>
      <c r="G2404">
        <v>1344.8771973</v>
      </c>
      <c r="H2404">
        <v>1341.2091064000001</v>
      </c>
      <c r="I2404">
        <v>1320.3968506000001</v>
      </c>
      <c r="J2404">
        <v>1315.4415283000001</v>
      </c>
      <c r="K2404">
        <v>2750</v>
      </c>
      <c r="L2404">
        <v>0</v>
      </c>
      <c r="M2404">
        <v>0</v>
      </c>
      <c r="N2404">
        <v>2750</v>
      </c>
    </row>
    <row r="2405" spans="1:14" x14ac:dyDescent="0.25">
      <c r="A2405">
        <v>1578.4660260000001</v>
      </c>
      <c r="B2405" s="1">
        <f>DATE(2014,8,26) + TIME(11,11,4)</f>
        <v>41877.46601851852</v>
      </c>
      <c r="C2405">
        <v>80</v>
      </c>
      <c r="D2405">
        <v>79.973350525000001</v>
      </c>
      <c r="E2405">
        <v>50</v>
      </c>
      <c r="F2405">
        <v>47.921825409</v>
      </c>
      <c r="G2405">
        <v>1344.8626709</v>
      </c>
      <c r="H2405">
        <v>1341.199707</v>
      </c>
      <c r="I2405">
        <v>1320.3739014</v>
      </c>
      <c r="J2405">
        <v>1315.4022216999999</v>
      </c>
      <c r="K2405">
        <v>2750</v>
      </c>
      <c r="L2405">
        <v>0</v>
      </c>
      <c r="M2405">
        <v>0</v>
      </c>
      <c r="N2405">
        <v>2750</v>
      </c>
    </row>
    <row r="2406" spans="1:14" x14ac:dyDescent="0.25">
      <c r="A2406">
        <v>1580.532367</v>
      </c>
      <c r="B2406" s="1">
        <f>DATE(2014,8,28) + TIME(12,46,36)</f>
        <v>41879.532361111109</v>
      </c>
      <c r="C2406">
        <v>80</v>
      </c>
      <c r="D2406">
        <v>79.973342896000005</v>
      </c>
      <c r="E2406">
        <v>50</v>
      </c>
      <c r="F2406">
        <v>48.044502258000001</v>
      </c>
      <c r="G2406">
        <v>1344.8482666</v>
      </c>
      <c r="H2406">
        <v>1341.1901855000001</v>
      </c>
      <c r="I2406">
        <v>1320.3515625</v>
      </c>
      <c r="J2406">
        <v>1315.3638916</v>
      </c>
      <c r="K2406">
        <v>2750</v>
      </c>
      <c r="L2406">
        <v>0</v>
      </c>
      <c r="M2406">
        <v>0</v>
      </c>
      <c r="N2406">
        <v>2750</v>
      </c>
    </row>
    <row r="2407" spans="1:14" x14ac:dyDescent="0.25">
      <c r="A2407">
        <v>1582.646248</v>
      </c>
      <c r="B2407" s="1">
        <f>DATE(2014,8,30) + TIME(15,30,35)</f>
        <v>41881.646238425928</v>
      </c>
      <c r="C2407">
        <v>80</v>
      </c>
      <c r="D2407">
        <v>79.973335266000007</v>
      </c>
      <c r="E2407">
        <v>50</v>
      </c>
      <c r="F2407">
        <v>48.184009551999999</v>
      </c>
      <c r="G2407">
        <v>1344.8338623</v>
      </c>
      <c r="H2407">
        <v>1341.1806641000001</v>
      </c>
      <c r="I2407">
        <v>1320.3298339999999</v>
      </c>
      <c r="J2407">
        <v>1315.3262939000001</v>
      </c>
      <c r="K2407">
        <v>2750</v>
      </c>
      <c r="L2407">
        <v>0</v>
      </c>
      <c r="M2407">
        <v>0</v>
      </c>
      <c r="N2407">
        <v>2750</v>
      </c>
    </row>
    <row r="2408" spans="1:14" x14ac:dyDescent="0.25">
      <c r="A2408">
        <v>1584</v>
      </c>
      <c r="B2408" s="1">
        <f>DATE(2014,9,1) + TIME(0,0,0)</f>
        <v>41883</v>
      </c>
      <c r="C2408">
        <v>80</v>
      </c>
      <c r="D2408">
        <v>79.973320006999998</v>
      </c>
      <c r="E2408">
        <v>50</v>
      </c>
      <c r="F2408">
        <v>48.323242188000002</v>
      </c>
      <c r="G2408">
        <v>1344.8192139</v>
      </c>
      <c r="H2408">
        <v>1341.1710204999999</v>
      </c>
      <c r="I2408">
        <v>1320.3105469</v>
      </c>
      <c r="J2408">
        <v>1315.2912598</v>
      </c>
      <c r="K2408">
        <v>2750</v>
      </c>
      <c r="L2408">
        <v>0</v>
      </c>
      <c r="M2408">
        <v>0</v>
      </c>
      <c r="N2408">
        <v>2750</v>
      </c>
    </row>
    <row r="2409" spans="1:14" x14ac:dyDescent="0.25">
      <c r="A2409">
        <v>1586.1547860000001</v>
      </c>
      <c r="B2409" s="1">
        <f>DATE(2014,9,3) + TIME(3,42,53)</f>
        <v>41885.154780092591</v>
      </c>
      <c r="C2409">
        <v>80</v>
      </c>
      <c r="D2409">
        <v>79.973320006999998</v>
      </c>
      <c r="E2409">
        <v>50</v>
      </c>
      <c r="F2409">
        <v>48.463817595999998</v>
      </c>
      <c r="G2409">
        <v>1344.8100586</v>
      </c>
      <c r="H2409">
        <v>1341.1649170000001</v>
      </c>
      <c r="I2409">
        <v>1320.2938231999999</v>
      </c>
      <c r="J2409">
        <v>1315.2648925999999</v>
      </c>
      <c r="K2409">
        <v>2750</v>
      </c>
      <c r="L2409">
        <v>0</v>
      </c>
      <c r="M2409">
        <v>0</v>
      </c>
      <c r="N2409">
        <v>2750</v>
      </c>
    </row>
    <row r="2410" spans="1:14" x14ac:dyDescent="0.25">
      <c r="A2410">
        <v>1588.3541849999999</v>
      </c>
      <c r="B2410" s="1">
        <f>DATE(2014,9,5) + TIME(8,30,1)</f>
        <v>41887.354178240741</v>
      </c>
      <c r="C2410">
        <v>80</v>
      </c>
      <c r="D2410">
        <v>79.973312378000003</v>
      </c>
      <c r="E2410">
        <v>50</v>
      </c>
      <c r="F2410">
        <v>48.647567748999997</v>
      </c>
      <c r="G2410">
        <v>1344.7955322</v>
      </c>
      <c r="H2410">
        <v>1341.1552733999999</v>
      </c>
      <c r="I2410">
        <v>1320.2751464999999</v>
      </c>
      <c r="J2410">
        <v>1315.2316894999999</v>
      </c>
      <c r="K2410">
        <v>2750</v>
      </c>
      <c r="L2410">
        <v>0</v>
      </c>
      <c r="M2410">
        <v>0</v>
      </c>
      <c r="N2410">
        <v>2750</v>
      </c>
    </row>
    <row r="2411" spans="1:14" x14ac:dyDescent="0.25">
      <c r="A2411">
        <v>1590.597082</v>
      </c>
      <c r="B2411" s="1">
        <f>DATE(2014,9,7) + TIME(14,19,47)</f>
        <v>41889.597071759257</v>
      </c>
      <c r="C2411">
        <v>80</v>
      </c>
      <c r="D2411">
        <v>79.973312378000003</v>
      </c>
      <c r="E2411">
        <v>50</v>
      </c>
      <c r="F2411">
        <v>48.859363555999998</v>
      </c>
      <c r="G2411">
        <v>1344.7810059000001</v>
      </c>
      <c r="H2411">
        <v>1341.1455077999999</v>
      </c>
      <c r="I2411">
        <v>1320.2562256000001</v>
      </c>
      <c r="J2411">
        <v>1315.1987305</v>
      </c>
      <c r="K2411">
        <v>2750</v>
      </c>
      <c r="L2411">
        <v>0</v>
      </c>
      <c r="M2411">
        <v>0</v>
      </c>
      <c r="N2411">
        <v>2750</v>
      </c>
    </row>
    <row r="2412" spans="1:14" x14ac:dyDescent="0.25">
      <c r="A2412">
        <v>1592.9100470000001</v>
      </c>
      <c r="B2412" s="1">
        <f>DATE(2014,9,9) + TIME(21,50,28)</f>
        <v>41891.910046296296</v>
      </c>
      <c r="C2412">
        <v>80</v>
      </c>
      <c r="D2412">
        <v>79.973304748999993</v>
      </c>
      <c r="E2412">
        <v>50</v>
      </c>
      <c r="F2412">
        <v>49.096977234000001</v>
      </c>
      <c r="G2412">
        <v>1344.7663574000001</v>
      </c>
      <c r="H2412">
        <v>1341.1356201000001</v>
      </c>
      <c r="I2412">
        <v>1320.237793</v>
      </c>
      <c r="J2412">
        <v>1315.1667480000001</v>
      </c>
      <c r="K2412">
        <v>2750</v>
      </c>
      <c r="L2412">
        <v>0</v>
      </c>
      <c r="M2412">
        <v>0</v>
      </c>
      <c r="N2412">
        <v>2750</v>
      </c>
    </row>
    <row r="2413" spans="1:14" x14ac:dyDescent="0.25">
      <c r="A2413">
        <v>1595.264516</v>
      </c>
      <c r="B2413" s="1">
        <f>DATE(2014,9,12) + TIME(6,20,54)</f>
        <v>41894.264513888891</v>
      </c>
      <c r="C2413">
        <v>80</v>
      </c>
      <c r="D2413">
        <v>79.973297118999994</v>
      </c>
      <c r="E2413">
        <v>50</v>
      </c>
      <c r="F2413">
        <v>49.361862183</v>
      </c>
      <c r="G2413">
        <v>1344.7514647999999</v>
      </c>
      <c r="H2413">
        <v>1341.1256103999999</v>
      </c>
      <c r="I2413">
        <v>1320.2200928</v>
      </c>
      <c r="J2413">
        <v>1315.1359863</v>
      </c>
      <c r="K2413">
        <v>2750</v>
      </c>
      <c r="L2413">
        <v>0</v>
      </c>
      <c r="M2413">
        <v>0</v>
      </c>
      <c r="N2413">
        <v>2750</v>
      </c>
    </row>
    <row r="2414" spans="1:14" x14ac:dyDescent="0.25">
      <c r="A2414">
        <v>1597.6460320000001</v>
      </c>
      <c r="B2414" s="1">
        <f>DATE(2014,9,14) + TIME(15,30,17)</f>
        <v>41896.64603009259</v>
      </c>
      <c r="C2414">
        <v>80</v>
      </c>
      <c r="D2414">
        <v>79.973297118999994</v>
      </c>
      <c r="E2414">
        <v>50</v>
      </c>
      <c r="F2414">
        <v>49.652576447000001</v>
      </c>
      <c r="G2414">
        <v>1344.7365723</v>
      </c>
      <c r="H2414">
        <v>1341.1154785000001</v>
      </c>
      <c r="I2414">
        <v>1320.2032471</v>
      </c>
      <c r="J2414">
        <v>1315.1070557</v>
      </c>
      <c r="K2414">
        <v>2750</v>
      </c>
      <c r="L2414">
        <v>0</v>
      </c>
      <c r="M2414">
        <v>0</v>
      </c>
      <c r="N2414">
        <v>2750</v>
      </c>
    </row>
    <row r="2415" spans="1:14" x14ac:dyDescent="0.25">
      <c r="A2415">
        <v>1600.0688520000001</v>
      </c>
      <c r="B2415" s="1">
        <f>DATE(2014,9,17) + TIME(1,39,8)</f>
        <v>41899.068842592591</v>
      </c>
      <c r="C2415">
        <v>80</v>
      </c>
      <c r="D2415">
        <v>79.973297118999994</v>
      </c>
      <c r="E2415">
        <v>50</v>
      </c>
      <c r="F2415">
        <v>49.967918396000002</v>
      </c>
      <c r="G2415">
        <v>1344.7216797000001</v>
      </c>
      <c r="H2415">
        <v>1341.1053466999999</v>
      </c>
      <c r="I2415">
        <v>1320.1873779</v>
      </c>
      <c r="J2415">
        <v>1315.0800781</v>
      </c>
      <c r="K2415">
        <v>2750</v>
      </c>
      <c r="L2415">
        <v>0</v>
      </c>
      <c r="M2415">
        <v>0</v>
      </c>
      <c r="N2415">
        <v>2750</v>
      </c>
    </row>
    <row r="2416" spans="1:14" x14ac:dyDescent="0.25">
      <c r="A2416">
        <v>1602.5483750000001</v>
      </c>
      <c r="B2416" s="1">
        <f>DATE(2014,9,19) + TIME(13,9,39)</f>
        <v>41901.548368055555</v>
      </c>
      <c r="C2416">
        <v>80</v>
      </c>
      <c r="D2416">
        <v>79.973289489999999</v>
      </c>
      <c r="E2416">
        <v>50</v>
      </c>
      <c r="F2416">
        <v>50.308013916</v>
      </c>
      <c r="G2416">
        <v>1344.7069091999999</v>
      </c>
      <c r="H2416">
        <v>1341.0950928</v>
      </c>
      <c r="I2416">
        <v>1320.1726074000001</v>
      </c>
      <c r="J2416">
        <v>1315.0551757999999</v>
      </c>
      <c r="K2416">
        <v>2750</v>
      </c>
      <c r="L2416">
        <v>0</v>
      </c>
      <c r="M2416">
        <v>0</v>
      </c>
      <c r="N2416">
        <v>2750</v>
      </c>
    </row>
    <row r="2417" spans="1:14" x14ac:dyDescent="0.25">
      <c r="A2417">
        <v>1605.1001900000001</v>
      </c>
      <c r="B2417" s="1">
        <f>DATE(2014,9,22) + TIME(2,24,16)</f>
        <v>41904.100185185183</v>
      </c>
      <c r="C2417">
        <v>80</v>
      </c>
      <c r="D2417">
        <v>79.973289489999999</v>
      </c>
      <c r="E2417">
        <v>50</v>
      </c>
      <c r="F2417">
        <v>50.673767089999998</v>
      </c>
      <c r="G2417">
        <v>1344.6918945</v>
      </c>
      <c r="H2417">
        <v>1341.0848389</v>
      </c>
      <c r="I2417">
        <v>1320.1586914</v>
      </c>
      <c r="J2417">
        <v>1315.0322266000001</v>
      </c>
      <c r="K2417">
        <v>2750</v>
      </c>
      <c r="L2417">
        <v>0</v>
      </c>
      <c r="M2417">
        <v>0</v>
      </c>
      <c r="N2417">
        <v>2750</v>
      </c>
    </row>
    <row r="2418" spans="1:14" x14ac:dyDescent="0.25">
      <c r="A2418">
        <v>1607.699181</v>
      </c>
      <c r="B2418" s="1">
        <f>DATE(2014,9,24) + TIME(16,46,49)</f>
        <v>41906.699178240742</v>
      </c>
      <c r="C2418">
        <v>80</v>
      </c>
      <c r="D2418">
        <v>79.973289489999999</v>
      </c>
      <c r="E2418">
        <v>50</v>
      </c>
      <c r="F2418">
        <v>51.064464569000002</v>
      </c>
      <c r="G2418">
        <v>1344.6767577999999</v>
      </c>
      <c r="H2418">
        <v>1341.0743408000001</v>
      </c>
      <c r="I2418">
        <v>1320.145874</v>
      </c>
      <c r="J2418">
        <v>1315.0113524999999</v>
      </c>
      <c r="K2418">
        <v>2750</v>
      </c>
      <c r="L2418">
        <v>0</v>
      </c>
      <c r="M2418">
        <v>0</v>
      </c>
      <c r="N2418">
        <v>2750</v>
      </c>
    </row>
    <row r="2419" spans="1:14" x14ac:dyDescent="0.25">
      <c r="A2419">
        <v>1610.340676</v>
      </c>
      <c r="B2419" s="1">
        <f>DATE(2014,9,27) + TIME(8,10,34)</f>
        <v>41909.340671296297</v>
      </c>
      <c r="C2419">
        <v>80</v>
      </c>
      <c r="D2419">
        <v>79.973289489999999</v>
      </c>
      <c r="E2419">
        <v>50</v>
      </c>
      <c r="F2419">
        <v>51.475570679</v>
      </c>
      <c r="G2419">
        <v>1344.6617432</v>
      </c>
      <c r="H2419">
        <v>1341.0638428</v>
      </c>
      <c r="I2419">
        <v>1320.1340332</v>
      </c>
      <c r="J2419">
        <v>1314.9925536999999</v>
      </c>
      <c r="K2419">
        <v>2750</v>
      </c>
      <c r="L2419">
        <v>0</v>
      </c>
      <c r="M2419">
        <v>0</v>
      </c>
      <c r="N2419">
        <v>2750</v>
      </c>
    </row>
    <row r="2420" spans="1:14" x14ac:dyDescent="0.25">
      <c r="A2420">
        <v>1613.0426649999999</v>
      </c>
      <c r="B2420" s="1">
        <f>DATE(2014,9,30) + TIME(1,1,26)</f>
        <v>41912.042662037034</v>
      </c>
      <c r="C2420">
        <v>80</v>
      </c>
      <c r="D2420">
        <v>79.973289489999999</v>
      </c>
      <c r="E2420">
        <v>50</v>
      </c>
      <c r="F2420">
        <v>51.903701781999999</v>
      </c>
      <c r="G2420">
        <v>1344.6466064000001</v>
      </c>
      <c r="H2420">
        <v>1341.0533447</v>
      </c>
      <c r="I2420">
        <v>1320.1232910000001</v>
      </c>
      <c r="J2420">
        <v>1314.9760742000001</v>
      </c>
      <c r="K2420">
        <v>2750</v>
      </c>
      <c r="L2420">
        <v>0</v>
      </c>
      <c r="M2420">
        <v>0</v>
      </c>
      <c r="N2420">
        <v>2750</v>
      </c>
    </row>
    <row r="2421" spans="1:14" x14ac:dyDescent="0.25">
      <c r="A2421">
        <v>1614</v>
      </c>
      <c r="B2421" s="1">
        <f>DATE(2014,10,1) + TIME(0,0,0)</f>
        <v>41913</v>
      </c>
      <c r="C2421">
        <v>80</v>
      </c>
      <c r="D2421">
        <v>79.973274231000005</v>
      </c>
      <c r="E2421">
        <v>50</v>
      </c>
      <c r="F2421">
        <v>52.235603333</v>
      </c>
      <c r="G2421">
        <v>1344.6314697</v>
      </c>
      <c r="H2421">
        <v>1341.0427245999999</v>
      </c>
      <c r="I2421">
        <v>1320.1201172000001</v>
      </c>
      <c r="J2421">
        <v>1314.9642334</v>
      </c>
      <c r="K2421">
        <v>2750</v>
      </c>
      <c r="L2421">
        <v>0</v>
      </c>
      <c r="M2421">
        <v>0</v>
      </c>
      <c r="N2421">
        <v>2750</v>
      </c>
    </row>
    <row r="2422" spans="1:14" x14ac:dyDescent="0.25">
      <c r="A2422">
        <v>1616.7189000000001</v>
      </c>
      <c r="B2422" s="1">
        <f>DATE(2014,10,3) + TIME(17,15,12)</f>
        <v>41915.718888888892</v>
      </c>
      <c r="C2422">
        <v>80</v>
      </c>
      <c r="D2422">
        <v>79.973289489999999</v>
      </c>
      <c r="E2422">
        <v>50</v>
      </c>
      <c r="F2422">
        <v>52.534919739000003</v>
      </c>
      <c r="G2422">
        <v>1344.6262207</v>
      </c>
      <c r="H2422">
        <v>1341.0390625</v>
      </c>
      <c r="I2422">
        <v>1320.1094971</v>
      </c>
      <c r="J2422">
        <v>1314.9586182</v>
      </c>
      <c r="K2422">
        <v>2750</v>
      </c>
      <c r="L2422">
        <v>0</v>
      </c>
      <c r="M2422">
        <v>0</v>
      </c>
      <c r="N2422">
        <v>2750</v>
      </c>
    </row>
    <row r="2423" spans="1:14" x14ac:dyDescent="0.25">
      <c r="A2423">
        <v>1619.479165</v>
      </c>
      <c r="B2423" s="1">
        <f>DATE(2014,10,6) + TIME(11,29,59)</f>
        <v>41918.479155092595</v>
      </c>
      <c r="C2423">
        <v>80</v>
      </c>
      <c r="D2423">
        <v>79.973289489999999</v>
      </c>
      <c r="E2423">
        <v>50</v>
      </c>
      <c r="F2423">
        <v>52.956432343000003</v>
      </c>
      <c r="G2423">
        <v>1344.6113281</v>
      </c>
      <c r="H2423">
        <v>1341.0285644999999</v>
      </c>
      <c r="I2423">
        <v>1320.1022949000001</v>
      </c>
      <c r="J2423">
        <v>1314.9460449000001</v>
      </c>
      <c r="K2423">
        <v>2750</v>
      </c>
      <c r="L2423">
        <v>0</v>
      </c>
      <c r="M2423">
        <v>0</v>
      </c>
      <c r="N2423">
        <v>2750</v>
      </c>
    </row>
    <row r="2424" spans="1:14" x14ac:dyDescent="0.25">
      <c r="A2424">
        <v>1622.2909179999999</v>
      </c>
      <c r="B2424" s="1">
        <f>DATE(2014,10,9) + TIME(6,58,55)</f>
        <v>41921.290914351855</v>
      </c>
      <c r="C2424">
        <v>80</v>
      </c>
      <c r="D2424">
        <v>79.973297118999994</v>
      </c>
      <c r="E2424">
        <v>50</v>
      </c>
      <c r="F2424">
        <v>53.404273987000003</v>
      </c>
      <c r="G2424">
        <v>1344.5965576000001</v>
      </c>
      <c r="H2424">
        <v>1341.0181885</v>
      </c>
      <c r="I2424">
        <v>1320.0954589999999</v>
      </c>
      <c r="J2424">
        <v>1314.9364014</v>
      </c>
      <c r="K2424">
        <v>2750</v>
      </c>
      <c r="L2424">
        <v>0</v>
      </c>
      <c r="M2424">
        <v>0</v>
      </c>
      <c r="N2424">
        <v>2750</v>
      </c>
    </row>
    <row r="2425" spans="1:14" x14ac:dyDescent="0.25">
      <c r="A2425">
        <v>1625.174127</v>
      </c>
      <c r="B2425" s="1">
        <f>DATE(2014,10,12) + TIME(4,10,44)</f>
        <v>41924.174120370371</v>
      </c>
      <c r="C2425">
        <v>80</v>
      </c>
      <c r="D2425">
        <v>79.973297118999994</v>
      </c>
      <c r="E2425">
        <v>50</v>
      </c>
      <c r="F2425">
        <v>53.859157562</v>
      </c>
      <c r="G2425">
        <v>1344.5817870999999</v>
      </c>
      <c r="H2425">
        <v>1341.0076904</v>
      </c>
      <c r="I2425">
        <v>1320.0894774999999</v>
      </c>
      <c r="J2425">
        <v>1314.9285889</v>
      </c>
      <c r="K2425">
        <v>2750</v>
      </c>
      <c r="L2425">
        <v>0</v>
      </c>
      <c r="M2425">
        <v>0</v>
      </c>
      <c r="N2425">
        <v>2750</v>
      </c>
    </row>
    <row r="2426" spans="1:14" x14ac:dyDescent="0.25">
      <c r="A2426">
        <v>1628.150989</v>
      </c>
      <c r="B2426" s="1">
        <f>DATE(2014,10,15) + TIME(3,37,25)</f>
        <v>41927.150983796295</v>
      </c>
      <c r="C2426">
        <v>80</v>
      </c>
      <c r="D2426">
        <v>79.973304748999993</v>
      </c>
      <c r="E2426">
        <v>50</v>
      </c>
      <c r="F2426">
        <v>54.319126128999997</v>
      </c>
      <c r="G2426">
        <v>1344.5670166</v>
      </c>
      <c r="H2426">
        <v>1340.9971923999999</v>
      </c>
      <c r="I2426">
        <v>1320.0843506000001</v>
      </c>
      <c r="J2426">
        <v>1314.9223632999999</v>
      </c>
      <c r="K2426">
        <v>2750</v>
      </c>
      <c r="L2426">
        <v>0</v>
      </c>
      <c r="M2426">
        <v>0</v>
      </c>
      <c r="N2426">
        <v>2750</v>
      </c>
    </row>
    <row r="2427" spans="1:14" x14ac:dyDescent="0.25">
      <c r="A2427">
        <v>1631.2982260000001</v>
      </c>
      <c r="B2427" s="1">
        <f>DATE(2014,10,18) + TIME(7,9,26)</f>
        <v>41930.298217592594</v>
      </c>
      <c r="C2427">
        <v>80</v>
      </c>
      <c r="D2427">
        <v>79.973312378000003</v>
      </c>
      <c r="E2427">
        <v>50</v>
      </c>
      <c r="F2427">
        <v>54.784366607999999</v>
      </c>
      <c r="G2427">
        <v>1344.5520019999999</v>
      </c>
      <c r="H2427">
        <v>1340.9865723</v>
      </c>
      <c r="I2427">
        <v>1320.0799560999999</v>
      </c>
      <c r="J2427">
        <v>1314.9174805</v>
      </c>
      <c r="K2427">
        <v>2750</v>
      </c>
      <c r="L2427">
        <v>0</v>
      </c>
      <c r="M2427">
        <v>0</v>
      </c>
      <c r="N2427">
        <v>2750</v>
      </c>
    </row>
    <row r="2428" spans="1:14" x14ac:dyDescent="0.25">
      <c r="A2428">
        <v>1634.4711930000001</v>
      </c>
      <c r="B2428" s="1">
        <f>DATE(2014,10,21) + TIME(11,18,31)</f>
        <v>41933.471192129633</v>
      </c>
      <c r="C2428">
        <v>80</v>
      </c>
      <c r="D2428">
        <v>79.973320006999998</v>
      </c>
      <c r="E2428">
        <v>50</v>
      </c>
      <c r="F2428">
        <v>55.258354187000002</v>
      </c>
      <c r="G2428">
        <v>1344.536499</v>
      </c>
      <c r="H2428">
        <v>1340.9754639</v>
      </c>
      <c r="I2428">
        <v>1320.0764160000001</v>
      </c>
      <c r="J2428">
        <v>1314.9138184000001</v>
      </c>
      <c r="K2428">
        <v>2750</v>
      </c>
      <c r="L2428">
        <v>0</v>
      </c>
      <c r="M2428">
        <v>0</v>
      </c>
      <c r="N2428">
        <v>2750</v>
      </c>
    </row>
    <row r="2429" spans="1:14" x14ac:dyDescent="0.25">
      <c r="A2429">
        <v>1637.6773350000001</v>
      </c>
      <c r="B2429" s="1">
        <f>DATE(2014,10,24) + TIME(16,15,21)</f>
        <v>41936.67732638889</v>
      </c>
      <c r="C2429">
        <v>80</v>
      </c>
      <c r="D2429">
        <v>79.973327636999997</v>
      </c>
      <c r="E2429">
        <v>50</v>
      </c>
      <c r="F2429">
        <v>55.723342895999998</v>
      </c>
      <c r="G2429">
        <v>1344.5212402</v>
      </c>
      <c r="H2429">
        <v>1340.9645995999999</v>
      </c>
      <c r="I2429">
        <v>1320.0739745999999</v>
      </c>
      <c r="J2429">
        <v>1314.9118652</v>
      </c>
      <c r="K2429">
        <v>2750</v>
      </c>
      <c r="L2429">
        <v>0</v>
      </c>
      <c r="M2429">
        <v>0</v>
      </c>
      <c r="N2429">
        <v>2750</v>
      </c>
    </row>
    <row r="2430" spans="1:14" x14ac:dyDescent="0.25">
      <c r="A2430">
        <v>1640.9404790000001</v>
      </c>
      <c r="B2430" s="1">
        <f>DATE(2014,10,27) + TIME(22,34,17)</f>
        <v>41939.940474537034</v>
      </c>
      <c r="C2430">
        <v>80</v>
      </c>
      <c r="D2430">
        <v>79.973335266000007</v>
      </c>
      <c r="E2430">
        <v>50</v>
      </c>
      <c r="F2430">
        <v>56.177501677999999</v>
      </c>
      <c r="G2430">
        <v>1344.5061035000001</v>
      </c>
      <c r="H2430">
        <v>1340.9538574000001</v>
      </c>
      <c r="I2430">
        <v>1320.0722656</v>
      </c>
      <c r="J2430">
        <v>1314.9112548999999</v>
      </c>
      <c r="K2430">
        <v>2750</v>
      </c>
      <c r="L2430">
        <v>0</v>
      </c>
      <c r="M2430">
        <v>0</v>
      </c>
      <c r="N2430">
        <v>2750</v>
      </c>
    </row>
    <row r="2431" spans="1:14" x14ac:dyDescent="0.25">
      <c r="A2431">
        <v>1644.2850960000001</v>
      </c>
      <c r="B2431" s="1">
        <f>DATE(2014,10,31) + TIME(6,50,32)</f>
        <v>41943.285092592596</v>
      </c>
      <c r="C2431">
        <v>80</v>
      </c>
      <c r="D2431">
        <v>79.973342896000005</v>
      </c>
      <c r="E2431">
        <v>50</v>
      </c>
      <c r="F2431">
        <v>56.622261047000002</v>
      </c>
      <c r="G2431">
        <v>1344.4912108999999</v>
      </c>
      <c r="H2431">
        <v>1340.9431152</v>
      </c>
      <c r="I2431">
        <v>1320.0712891000001</v>
      </c>
      <c r="J2431">
        <v>1314.9116211</v>
      </c>
      <c r="K2431">
        <v>2750</v>
      </c>
      <c r="L2431">
        <v>0</v>
      </c>
      <c r="M2431">
        <v>0</v>
      </c>
      <c r="N2431">
        <v>2750</v>
      </c>
    </row>
    <row r="2432" spans="1:14" x14ac:dyDescent="0.25">
      <c r="A2432">
        <v>1645</v>
      </c>
      <c r="B2432" s="1">
        <f>DATE(2014,11,1) + TIME(0,0,0)</f>
        <v>41944</v>
      </c>
      <c r="C2432">
        <v>80</v>
      </c>
      <c r="D2432">
        <v>79.973327636999997</v>
      </c>
      <c r="E2432">
        <v>50</v>
      </c>
      <c r="F2432">
        <v>56.908103943</v>
      </c>
      <c r="G2432">
        <v>1344.4763184000001</v>
      </c>
      <c r="H2432">
        <v>1340.9323730000001</v>
      </c>
      <c r="I2432">
        <v>1320.0789795000001</v>
      </c>
      <c r="J2432">
        <v>1314.9151611</v>
      </c>
      <c r="K2432">
        <v>2750</v>
      </c>
      <c r="L2432">
        <v>0</v>
      </c>
      <c r="M2432">
        <v>0</v>
      </c>
      <c r="N2432">
        <v>2750</v>
      </c>
    </row>
    <row r="2433" spans="1:14" x14ac:dyDescent="0.25">
      <c r="A2433">
        <v>1645.0000010000001</v>
      </c>
      <c r="B2433" s="1">
        <f>DATE(2014,11,1) + TIME(0,0,0)</f>
        <v>41944</v>
      </c>
      <c r="C2433">
        <v>80</v>
      </c>
      <c r="D2433">
        <v>79.973213196000003</v>
      </c>
      <c r="E2433">
        <v>50</v>
      </c>
      <c r="F2433">
        <v>56.908233643000003</v>
      </c>
      <c r="G2433">
        <v>1340.1188964999999</v>
      </c>
      <c r="H2433">
        <v>1337.8608397999999</v>
      </c>
      <c r="I2433">
        <v>1326.2443848</v>
      </c>
      <c r="J2433">
        <v>1321.1895752</v>
      </c>
      <c r="K2433">
        <v>0</v>
      </c>
      <c r="L2433">
        <v>2750</v>
      </c>
      <c r="M2433">
        <v>2750</v>
      </c>
      <c r="N2433">
        <v>0</v>
      </c>
    </row>
    <row r="2434" spans="1:14" x14ac:dyDescent="0.25">
      <c r="A2434">
        <v>1645.000004</v>
      </c>
      <c r="B2434" s="1">
        <f>DATE(2014,11,1) + TIME(0,0,0)</f>
        <v>41944</v>
      </c>
      <c r="C2434">
        <v>80</v>
      </c>
      <c r="D2434">
        <v>79.973014832000004</v>
      </c>
      <c r="E2434">
        <v>50</v>
      </c>
      <c r="F2434">
        <v>56.908470154</v>
      </c>
      <c r="G2434">
        <v>1338.7282714999999</v>
      </c>
      <c r="H2434">
        <v>1336.4702147999999</v>
      </c>
      <c r="I2434">
        <v>1328.0968018000001</v>
      </c>
      <c r="J2434">
        <v>1323.2507324000001</v>
      </c>
      <c r="K2434">
        <v>0</v>
      </c>
      <c r="L2434">
        <v>2750</v>
      </c>
      <c r="M2434">
        <v>2750</v>
      </c>
      <c r="N2434">
        <v>0</v>
      </c>
    </row>
    <row r="2435" spans="1:14" x14ac:dyDescent="0.25">
      <c r="A2435">
        <v>1645.0000130000001</v>
      </c>
      <c r="B2435" s="1">
        <f>DATE(2014,11,1) + TIME(0,0,1)</f>
        <v>41944.000011574077</v>
      </c>
      <c r="C2435">
        <v>80</v>
      </c>
      <c r="D2435">
        <v>79.972770690999994</v>
      </c>
      <c r="E2435">
        <v>50</v>
      </c>
      <c r="F2435">
        <v>56.908721923999998</v>
      </c>
      <c r="G2435">
        <v>1337.0267334</v>
      </c>
      <c r="H2435">
        <v>1334.7684326000001</v>
      </c>
      <c r="I2435">
        <v>1330.8120117000001</v>
      </c>
      <c r="J2435">
        <v>1326.0129394999999</v>
      </c>
      <c r="K2435">
        <v>0</v>
      </c>
      <c r="L2435">
        <v>2750</v>
      </c>
      <c r="M2435">
        <v>2750</v>
      </c>
      <c r="N2435">
        <v>0</v>
      </c>
    </row>
    <row r="2436" spans="1:14" x14ac:dyDescent="0.25">
      <c r="A2436">
        <v>1645.0000399999999</v>
      </c>
      <c r="B2436" s="1">
        <f>DATE(2014,11,1) + TIME(0,0,3)</f>
        <v>41944.000034722223</v>
      </c>
      <c r="C2436">
        <v>80</v>
      </c>
      <c r="D2436">
        <v>79.972526549999998</v>
      </c>
      <c r="E2436">
        <v>50</v>
      </c>
      <c r="F2436">
        <v>56.908794403000002</v>
      </c>
      <c r="G2436">
        <v>1335.3084716999999</v>
      </c>
      <c r="H2436">
        <v>1333.0439452999999</v>
      </c>
      <c r="I2436">
        <v>1333.8497314000001</v>
      </c>
      <c r="J2436">
        <v>1328.9940185999999</v>
      </c>
      <c r="K2436">
        <v>0</v>
      </c>
      <c r="L2436">
        <v>2750</v>
      </c>
      <c r="M2436">
        <v>2750</v>
      </c>
      <c r="N2436">
        <v>0</v>
      </c>
    </row>
    <row r="2437" spans="1:14" x14ac:dyDescent="0.25">
      <c r="A2437">
        <v>1645.000121</v>
      </c>
      <c r="B2437" s="1">
        <f>DATE(2014,11,1) + TIME(0,0,10)</f>
        <v>41944.000115740739</v>
      </c>
      <c r="C2437">
        <v>80</v>
      </c>
      <c r="D2437">
        <v>79.972274780000006</v>
      </c>
      <c r="E2437">
        <v>50</v>
      </c>
      <c r="F2437">
        <v>56.908214569000002</v>
      </c>
      <c r="G2437">
        <v>1333.5949707</v>
      </c>
      <c r="H2437">
        <v>1331.3007812000001</v>
      </c>
      <c r="I2437">
        <v>1336.9029541</v>
      </c>
      <c r="J2437">
        <v>1331.9862060999999</v>
      </c>
      <c r="K2437">
        <v>0</v>
      </c>
      <c r="L2437">
        <v>2750</v>
      </c>
      <c r="M2437">
        <v>2750</v>
      </c>
      <c r="N2437">
        <v>0</v>
      </c>
    </row>
    <row r="2438" spans="1:14" x14ac:dyDescent="0.25">
      <c r="A2438">
        <v>1645.000364</v>
      </c>
      <c r="B2438" s="1">
        <f>DATE(2014,11,1) + TIME(0,0,31)</f>
        <v>41944.000358796293</v>
      </c>
      <c r="C2438">
        <v>80</v>
      </c>
      <c r="D2438">
        <v>79.971984863000003</v>
      </c>
      <c r="E2438">
        <v>50</v>
      </c>
      <c r="F2438">
        <v>56.905658721999998</v>
      </c>
      <c r="G2438">
        <v>1331.7996826000001</v>
      </c>
      <c r="H2438">
        <v>1329.432251</v>
      </c>
      <c r="I2438">
        <v>1339.9562988</v>
      </c>
      <c r="J2438">
        <v>1334.9660644999999</v>
      </c>
      <c r="K2438">
        <v>0</v>
      </c>
      <c r="L2438">
        <v>2750</v>
      </c>
      <c r="M2438">
        <v>2750</v>
      </c>
      <c r="N2438">
        <v>0</v>
      </c>
    </row>
    <row r="2439" spans="1:14" x14ac:dyDescent="0.25">
      <c r="A2439">
        <v>1645.0010930000001</v>
      </c>
      <c r="B2439" s="1">
        <f>DATE(2014,11,1) + TIME(0,1,34)</f>
        <v>41944.001087962963</v>
      </c>
      <c r="C2439">
        <v>80</v>
      </c>
      <c r="D2439">
        <v>79.971611022999994</v>
      </c>
      <c r="E2439">
        <v>50</v>
      </c>
      <c r="F2439">
        <v>56.897045134999999</v>
      </c>
      <c r="G2439">
        <v>1329.9064940999999</v>
      </c>
      <c r="H2439">
        <v>1327.4368896000001</v>
      </c>
      <c r="I2439">
        <v>1342.9366454999999</v>
      </c>
      <c r="J2439">
        <v>1337.8463135</v>
      </c>
      <c r="K2439">
        <v>0</v>
      </c>
      <c r="L2439">
        <v>2750</v>
      </c>
      <c r="M2439">
        <v>2750</v>
      </c>
      <c r="N2439">
        <v>0</v>
      </c>
    </row>
    <row r="2440" spans="1:14" x14ac:dyDescent="0.25">
      <c r="A2440">
        <v>1645.0032799999999</v>
      </c>
      <c r="B2440" s="1">
        <f>DATE(2014,11,1) + TIME(0,4,43)</f>
        <v>41944.003275462965</v>
      </c>
      <c r="C2440">
        <v>80</v>
      </c>
      <c r="D2440">
        <v>79.971061707000004</v>
      </c>
      <c r="E2440">
        <v>50</v>
      </c>
      <c r="F2440">
        <v>56.869987488</v>
      </c>
      <c r="G2440">
        <v>1328.208374</v>
      </c>
      <c r="H2440">
        <v>1325.6601562000001</v>
      </c>
      <c r="I2440">
        <v>1345.4509277</v>
      </c>
      <c r="J2440">
        <v>1340.2614745999999</v>
      </c>
      <c r="K2440">
        <v>0</v>
      </c>
      <c r="L2440">
        <v>2750</v>
      </c>
      <c r="M2440">
        <v>2750</v>
      </c>
      <c r="N2440">
        <v>0</v>
      </c>
    </row>
    <row r="2441" spans="1:14" x14ac:dyDescent="0.25">
      <c r="A2441">
        <v>1645.0098410000001</v>
      </c>
      <c r="B2441" s="1">
        <f>DATE(2014,11,1) + TIME(0,14,10)</f>
        <v>41944.009837962964</v>
      </c>
      <c r="C2441">
        <v>80</v>
      </c>
      <c r="D2441">
        <v>79.969985961999996</v>
      </c>
      <c r="E2441">
        <v>50</v>
      </c>
      <c r="F2441">
        <v>56.788280487000002</v>
      </c>
      <c r="G2441">
        <v>1327.1805420000001</v>
      </c>
      <c r="H2441">
        <v>1324.5996094</v>
      </c>
      <c r="I2441">
        <v>1346.9392089999999</v>
      </c>
      <c r="J2441">
        <v>1341.6943358999999</v>
      </c>
      <c r="K2441">
        <v>0</v>
      </c>
      <c r="L2441">
        <v>2750</v>
      </c>
      <c r="M2441">
        <v>2750</v>
      </c>
      <c r="N2441">
        <v>0</v>
      </c>
    </row>
    <row r="2442" spans="1:14" x14ac:dyDescent="0.25">
      <c r="A2442">
        <v>1645.029524</v>
      </c>
      <c r="B2442" s="1">
        <f>DATE(2014,11,1) + TIME(0,42,30)</f>
        <v>41944.029513888891</v>
      </c>
      <c r="C2442">
        <v>80</v>
      </c>
      <c r="D2442">
        <v>79.967178344999994</v>
      </c>
      <c r="E2442">
        <v>50</v>
      </c>
      <c r="F2442">
        <v>56.551486969000003</v>
      </c>
      <c r="G2442">
        <v>1326.8657227000001</v>
      </c>
      <c r="H2442">
        <v>1324.2774658000001</v>
      </c>
      <c r="I2442">
        <v>1347.3857422000001</v>
      </c>
      <c r="J2442">
        <v>1342.1275635</v>
      </c>
      <c r="K2442">
        <v>0</v>
      </c>
      <c r="L2442">
        <v>2750</v>
      </c>
      <c r="M2442">
        <v>2750</v>
      </c>
      <c r="N2442">
        <v>0</v>
      </c>
    </row>
    <row r="2443" spans="1:14" x14ac:dyDescent="0.25">
      <c r="A2443">
        <v>1645.0710779999999</v>
      </c>
      <c r="B2443" s="1">
        <f>DATE(2014,11,1) + TIME(1,42,21)</f>
        <v>41944.071076388886</v>
      </c>
      <c r="C2443">
        <v>80</v>
      </c>
      <c r="D2443">
        <v>79.961547851999995</v>
      </c>
      <c r="E2443">
        <v>50</v>
      </c>
      <c r="F2443">
        <v>56.090332031000003</v>
      </c>
      <c r="G2443">
        <v>1326.8284911999999</v>
      </c>
      <c r="H2443">
        <v>1324.2393798999999</v>
      </c>
      <c r="I2443">
        <v>1347.3985596</v>
      </c>
      <c r="J2443">
        <v>1342.1442870999999</v>
      </c>
      <c r="K2443">
        <v>0</v>
      </c>
      <c r="L2443">
        <v>2750</v>
      </c>
      <c r="M2443">
        <v>2750</v>
      </c>
      <c r="N2443">
        <v>0</v>
      </c>
    </row>
    <row r="2444" spans="1:14" x14ac:dyDescent="0.25">
      <c r="A2444">
        <v>1645.113832</v>
      </c>
      <c r="B2444" s="1">
        <f>DATE(2014,11,1) + TIME(2,43,55)</f>
        <v>41944.11383101852</v>
      </c>
      <c r="C2444">
        <v>80</v>
      </c>
      <c r="D2444">
        <v>79.955841063999998</v>
      </c>
      <c r="E2444">
        <v>50</v>
      </c>
      <c r="F2444">
        <v>55.653415680000002</v>
      </c>
      <c r="G2444">
        <v>1326.8256836</v>
      </c>
      <c r="H2444">
        <v>1324.2363281</v>
      </c>
      <c r="I2444">
        <v>1347.3585204999999</v>
      </c>
      <c r="J2444">
        <v>1342.1099853999999</v>
      </c>
      <c r="K2444">
        <v>0</v>
      </c>
      <c r="L2444">
        <v>2750</v>
      </c>
      <c r="M2444">
        <v>2750</v>
      </c>
      <c r="N2444">
        <v>0</v>
      </c>
    </row>
    <row r="2445" spans="1:14" x14ac:dyDescent="0.25">
      <c r="A2445">
        <v>1645.1579320000001</v>
      </c>
      <c r="B2445" s="1">
        <f>DATE(2014,11,1) + TIME(3,47,25)</f>
        <v>41944.15792824074</v>
      </c>
      <c r="C2445">
        <v>80</v>
      </c>
      <c r="D2445">
        <v>79.950050353999998</v>
      </c>
      <c r="E2445">
        <v>50</v>
      </c>
      <c r="F2445">
        <v>55.239017486999998</v>
      </c>
      <c r="G2445">
        <v>1326.824707</v>
      </c>
      <c r="H2445">
        <v>1324.2352295000001</v>
      </c>
      <c r="I2445">
        <v>1347.3164062000001</v>
      </c>
      <c r="J2445">
        <v>1342.0737305</v>
      </c>
      <c r="K2445">
        <v>0</v>
      </c>
      <c r="L2445">
        <v>2750</v>
      </c>
      <c r="M2445">
        <v>2750</v>
      </c>
      <c r="N2445">
        <v>0</v>
      </c>
    </row>
    <row r="2446" spans="1:14" x14ac:dyDescent="0.25">
      <c r="A2446">
        <v>1645.203473</v>
      </c>
      <c r="B2446" s="1">
        <f>DATE(2014,11,1) + TIME(4,53,0)</f>
        <v>41944.203472222223</v>
      </c>
      <c r="C2446">
        <v>80</v>
      </c>
      <c r="D2446">
        <v>79.944160460999996</v>
      </c>
      <c r="E2446">
        <v>50</v>
      </c>
      <c r="F2446">
        <v>54.846092224000003</v>
      </c>
      <c r="G2446">
        <v>1326.8237305</v>
      </c>
      <c r="H2446">
        <v>1324.2341309000001</v>
      </c>
      <c r="I2446">
        <v>1347.2753906</v>
      </c>
      <c r="J2446">
        <v>1342.0388184000001</v>
      </c>
      <c r="K2446">
        <v>0</v>
      </c>
      <c r="L2446">
        <v>2750</v>
      </c>
      <c r="M2446">
        <v>2750</v>
      </c>
      <c r="N2446">
        <v>0</v>
      </c>
    </row>
    <row r="2447" spans="1:14" x14ac:dyDescent="0.25">
      <c r="A2447">
        <v>1645.2506209999999</v>
      </c>
      <c r="B2447" s="1">
        <f>DATE(2014,11,1) + TIME(6,0,53)</f>
        <v>41944.250613425924</v>
      </c>
      <c r="C2447">
        <v>80</v>
      </c>
      <c r="D2447">
        <v>79.938156128000003</v>
      </c>
      <c r="E2447">
        <v>50</v>
      </c>
      <c r="F2447">
        <v>54.473262787000003</v>
      </c>
      <c r="G2447">
        <v>1326.8227539</v>
      </c>
      <c r="H2447">
        <v>1324.2330322</v>
      </c>
      <c r="I2447">
        <v>1347.2359618999999</v>
      </c>
      <c r="J2447">
        <v>1342.005249</v>
      </c>
      <c r="K2447">
        <v>0</v>
      </c>
      <c r="L2447">
        <v>2750</v>
      </c>
      <c r="M2447">
        <v>2750</v>
      </c>
      <c r="N2447">
        <v>0</v>
      </c>
    </row>
    <row r="2448" spans="1:14" x14ac:dyDescent="0.25">
      <c r="A2448">
        <v>1645.299532</v>
      </c>
      <c r="B2448" s="1">
        <f>DATE(2014,11,1) + TIME(7,11,19)</f>
        <v>41944.299525462964</v>
      </c>
      <c r="C2448">
        <v>80</v>
      </c>
      <c r="D2448">
        <v>79.932022094999994</v>
      </c>
      <c r="E2448">
        <v>50</v>
      </c>
      <c r="F2448">
        <v>54.119499206999997</v>
      </c>
      <c r="G2448">
        <v>1326.8217772999999</v>
      </c>
      <c r="H2448">
        <v>1324.2319336</v>
      </c>
      <c r="I2448">
        <v>1347.197876</v>
      </c>
      <c r="J2448">
        <v>1341.9731445</v>
      </c>
      <c r="K2448">
        <v>0</v>
      </c>
      <c r="L2448">
        <v>2750</v>
      </c>
      <c r="M2448">
        <v>2750</v>
      </c>
      <c r="N2448">
        <v>0</v>
      </c>
    </row>
    <row r="2449" spans="1:14" x14ac:dyDescent="0.25">
      <c r="A2449">
        <v>1645.350381</v>
      </c>
      <c r="B2449" s="1">
        <f>DATE(2014,11,1) + TIME(8,24,32)</f>
        <v>41944.350370370368</v>
      </c>
      <c r="C2449">
        <v>80</v>
      </c>
      <c r="D2449">
        <v>79.925750731999997</v>
      </c>
      <c r="E2449">
        <v>50</v>
      </c>
      <c r="F2449">
        <v>53.783874511999997</v>
      </c>
      <c r="G2449">
        <v>1326.8208007999999</v>
      </c>
      <c r="H2449">
        <v>1324.2307129000001</v>
      </c>
      <c r="I2449">
        <v>1347.1611327999999</v>
      </c>
      <c r="J2449">
        <v>1341.9423827999999</v>
      </c>
      <c r="K2449">
        <v>0</v>
      </c>
      <c r="L2449">
        <v>2750</v>
      </c>
      <c r="M2449">
        <v>2750</v>
      </c>
      <c r="N2449">
        <v>0</v>
      </c>
    </row>
    <row r="2450" spans="1:14" x14ac:dyDescent="0.25">
      <c r="A2450">
        <v>1645.403368</v>
      </c>
      <c r="B2450" s="1">
        <f>DATE(2014,11,1) + TIME(9,40,51)</f>
        <v>41944.403368055559</v>
      </c>
      <c r="C2450">
        <v>80</v>
      </c>
      <c r="D2450">
        <v>79.919319153000004</v>
      </c>
      <c r="E2450">
        <v>50</v>
      </c>
      <c r="F2450">
        <v>53.465553284000002</v>
      </c>
      <c r="G2450">
        <v>1326.8197021000001</v>
      </c>
      <c r="H2450">
        <v>1324.2294922000001</v>
      </c>
      <c r="I2450">
        <v>1347.1256103999999</v>
      </c>
      <c r="J2450">
        <v>1341.9128418</v>
      </c>
      <c r="K2450">
        <v>0</v>
      </c>
      <c r="L2450">
        <v>2750</v>
      </c>
      <c r="M2450">
        <v>2750</v>
      </c>
      <c r="N2450">
        <v>0</v>
      </c>
    </row>
    <row r="2451" spans="1:14" x14ac:dyDescent="0.25">
      <c r="A2451">
        <v>1645.458707</v>
      </c>
      <c r="B2451" s="1">
        <f>DATE(2014,11,1) + TIME(11,0,32)</f>
        <v>41944.458703703705</v>
      </c>
      <c r="C2451">
        <v>80</v>
      </c>
      <c r="D2451">
        <v>79.912704468000001</v>
      </c>
      <c r="E2451">
        <v>50</v>
      </c>
      <c r="F2451">
        <v>53.163845062</v>
      </c>
      <c r="G2451">
        <v>1326.8186035000001</v>
      </c>
      <c r="H2451">
        <v>1324.2281493999999</v>
      </c>
      <c r="I2451">
        <v>1347.0911865</v>
      </c>
      <c r="J2451">
        <v>1341.8845214999999</v>
      </c>
      <c r="K2451">
        <v>0</v>
      </c>
      <c r="L2451">
        <v>2750</v>
      </c>
      <c r="M2451">
        <v>2750</v>
      </c>
      <c r="N2451">
        <v>0</v>
      </c>
    </row>
    <row r="2452" spans="1:14" x14ac:dyDescent="0.25">
      <c r="A2452">
        <v>1645.516666</v>
      </c>
      <c r="B2452" s="1">
        <f>DATE(2014,11,1) + TIME(12,23,59)</f>
        <v>41944.516655092593</v>
      </c>
      <c r="C2452">
        <v>80</v>
      </c>
      <c r="D2452">
        <v>79.905891417999996</v>
      </c>
      <c r="E2452">
        <v>50</v>
      </c>
      <c r="F2452">
        <v>52.878017426</v>
      </c>
      <c r="G2452">
        <v>1326.8173827999999</v>
      </c>
      <c r="H2452">
        <v>1324.2268065999999</v>
      </c>
      <c r="I2452">
        <v>1347.0579834</v>
      </c>
      <c r="J2452">
        <v>1341.8574219</v>
      </c>
      <c r="K2452">
        <v>0</v>
      </c>
      <c r="L2452">
        <v>2750</v>
      </c>
      <c r="M2452">
        <v>2750</v>
      </c>
      <c r="N2452">
        <v>0</v>
      </c>
    </row>
    <row r="2453" spans="1:14" x14ac:dyDescent="0.25">
      <c r="A2453">
        <v>1645.5775470000001</v>
      </c>
      <c r="B2453" s="1">
        <f>DATE(2014,11,1) + TIME(13,51,40)</f>
        <v>41944.577546296299</v>
      </c>
      <c r="C2453">
        <v>80</v>
      </c>
      <c r="D2453">
        <v>79.898849487000007</v>
      </c>
      <c r="E2453">
        <v>50</v>
      </c>
      <c r="F2453">
        <v>52.607471466</v>
      </c>
      <c r="G2453">
        <v>1326.8161620999999</v>
      </c>
      <c r="H2453">
        <v>1324.2253418</v>
      </c>
      <c r="I2453">
        <v>1347.0258789</v>
      </c>
      <c r="J2453">
        <v>1341.8314209</v>
      </c>
      <c r="K2453">
        <v>0</v>
      </c>
      <c r="L2453">
        <v>2750</v>
      </c>
      <c r="M2453">
        <v>2750</v>
      </c>
      <c r="N2453">
        <v>0</v>
      </c>
    </row>
    <row r="2454" spans="1:14" x14ac:dyDescent="0.25">
      <c r="A2454">
        <v>1645.6416979999999</v>
      </c>
      <c r="B2454" s="1">
        <f>DATE(2014,11,1) + TIME(15,24,2)</f>
        <v>41944.641689814816</v>
      </c>
      <c r="C2454">
        <v>80</v>
      </c>
      <c r="D2454">
        <v>79.891548157000003</v>
      </c>
      <c r="E2454">
        <v>50</v>
      </c>
      <c r="F2454">
        <v>52.351665496999999</v>
      </c>
      <c r="G2454">
        <v>1326.8148193</v>
      </c>
      <c r="H2454">
        <v>1324.2237548999999</v>
      </c>
      <c r="I2454">
        <v>1346.9948730000001</v>
      </c>
      <c r="J2454">
        <v>1341.8063964999999</v>
      </c>
      <c r="K2454">
        <v>0</v>
      </c>
      <c r="L2454">
        <v>2750</v>
      </c>
      <c r="M2454">
        <v>2750</v>
      </c>
      <c r="N2454">
        <v>0</v>
      </c>
    </row>
    <row r="2455" spans="1:14" x14ac:dyDescent="0.25">
      <c r="A2455">
        <v>1645.709529</v>
      </c>
      <c r="B2455" s="1">
        <f>DATE(2014,11,1) + TIME(17,1,43)</f>
        <v>41944.70952546296</v>
      </c>
      <c r="C2455">
        <v>80</v>
      </c>
      <c r="D2455">
        <v>79.883964539000004</v>
      </c>
      <c r="E2455">
        <v>50</v>
      </c>
      <c r="F2455">
        <v>52.110130310000002</v>
      </c>
      <c r="G2455">
        <v>1326.8134766000001</v>
      </c>
      <c r="H2455">
        <v>1324.2220459</v>
      </c>
      <c r="I2455">
        <v>1346.9647216999999</v>
      </c>
      <c r="J2455">
        <v>1341.7824707</v>
      </c>
      <c r="K2455">
        <v>0</v>
      </c>
      <c r="L2455">
        <v>2750</v>
      </c>
      <c r="M2455">
        <v>2750</v>
      </c>
      <c r="N2455">
        <v>0</v>
      </c>
    </row>
    <row r="2456" spans="1:14" x14ac:dyDescent="0.25">
      <c r="A2456">
        <v>1645.781524</v>
      </c>
      <c r="B2456" s="1">
        <f>DATE(2014,11,1) + TIME(18,45,23)</f>
        <v>41944.7815162037</v>
      </c>
      <c r="C2456">
        <v>80</v>
      </c>
      <c r="D2456">
        <v>79.876052856000001</v>
      </c>
      <c r="E2456">
        <v>50</v>
      </c>
      <c r="F2456">
        <v>51.882453918000003</v>
      </c>
      <c r="G2456">
        <v>1326.8118896000001</v>
      </c>
      <c r="H2456">
        <v>1324.2202147999999</v>
      </c>
      <c r="I2456">
        <v>1346.9354248</v>
      </c>
      <c r="J2456">
        <v>1341.7595214999999</v>
      </c>
      <c r="K2456">
        <v>0</v>
      </c>
      <c r="L2456">
        <v>2750</v>
      </c>
      <c r="M2456">
        <v>2750</v>
      </c>
      <c r="N2456">
        <v>0</v>
      </c>
    </row>
    <row r="2457" spans="1:14" x14ac:dyDescent="0.25">
      <c r="A2457">
        <v>1645.858266</v>
      </c>
      <c r="B2457" s="1">
        <f>DATE(2014,11,1) + TIME(20,35,54)</f>
        <v>41944.858263888891</v>
      </c>
      <c r="C2457">
        <v>80</v>
      </c>
      <c r="D2457">
        <v>79.867759704999997</v>
      </c>
      <c r="E2457">
        <v>50</v>
      </c>
      <c r="F2457">
        <v>51.668281555</v>
      </c>
      <c r="G2457">
        <v>1326.8103027</v>
      </c>
      <c r="H2457">
        <v>1324.2183838000001</v>
      </c>
      <c r="I2457">
        <v>1346.9069824000001</v>
      </c>
      <c r="J2457">
        <v>1341.7374268000001</v>
      </c>
      <c r="K2457">
        <v>0</v>
      </c>
      <c r="L2457">
        <v>2750</v>
      </c>
      <c r="M2457">
        <v>2750</v>
      </c>
      <c r="N2457">
        <v>0</v>
      </c>
    </row>
    <row r="2458" spans="1:14" x14ac:dyDescent="0.25">
      <c r="A2458">
        <v>1645.940454</v>
      </c>
      <c r="B2458" s="1">
        <f>DATE(2014,11,1) + TIME(22,34,15)</f>
        <v>41944.940451388888</v>
      </c>
      <c r="C2458">
        <v>80</v>
      </c>
      <c r="D2458">
        <v>79.859039307000003</v>
      </c>
      <c r="E2458">
        <v>50</v>
      </c>
      <c r="F2458">
        <v>51.467308043999999</v>
      </c>
      <c r="G2458">
        <v>1326.8085937999999</v>
      </c>
      <c r="H2458">
        <v>1324.2163086</v>
      </c>
      <c r="I2458">
        <v>1346.8793945</v>
      </c>
      <c r="J2458">
        <v>1341.7161865</v>
      </c>
      <c r="K2458">
        <v>0</v>
      </c>
      <c r="L2458">
        <v>2750</v>
      </c>
      <c r="M2458">
        <v>2750</v>
      </c>
      <c r="N2458">
        <v>0</v>
      </c>
    </row>
    <row r="2459" spans="1:14" x14ac:dyDescent="0.25">
      <c r="A2459">
        <v>1646.028951</v>
      </c>
      <c r="B2459" s="1">
        <f>DATE(2014,11,2) + TIME(0,41,41)</f>
        <v>41945.028946759259</v>
      </c>
      <c r="C2459">
        <v>80</v>
      </c>
      <c r="D2459">
        <v>79.849822997999993</v>
      </c>
      <c r="E2459">
        <v>50</v>
      </c>
      <c r="F2459">
        <v>51.279285430999998</v>
      </c>
      <c r="G2459">
        <v>1326.8067627</v>
      </c>
      <c r="H2459">
        <v>1324.2141113</v>
      </c>
      <c r="I2459">
        <v>1346.8524170000001</v>
      </c>
      <c r="J2459">
        <v>1341.6958007999999</v>
      </c>
      <c r="K2459">
        <v>0</v>
      </c>
      <c r="L2459">
        <v>2750</v>
      </c>
      <c r="M2459">
        <v>2750</v>
      </c>
      <c r="N2459">
        <v>0</v>
      </c>
    </row>
    <row r="2460" spans="1:14" x14ac:dyDescent="0.25">
      <c r="A2460">
        <v>1646.1248250000001</v>
      </c>
      <c r="B2460" s="1">
        <f>DATE(2014,11,2) + TIME(2,59,44)</f>
        <v>41945.124814814815</v>
      </c>
      <c r="C2460">
        <v>80</v>
      </c>
      <c r="D2460">
        <v>79.840026855000005</v>
      </c>
      <c r="E2460">
        <v>50</v>
      </c>
      <c r="F2460">
        <v>51.104022980000003</v>
      </c>
      <c r="G2460">
        <v>1326.8048096</v>
      </c>
      <c r="H2460">
        <v>1324.2116699000001</v>
      </c>
      <c r="I2460">
        <v>1346.8260498</v>
      </c>
      <c r="J2460">
        <v>1341.6762695</v>
      </c>
      <c r="K2460">
        <v>0</v>
      </c>
      <c r="L2460">
        <v>2750</v>
      </c>
      <c r="M2460">
        <v>2750</v>
      </c>
      <c r="N2460">
        <v>0</v>
      </c>
    </row>
    <row r="2461" spans="1:14" x14ac:dyDescent="0.25">
      <c r="A2461">
        <v>1646.2294199999999</v>
      </c>
      <c r="B2461" s="1">
        <f>DATE(2014,11,2) + TIME(5,30,21)</f>
        <v>41945.229409722226</v>
      </c>
      <c r="C2461">
        <v>80</v>
      </c>
      <c r="D2461">
        <v>79.829551696999999</v>
      </c>
      <c r="E2461">
        <v>50</v>
      </c>
      <c r="F2461">
        <v>50.941375731999997</v>
      </c>
      <c r="G2461">
        <v>1326.8026123</v>
      </c>
      <c r="H2461">
        <v>1324.2088623</v>
      </c>
      <c r="I2461">
        <v>1346.800293</v>
      </c>
      <c r="J2461">
        <v>1341.6574707</v>
      </c>
      <c r="K2461">
        <v>0</v>
      </c>
      <c r="L2461">
        <v>2750</v>
      </c>
      <c r="M2461">
        <v>2750</v>
      </c>
      <c r="N2461">
        <v>0</v>
      </c>
    </row>
    <row r="2462" spans="1:14" x14ac:dyDescent="0.25">
      <c r="A2462">
        <v>1646.344458</v>
      </c>
      <c r="B2462" s="1">
        <f>DATE(2014,11,2) + TIME(8,16,1)</f>
        <v>41945.344456018516</v>
      </c>
      <c r="C2462">
        <v>80</v>
      </c>
      <c r="D2462">
        <v>79.818267821999996</v>
      </c>
      <c r="E2462">
        <v>50</v>
      </c>
      <c r="F2462">
        <v>50.791275024000001</v>
      </c>
      <c r="G2462">
        <v>1326.8001709</v>
      </c>
      <c r="H2462">
        <v>1324.2059326000001</v>
      </c>
      <c r="I2462">
        <v>1346.7749022999999</v>
      </c>
      <c r="J2462">
        <v>1341.6392822</v>
      </c>
      <c r="K2462">
        <v>0</v>
      </c>
      <c r="L2462">
        <v>2750</v>
      </c>
      <c r="M2462">
        <v>2750</v>
      </c>
      <c r="N2462">
        <v>0</v>
      </c>
    </row>
    <row r="2463" spans="1:14" x14ac:dyDescent="0.25">
      <c r="A2463">
        <v>1646.472237</v>
      </c>
      <c r="B2463" s="1">
        <f>DATE(2014,11,2) + TIME(11,20,1)</f>
        <v>41945.472233796296</v>
      </c>
      <c r="C2463">
        <v>80</v>
      </c>
      <c r="D2463">
        <v>79.806007385000001</v>
      </c>
      <c r="E2463">
        <v>50</v>
      </c>
      <c r="F2463">
        <v>50.653652190999999</v>
      </c>
      <c r="G2463">
        <v>1326.7974853999999</v>
      </c>
      <c r="H2463">
        <v>1324.2025146000001</v>
      </c>
      <c r="I2463">
        <v>1346.75</v>
      </c>
      <c r="J2463">
        <v>1341.6217041</v>
      </c>
      <c r="K2463">
        <v>0</v>
      </c>
      <c r="L2463">
        <v>2750</v>
      </c>
      <c r="M2463">
        <v>2750</v>
      </c>
      <c r="N2463">
        <v>0</v>
      </c>
    </row>
    <row r="2464" spans="1:14" x14ac:dyDescent="0.25">
      <c r="A2464">
        <v>1646.6158339999999</v>
      </c>
      <c r="B2464" s="1">
        <f>DATE(2014,11,2) + TIME(14,46,48)</f>
        <v>41945.615833333337</v>
      </c>
      <c r="C2464">
        <v>80</v>
      </c>
      <c r="D2464">
        <v>79.792556762999993</v>
      </c>
      <c r="E2464">
        <v>50</v>
      </c>
      <c r="F2464">
        <v>50.528530121000003</v>
      </c>
      <c r="G2464">
        <v>1326.7944336</v>
      </c>
      <c r="H2464">
        <v>1324.1987305</v>
      </c>
      <c r="I2464">
        <v>1346.7252197</v>
      </c>
      <c r="J2464">
        <v>1341.6047363</v>
      </c>
      <c r="K2464">
        <v>0</v>
      </c>
      <c r="L2464">
        <v>2750</v>
      </c>
      <c r="M2464">
        <v>2750</v>
      </c>
      <c r="N2464">
        <v>0</v>
      </c>
    </row>
    <row r="2465" spans="1:14" x14ac:dyDescent="0.25">
      <c r="A2465">
        <v>1646.779524</v>
      </c>
      <c r="B2465" s="1">
        <f>DATE(2014,11,2) + TIME(18,42,30)</f>
        <v>41945.779513888891</v>
      </c>
      <c r="C2465">
        <v>80</v>
      </c>
      <c r="D2465">
        <v>79.777618407999995</v>
      </c>
      <c r="E2465">
        <v>50</v>
      </c>
      <c r="F2465">
        <v>50.415977478000002</v>
      </c>
      <c r="G2465">
        <v>1326.7910156</v>
      </c>
      <c r="H2465">
        <v>1324.1944579999999</v>
      </c>
      <c r="I2465">
        <v>1346.7005615</v>
      </c>
      <c r="J2465">
        <v>1341.5883789</v>
      </c>
      <c r="K2465">
        <v>0</v>
      </c>
      <c r="L2465">
        <v>2750</v>
      </c>
      <c r="M2465">
        <v>2750</v>
      </c>
      <c r="N2465">
        <v>0</v>
      </c>
    </row>
    <row r="2466" spans="1:14" x14ac:dyDescent="0.25">
      <c r="A2466">
        <v>1646.948783</v>
      </c>
      <c r="B2466" s="1">
        <f>DATE(2014,11,2) + TIME(22,46,14)</f>
        <v>41945.948773148149</v>
      </c>
      <c r="C2466">
        <v>80</v>
      </c>
      <c r="D2466">
        <v>79.762290954999997</v>
      </c>
      <c r="E2466">
        <v>50</v>
      </c>
      <c r="F2466">
        <v>50.324684142999999</v>
      </c>
      <c r="G2466">
        <v>1326.7869873</v>
      </c>
      <c r="H2466">
        <v>1324.1893310999999</v>
      </c>
      <c r="I2466">
        <v>1346.6782227000001</v>
      </c>
      <c r="J2466">
        <v>1341.5739745999999</v>
      </c>
      <c r="K2466">
        <v>0</v>
      </c>
      <c r="L2466">
        <v>2750</v>
      </c>
      <c r="M2466">
        <v>2750</v>
      </c>
      <c r="N2466">
        <v>0</v>
      </c>
    </row>
    <row r="2467" spans="1:14" x14ac:dyDescent="0.25">
      <c r="A2467">
        <v>1647.1201000000001</v>
      </c>
      <c r="B2467" s="1">
        <f>DATE(2014,11,3) + TIME(2,52,56)</f>
        <v>41946.120092592595</v>
      </c>
      <c r="C2467">
        <v>80</v>
      </c>
      <c r="D2467">
        <v>79.746849060000002</v>
      </c>
      <c r="E2467">
        <v>50</v>
      </c>
      <c r="F2467">
        <v>50.252292633000003</v>
      </c>
      <c r="G2467">
        <v>1326.7827147999999</v>
      </c>
      <c r="H2467">
        <v>1324.184082</v>
      </c>
      <c r="I2467">
        <v>1346.6578368999999</v>
      </c>
      <c r="J2467">
        <v>1341.5614014</v>
      </c>
      <c r="K2467">
        <v>0</v>
      </c>
      <c r="L2467">
        <v>2750</v>
      </c>
      <c r="M2467">
        <v>2750</v>
      </c>
      <c r="N2467">
        <v>0</v>
      </c>
    </row>
    <row r="2468" spans="1:14" x14ac:dyDescent="0.25">
      <c r="A2468">
        <v>1647.2943849999999</v>
      </c>
      <c r="B2468" s="1">
        <f>DATE(2014,11,3) + TIME(7,3,54)</f>
        <v>41946.294374999998</v>
      </c>
      <c r="C2468">
        <v>80</v>
      </c>
      <c r="D2468">
        <v>79.731224060000002</v>
      </c>
      <c r="E2468">
        <v>50</v>
      </c>
      <c r="F2468">
        <v>50.194759369000003</v>
      </c>
      <c r="G2468">
        <v>1326.7784423999999</v>
      </c>
      <c r="H2468">
        <v>1324.1784668</v>
      </c>
      <c r="I2468">
        <v>1346.6392822</v>
      </c>
      <c r="J2468">
        <v>1341.5500488</v>
      </c>
      <c r="K2468">
        <v>0</v>
      </c>
      <c r="L2468">
        <v>2750</v>
      </c>
      <c r="M2468">
        <v>2750</v>
      </c>
      <c r="N2468">
        <v>0</v>
      </c>
    </row>
    <row r="2469" spans="1:14" x14ac:dyDescent="0.25">
      <c r="A2469">
        <v>1647.472751</v>
      </c>
      <c r="B2469" s="1">
        <f>DATE(2014,11,3) + TIME(11,20,45)</f>
        <v>41946.472743055558</v>
      </c>
      <c r="C2469">
        <v>80</v>
      </c>
      <c r="D2469">
        <v>79.715347289999997</v>
      </c>
      <c r="E2469">
        <v>50</v>
      </c>
      <c r="F2469">
        <v>50.148941039999997</v>
      </c>
      <c r="G2469">
        <v>1326.7738036999999</v>
      </c>
      <c r="H2469">
        <v>1324.1726074000001</v>
      </c>
      <c r="I2469">
        <v>1346.6220702999999</v>
      </c>
      <c r="J2469">
        <v>1341.5399170000001</v>
      </c>
      <c r="K2469">
        <v>0</v>
      </c>
      <c r="L2469">
        <v>2750</v>
      </c>
      <c r="M2469">
        <v>2750</v>
      </c>
      <c r="N2469">
        <v>0</v>
      </c>
    </row>
    <row r="2470" spans="1:14" x14ac:dyDescent="0.25">
      <c r="A2470">
        <v>1647.6562750000001</v>
      </c>
      <c r="B2470" s="1">
        <f>DATE(2014,11,3) + TIME(15,45,2)</f>
        <v>41946.656273148146</v>
      </c>
      <c r="C2470">
        <v>80</v>
      </c>
      <c r="D2470">
        <v>79.699142456000004</v>
      </c>
      <c r="E2470">
        <v>50</v>
      </c>
      <c r="F2470">
        <v>50.112457274999997</v>
      </c>
      <c r="G2470">
        <v>1326.769043</v>
      </c>
      <c r="H2470">
        <v>1324.1665039</v>
      </c>
      <c r="I2470">
        <v>1346.6058350000001</v>
      </c>
      <c r="J2470">
        <v>1341.5306396000001</v>
      </c>
      <c r="K2470">
        <v>0</v>
      </c>
      <c r="L2470">
        <v>2750</v>
      </c>
      <c r="M2470">
        <v>2750</v>
      </c>
      <c r="N2470">
        <v>0</v>
      </c>
    </row>
    <row r="2471" spans="1:14" x14ac:dyDescent="0.25">
      <c r="A2471">
        <v>1647.8460849999999</v>
      </c>
      <c r="B2471" s="1">
        <f>DATE(2014,11,3) + TIME(20,18,21)</f>
        <v>41946.846076388887</v>
      </c>
      <c r="C2471">
        <v>80</v>
      </c>
      <c r="D2471">
        <v>79.682533264</v>
      </c>
      <c r="E2471">
        <v>50</v>
      </c>
      <c r="F2471">
        <v>50.083446502999998</v>
      </c>
      <c r="G2471">
        <v>1326.7640381000001</v>
      </c>
      <c r="H2471">
        <v>1324.1600341999999</v>
      </c>
      <c r="I2471">
        <v>1346.5905762</v>
      </c>
      <c r="J2471">
        <v>1341.5219727000001</v>
      </c>
      <c r="K2471">
        <v>0</v>
      </c>
      <c r="L2471">
        <v>2750</v>
      </c>
      <c r="M2471">
        <v>2750</v>
      </c>
      <c r="N2471">
        <v>0</v>
      </c>
    </row>
    <row r="2472" spans="1:14" x14ac:dyDescent="0.25">
      <c r="A2472">
        <v>1648.0434130000001</v>
      </c>
      <c r="B2472" s="1">
        <f>DATE(2014,11,4) + TIME(1,2,30)</f>
        <v>41947.043402777781</v>
      </c>
      <c r="C2472">
        <v>80</v>
      </c>
      <c r="D2472">
        <v>79.665443420000003</v>
      </c>
      <c r="E2472">
        <v>50</v>
      </c>
      <c r="F2472">
        <v>50.060451508</v>
      </c>
      <c r="G2472">
        <v>1326.7587891000001</v>
      </c>
      <c r="H2472">
        <v>1324.1530762</v>
      </c>
      <c r="I2472">
        <v>1346.5760498</v>
      </c>
      <c r="J2472">
        <v>1341.5139160000001</v>
      </c>
      <c r="K2472">
        <v>0</v>
      </c>
      <c r="L2472">
        <v>2750</v>
      </c>
      <c r="M2472">
        <v>2750</v>
      </c>
      <c r="N2472">
        <v>0</v>
      </c>
    </row>
    <row r="2473" spans="1:14" x14ac:dyDescent="0.25">
      <c r="A2473">
        <v>1648.249632</v>
      </c>
      <c r="B2473" s="1">
        <f>DATE(2014,11,4) + TIME(5,59,28)</f>
        <v>41947.24962962963</v>
      </c>
      <c r="C2473">
        <v>80</v>
      </c>
      <c r="D2473">
        <v>79.647773743000002</v>
      </c>
      <c r="E2473">
        <v>50</v>
      </c>
      <c r="F2473">
        <v>50.042297363000003</v>
      </c>
      <c r="G2473">
        <v>1326.7531738</v>
      </c>
      <c r="H2473">
        <v>1324.1457519999999</v>
      </c>
      <c r="I2473">
        <v>1346.5620117000001</v>
      </c>
      <c r="J2473">
        <v>1341.5062256000001</v>
      </c>
      <c r="K2473">
        <v>0</v>
      </c>
      <c r="L2473">
        <v>2750</v>
      </c>
      <c r="M2473">
        <v>2750</v>
      </c>
      <c r="N2473">
        <v>0</v>
      </c>
    </row>
    <row r="2474" spans="1:14" x14ac:dyDescent="0.25">
      <c r="A2474">
        <v>1648.466322</v>
      </c>
      <c r="B2474" s="1">
        <f>DATE(2014,11,4) + TIME(11,11,30)</f>
        <v>41947.466319444444</v>
      </c>
      <c r="C2474">
        <v>80</v>
      </c>
      <c r="D2474">
        <v>79.629417419000006</v>
      </c>
      <c r="E2474">
        <v>50</v>
      </c>
      <c r="F2474">
        <v>50.028045654000003</v>
      </c>
      <c r="G2474">
        <v>1326.7473144999999</v>
      </c>
      <c r="H2474">
        <v>1324.1379394999999</v>
      </c>
      <c r="I2474">
        <v>1346.5484618999999</v>
      </c>
      <c r="J2474">
        <v>1341.4989014</v>
      </c>
      <c r="K2474">
        <v>0</v>
      </c>
      <c r="L2474">
        <v>2750</v>
      </c>
      <c r="M2474">
        <v>2750</v>
      </c>
      <c r="N2474">
        <v>0</v>
      </c>
    </row>
    <row r="2475" spans="1:14" x14ac:dyDescent="0.25">
      <c r="A2475">
        <v>1648.692818</v>
      </c>
      <c r="B2475" s="1">
        <f>DATE(2014,11,4) + TIME(16,37,39)</f>
        <v>41947.692812499998</v>
      </c>
      <c r="C2475">
        <v>80</v>
      </c>
      <c r="D2475">
        <v>79.610420227000006</v>
      </c>
      <c r="E2475">
        <v>50</v>
      </c>
      <c r="F2475">
        <v>50.017032622999999</v>
      </c>
      <c r="G2475">
        <v>1326.7408447</v>
      </c>
      <c r="H2475">
        <v>1324.1295166</v>
      </c>
      <c r="I2475">
        <v>1346.5352783000001</v>
      </c>
      <c r="J2475">
        <v>1341.4919434000001</v>
      </c>
      <c r="K2475">
        <v>0</v>
      </c>
      <c r="L2475">
        <v>2750</v>
      </c>
      <c r="M2475">
        <v>2750</v>
      </c>
      <c r="N2475">
        <v>0</v>
      </c>
    </row>
    <row r="2476" spans="1:14" x14ac:dyDescent="0.25">
      <c r="A2476">
        <v>1648.9274539999999</v>
      </c>
      <c r="B2476" s="1">
        <f>DATE(2014,11,4) + TIME(22,15,32)</f>
        <v>41947.927453703705</v>
      </c>
      <c r="C2476">
        <v>80</v>
      </c>
      <c r="D2476">
        <v>79.590888977000006</v>
      </c>
      <c r="E2476">
        <v>50</v>
      </c>
      <c r="F2476">
        <v>50.008655548</v>
      </c>
      <c r="G2476">
        <v>1326.7341309000001</v>
      </c>
      <c r="H2476">
        <v>1324.1206055</v>
      </c>
      <c r="I2476">
        <v>1346.5224608999999</v>
      </c>
      <c r="J2476">
        <v>1341.4852295000001</v>
      </c>
      <c r="K2476">
        <v>0</v>
      </c>
      <c r="L2476">
        <v>2750</v>
      </c>
      <c r="M2476">
        <v>2750</v>
      </c>
      <c r="N2476">
        <v>0</v>
      </c>
    </row>
    <row r="2477" spans="1:14" x14ac:dyDescent="0.25">
      <c r="A2477">
        <v>1649.170826</v>
      </c>
      <c r="B2477" s="1">
        <f>DATE(2014,11,5) + TIME(4,5,59)</f>
        <v>41948.17082175926</v>
      </c>
      <c r="C2477">
        <v>80</v>
      </c>
      <c r="D2477">
        <v>79.570800781000003</v>
      </c>
      <c r="E2477">
        <v>50</v>
      </c>
      <c r="F2477">
        <v>50.002326965000002</v>
      </c>
      <c r="G2477">
        <v>1326.7270507999999</v>
      </c>
      <c r="H2477">
        <v>1324.1110839999999</v>
      </c>
      <c r="I2477">
        <v>1346.5100098</v>
      </c>
      <c r="J2477">
        <v>1341.4786377</v>
      </c>
      <c r="K2477">
        <v>0</v>
      </c>
      <c r="L2477">
        <v>2750</v>
      </c>
      <c r="M2477">
        <v>2750</v>
      </c>
      <c r="N2477">
        <v>0</v>
      </c>
    </row>
    <row r="2478" spans="1:14" x14ac:dyDescent="0.25">
      <c r="A2478">
        <v>1649.423497</v>
      </c>
      <c r="B2478" s="1">
        <f>DATE(2014,11,5) + TIME(10,9,50)</f>
        <v>41948.423495370371</v>
      </c>
      <c r="C2478">
        <v>80</v>
      </c>
      <c r="D2478">
        <v>79.550109863000003</v>
      </c>
      <c r="E2478">
        <v>50</v>
      </c>
      <c r="F2478">
        <v>49.997581482000001</v>
      </c>
      <c r="G2478">
        <v>1326.7194824000001</v>
      </c>
      <c r="H2478">
        <v>1324.1009521000001</v>
      </c>
      <c r="I2478">
        <v>1346.4979248</v>
      </c>
      <c r="J2478">
        <v>1341.4724120999999</v>
      </c>
      <c r="K2478">
        <v>0</v>
      </c>
      <c r="L2478">
        <v>2750</v>
      </c>
      <c r="M2478">
        <v>2750</v>
      </c>
      <c r="N2478">
        <v>0</v>
      </c>
    </row>
    <row r="2479" spans="1:14" x14ac:dyDescent="0.25">
      <c r="A2479">
        <v>1649.682145</v>
      </c>
      <c r="B2479" s="1">
        <f>DATE(2014,11,5) + TIME(16,22,17)</f>
        <v>41948.682141203702</v>
      </c>
      <c r="C2479">
        <v>80</v>
      </c>
      <c r="D2479">
        <v>79.529045104999994</v>
      </c>
      <c r="E2479">
        <v>50</v>
      </c>
      <c r="F2479">
        <v>49.994083404999998</v>
      </c>
      <c r="G2479">
        <v>1326.7115478999999</v>
      </c>
      <c r="H2479">
        <v>1324.090332</v>
      </c>
      <c r="I2479">
        <v>1346.4860839999999</v>
      </c>
      <c r="J2479">
        <v>1341.4663086</v>
      </c>
      <c r="K2479">
        <v>0</v>
      </c>
      <c r="L2479">
        <v>2750</v>
      </c>
      <c r="M2479">
        <v>2750</v>
      </c>
      <c r="N2479">
        <v>0</v>
      </c>
    </row>
    <row r="2480" spans="1:14" x14ac:dyDescent="0.25">
      <c r="A2480">
        <v>1649.9460240000001</v>
      </c>
      <c r="B2480" s="1">
        <f>DATE(2014,11,5) + TIME(22,42,16)</f>
        <v>41948.946018518516</v>
      </c>
      <c r="C2480">
        <v>80</v>
      </c>
      <c r="D2480">
        <v>79.507652282999999</v>
      </c>
      <c r="E2480">
        <v>50</v>
      </c>
      <c r="F2480">
        <v>49.991519928000002</v>
      </c>
      <c r="G2480">
        <v>1326.7032471</v>
      </c>
      <c r="H2480">
        <v>1324.0792236</v>
      </c>
      <c r="I2480">
        <v>1346.4747314000001</v>
      </c>
      <c r="J2480">
        <v>1341.4604492000001</v>
      </c>
      <c r="K2480">
        <v>0</v>
      </c>
      <c r="L2480">
        <v>2750</v>
      </c>
      <c r="M2480">
        <v>2750</v>
      </c>
      <c r="N2480">
        <v>0</v>
      </c>
    </row>
    <row r="2481" spans="1:14" x14ac:dyDescent="0.25">
      <c r="A2481">
        <v>1650.2157360000001</v>
      </c>
      <c r="B2481" s="1">
        <f>DATE(2014,11,6) + TIME(5,10,39)</f>
        <v>41949.215729166666</v>
      </c>
      <c r="C2481">
        <v>80</v>
      </c>
      <c r="D2481">
        <v>79.485916137999993</v>
      </c>
      <c r="E2481">
        <v>50</v>
      </c>
      <c r="F2481">
        <v>49.989646911999998</v>
      </c>
      <c r="G2481">
        <v>1326.6947021000001</v>
      </c>
      <c r="H2481">
        <v>1324.0676269999999</v>
      </c>
      <c r="I2481">
        <v>1346.4637451000001</v>
      </c>
      <c r="J2481">
        <v>1341.4547118999999</v>
      </c>
      <c r="K2481">
        <v>0</v>
      </c>
      <c r="L2481">
        <v>2750</v>
      </c>
      <c r="M2481">
        <v>2750</v>
      </c>
      <c r="N2481">
        <v>0</v>
      </c>
    </row>
    <row r="2482" spans="1:14" x14ac:dyDescent="0.25">
      <c r="A2482">
        <v>1650.491837</v>
      </c>
      <c r="B2482" s="1">
        <f>DATE(2014,11,6) + TIME(11,48,14)</f>
        <v>41949.491828703707</v>
      </c>
      <c r="C2482">
        <v>80</v>
      </c>
      <c r="D2482">
        <v>79.463829040999997</v>
      </c>
      <c r="E2482">
        <v>50</v>
      </c>
      <c r="F2482">
        <v>49.988273620999998</v>
      </c>
      <c r="G2482">
        <v>1326.6857910000001</v>
      </c>
      <c r="H2482">
        <v>1324.0555420000001</v>
      </c>
      <c r="I2482">
        <v>1346.4530029</v>
      </c>
      <c r="J2482">
        <v>1341.4492187999999</v>
      </c>
      <c r="K2482">
        <v>0</v>
      </c>
      <c r="L2482">
        <v>2750</v>
      </c>
      <c r="M2482">
        <v>2750</v>
      </c>
      <c r="N2482">
        <v>0</v>
      </c>
    </row>
    <row r="2483" spans="1:14" x14ac:dyDescent="0.25">
      <c r="A2483">
        <v>1650.77423</v>
      </c>
      <c r="B2483" s="1">
        <f>DATE(2014,11,6) + TIME(18,34,53)</f>
        <v>41949.774224537039</v>
      </c>
      <c r="C2483">
        <v>80</v>
      </c>
      <c r="D2483">
        <v>79.441383361999996</v>
      </c>
      <c r="E2483">
        <v>50</v>
      </c>
      <c r="F2483">
        <v>49.987270355</v>
      </c>
      <c r="G2483">
        <v>1326.6765137</v>
      </c>
      <c r="H2483">
        <v>1324.0430908000001</v>
      </c>
      <c r="I2483">
        <v>1346.4426269999999</v>
      </c>
      <c r="J2483">
        <v>1341.4438477000001</v>
      </c>
      <c r="K2483">
        <v>0</v>
      </c>
      <c r="L2483">
        <v>2750</v>
      </c>
      <c r="M2483">
        <v>2750</v>
      </c>
      <c r="N2483">
        <v>0</v>
      </c>
    </row>
    <row r="2484" spans="1:14" x14ac:dyDescent="0.25">
      <c r="A2484">
        <v>1651.061422</v>
      </c>
      <c r="B2484" s="1">
        <f>DATE(2014,11,7) + TIME(1,28,26)</f>
        <v>41950.061412037037</v>
      </c>
      <c r="C2484">
        <v>80</v>
      </c>
      <c r="D2484">
        <v>79.418693542</v>
      </c>
      <c r="E2484">
        <v>50</v>
      </c>
      <c r="F2484">
        <v>49.986537933000001</v>
      </c>
      <c r="G2484">
        <v>1326.6669922000001</v>
      </c>
      <c r="H2484">
        <v>1324.0300293</v>
      </c>
      <c r="I2484">
        <v>1346.4324951000001</v>
      </c>
      <c r="J2484">
        <v>1341.4385986</v>
      </c>
      <c r="K2484">
        <v>0</v>
      </c>
      <c r="L2484">
        <v>2750</v>
      </c>
      <c r="M2484">
        <v>2750</v>
      </c>
      <c r="N2484">
        <v>0</v>
      </c>
    </row>
    <row r="2485" spans="1:14" x14ac:dyDescent="0.25">
      <c r="A2485">
        <v>1651.353942</v>
      </c>
      <c r="B2485" s="1">
        <f>DATE(2014,11,7) + TIME(8,29,40)</f>
        <v>41950.353935185187</v>
      </c>
      <c r="C2485">
        <v>80</v>
      </c>
      <c r="D2485">
        <v>79.395736693999993</v>
      </c>
      <c r="E2485">
        <v>50</v>
      </c>
      <c r="F2485">
        <v>49.986003875999998</v>
      </c>
      <c r="G2485">
        <v>1326.6571045000001</v>
      </c>
      <c r="H2485">
        <v>1324.0166016000001</v>
      </c>
      <c r="I2485">
        <v>1346.4227295000001</v>
      </c>
      <c r="J2485">
        <v>1341.4334716999999</v>
      </c>
      <c r="K2485">
        <v>0</v>
      </c>
      <c r="L2485">
        <v>2750</v>
      </c>
      <c r="M2485">
        <v>2750</v>
      </c>
      <c r="N2485">
        <v>0</v>
      </c>
    </row>
    <row r="2486" spans="1:14" x14ac:dyDescent="0.25">
      <c r="A2486">
        <v>1651.652482</v>
      </c>
      <c r="B2486" s="1">
        <f>DATE(2014,11,7) + TIME(15,39,34)</f>
        <v>41950.65247685185</v>
      </c>
      <c r="C2486">
        <v>80</v>
      </c>
      <c r="D2486">
        <v>79.372482300000001</v>
      </c>
      <c r="E2486">
        <v>50</v>
      </c>
      <c r="F2486">
        <v>49.985610962000003</v>
      </c>
      <c r="G2486">
        <v>1326.6468506000001</v>
      </c>
      <c r="H2486">
        <v>1324.0026855000001</v>
      </c>
      <c r="I2486">
        <v>1346.4130858999999</v>
      </c>
      <c r="J2486">
        <v>1341.4285889</v>
      </c>
      <c r="K2486">
        <v>0</v>
      </c>
      <c r="L2486">
        <v>2750</v>
      </c>
      <c r="M2486">
        <v>2750</v>
      </c>
      <c r="N2486">
        <v>0</v>
      </c>
    </row>
    <row r="2487" spans="1:14" x14ac:dyDescent="0.25">
      <c r="A2487">
        <v>1651.957615</v>
      </c>
      <c r="B2487" s="1">
        <f>DATE(2014,11,7) + TIME(22,58,57)</f>
        <v>41950.957604166666</v>
      </c>
      <c r="C2487">
        <v>80</v>
      </c>
      <c r="D2487">
        <v>79.348899841000005</v>
      </c>
      <c r="E2487">
        <v>50</v>
      </c>
      <c r="F2487">
        <v>49.985321044999999</v>
      </c>
      <c r="G2487">
        <v>1326.6363524999999</v>
      </c>
      <c r="H2487">
        <v>1323.9882812000001</v>
      </c>
      <c r="I2487">
        <v>1346.4038086</v>
      </c>
      <c r="J2487">
        <v>1341.4237060999999</v>
      </c>
      <c r="K2487">
        <v>0</v>
      </c>
      <c r="L2487">
        <v>2750</v>
      </c>
      <c r="M2487">
        <v>2750</v>
      </c>
      <c r="N2487">
        <v>0</v>
      </c>
    </row>
    <row r="2488" spans="1:14" x14ac:dyDescent="0.25">
      <c r="A2488">
        <v>1652.2699259999999</v>
      </c>
      <c r="B2488" s="1">
        <f>DATE(2014,11,8) + TIME(6,28,41)</f>
        <v>41951.269918981481</v>
      </c>
      <c r="C2488">
        <v>80</v>
      </c>
      <c r="D2488">
        <v>79.324966431000007</v>
      </c>
      <c r="E2488">
        <v>50</v>
      </c>
      <c r="F2488">
        <v>49.985103606999999</v>
      </c>
      <c r="G2488">
        <v>1326.6254882999999</v>
      </c>
      <c r="H2488">
        <v>1323.9733887</v>
      </c>
      <c r="I2488">
        <v>1346.3946533000001</v>
      </c>
      <c r="J2488">
        <v>1341.4189452999999</v>
      </c>
      <c r="K2488">
        <v>0</v>
      </c>
      <c r="L2488">
        <v>2750</v>
      </c>
      <c r="M2488">
        <v>2750</v>
      </c>
      <c r="N2488">
        <v>0</v>
      </c>
    </row>
    <row r="2489" spans="1:14" x14ac:dyDescent="0.25">
      <c r="A2489">
        <v>1652.587362</v>
      </c>
      <c r="B2489" s="1">
        <f>DATE(2014,11,8) + TIME(14,5,48)</f>
        <v>41951.587361111109</v>
      </c>
      <c r="C2489">
        <v>80</v>
      </c>
      <c r="D2489">
        <v>79.300796508999994</v>
      </c>
      <c r="E2489">
        <v>50</v>
      </c>
      <c r="F2489">
        <v>49.984939574999999</v>
      </c>
      <c r="G2489">
        <v>1326.6142577999999</v>
      </c>
      <c r="H2489">
        <v>1323.9578856999999</v>
      </c>
      <c r="I2489">
        <v>1346.3856201000001</v>
      </c>
      <c r="J2489">
        <v>1341.4141846</v>
      </c>
      <c r="K2489">
        <v>0</v>
      </c>
      <c r="L2489">
        <v>2750</v>
      </c>
      <c r="M2489">
        <v>2750</v>
      </c>
      <c r="N2489">
        <v>0</v>
      </c>
    </row>
    <row r="2490" spans="1:14" x14ac:dyDescent="0.25">
      <c r="A2490">
        <v>1652.9099209999999</v>
      </c>
      <c r="B2490" s="1">
        <f>DATE(2014,11,8) + TIME(21,50,17)</f>
        <v>41951.909918981481</v>
      </c>
      <c r="C2490">
        <v>80</v>
      </c>
      <c r="D2490">
        <v>79.276390075999998</v>
      </c>
      <c r="E2490">
        <v>50</v>
      </c>
      <c r="F2490">
        <v>49.984817505000002</v>
      </c>
      <c r="G2490">
        <v>1326.6027832</v>
      </c>
      <c r="H2490">
        <v>1323.9420166</v>
      </c>
      <c r="I2490">
        <v>1346.3768310999999</v>
      </c>
      <c r="J2490">
        <v>1341.4095459</v>
      </c>
      <c r="K2490">
        <v>0</v>
      </c>
      <c r="L2490">
        <v>2750</v>
      </c>
      <c r="M2490">
        <v>2750</v>
      </c>
      <c r="N2490">
        <v>0</v>
      </c>
    </row>
    <row r="2491" spans="1:14" x14ac:dyDescent="0.25">
      <c r="A2491">
        <v>1653.238417</v>
      </c>
      <c r="B2491" s="1">
        <f>DATE(2014,11,9) + TIME(5,43,19)</f>
        <v>41952.23841435185</v>
      </c>
      <c r="C2491">
        <v>80</v>
      </c>
      <c r="D2491">
        <v>79.251716614000003</v>
      </c>
      <c r="E2491">
        <v>50</v>
      </c>
      <c r="F2491">
        <v>49.984722136999999</v>
      </c>
      <c r="G2491">
        <v>1326.5909423999999</v>
      </c>
      <c r="H2491">
        <v>1323.9257812000001</v>
      </c>
      <c r="I2491">
        <v>1346.3682861</v>
      </c>
      <c r="J2491">
        <v>1341.4051514</v>
      </c>
      <c r="K2491">
        <v>0</v>
      </c>
      <c r="L2491">
        <v>2750</v>
      </c>
      <c r="M2491">
        <v>2750</v>
      </c>
      <c r="N2491">
        <v>0</v>
      </c>
    </row>
    <row r="2492" spans="1:14" x14ac:dyDescent="0.25">
      <c r="A2492">
        <v>1653.573533</v>
      </c>
      <c r="B2492" s="1">
        <f>DATE(2014,11,9) + TIME(13,45,53)</f>
        <v>41952.573530092595</v>
      </c>
      <c r="C2492">
        <v>80</v>
      </c>
      <c r="D2492">
        <v>79.226753235000004</v>
      </c>
      <c r="E2492">
        <v>50</v>
      </c>
      <c r="F2492">
        <v>49.984645843999999</v>
      </c>
      <c r="G2492">
        <v>1326.5788574000001</v>
      </c>
      <c r="H2492">
        <v>1323.9090576000001</v>
      </c>
      <c r="I2492">
        <v>1346.3598632999999</v>
      </c>
      <c r="J2492">
        <v>1341.4007568</v>
      </c>
      <c r="K2492">
        <v>0</v>
      </c>
      <c r="L2492">
        <v>2750</v>
      </c>
      <c r="M2492">
        <v>2750</v>
      </c>
      <c r="N2492">
        <v>0</v>
      </c>
    </row>
    <row r="2493" spans="1:14" x14ac:dyDescent="0.25">
      <c r="A2493">
        <v>1653.915935</v>
      </c>
      <c r="B2493" s="1">
        <f>DATE(2014,11,9) + TIME(21,58,56)</f>
        <v>41952.915925925925</v>
      </c>
      <c r="C2493">
        <v>80</v>
      </c>
      <c r="D2493">
        <v>79.201461792000003</v>
      </c>
      <c r="E2493">
        <v>50</v>
      </c>
      <c r="F2493">
        <v>49.984588623</v>
      </c>
      <c r="G2493">
        <v>1326.5662841999999</v>
      </c>
      <c r="H2493">
        <v>1323.8917236</v>
      </c>
      <c r="I2493">
        <v>1346.3516846</v>
      </c>
      <c r="J2493">
        <v>1341.3963623</v>
      </c>
      <c r="K2493">
        <v>0</v>
      </c>
      <c r="L2493">
        <v>2750</v>
      </c>
      <c r="M2493">
        <v>2750</v>
      </c>
      <c r="N2493">
        <v>0</v>
      </c>
    </row>
    <row r="2494" spans="1:14" x14ac:dyDescent="0.25">
      <c r="A2494">
        <v>1654.26631</v>
      </c>
      <c r="B2494" s="1">
        <f>DATE(2014,11,10) + TIME(6,23,29)</f>
        <v>41953.26630787037</v>
      </c>
      <c r="C2494">
        <v>80</v>
      </c>
      <c r="D2494">
        <v>79.175804138000004</v>
      </c>
      <c r="E2494">
        <v>50</v>
      </c>
      <c r="F2494">
        <v>49.984539032000001</v>
      </c>
      <c r="G2494">
        <v>1326.5534668</v>
      </c>
      <c r="H2494">
        <v>1323.8739014</v>
      </c>
      <c r="I2494">
        <v>1346.3435059000001</v>
      </c>
      <c r="J2494">
        <v>1341.3920897999999</v>
      </c>
      <c r="K2494">
        <v>0</v>
      </c>
      <c r="L2494">
        <v>2750</v>
      </c>
      <c r="M2494">
        <v>2750</v>
      </c>
      <c r="N2494">
        <v>0</v>
      </c>
    </row>
    <row r="2495" spans="1:14" x14ac:dyDescent="0.25">
      <c r="A2495">
        <v>1654.6253690000001</v>
      </c>
      <c r="B2495" s="1">
        <f>DATE(2014,11,10) + TIME(15,0,31)</f>
        <v>41953.625358796293</v>
      </c>
      <c r="C2495">
        <v>80</v>
      </c>
      <c r="D2495">
        <v>79.149742126000007</v>
      </c>
      <c r="E2495">
        <v>50</v>
      </c>
      <c r="F2495">
        <v>49.984500885000003</v>
      </c>
      <c r="G2495">
        <v>1326.5402832</v>
      </c>
      <c r="H2495">
        <v>1323.8555908000001</v>
      </c>
      <c r="I2495">
        <v>1346.3355713000001</v>
      </c>
      <c r="J2495">
        <v>1341.3878173999999</v>
      </c>
      <c r="K2495">
        <v>0</v>
      </c>
      <c r="L2495">
        <v>2750</v>
      </c>
      <c r="M2495">
        <v>2750</v>
      </c>
      <c r="N2495">
        <v>0</v>
      </c>
    </row>
    <row r="2496" spans="1:14" x14ac:dyDescent="0.25">
      <c r="A2496">
        <v>1654.9938649999999</v>
      </c>
      <c r="B2496" s="1">
        <f>DATE(2014,11,10) + TIME(23,51,9)</f>
        <v>41953.993854166663</v>
      </c>
      <c r="C2496">
        <v>80</v>
      </c>
      <c r="D2496">
        <v>79.123237610000004</v>
      </c>
      <c r="E2496">
        <v>50</v>
      </c>
      <c r="F2496">
        <v>49.984466552999997</v>
      </c>
      <c r="G2496">
        <v>1326.5264893000001</v>
      </c>
      <c r="H2496">
        <v>1323.8365478999999</v>
      </c>
      <c r="I2496">
        <v>1346.3276367000001</v>
      </c>
      <c r="J2496">
        <v>1341.3836670000001</v>
      </c>
      <c r="K2496">
        <v>0</v>
      </c>
      <c r="L2496">
        <v>2750</v>
      </c>
      <c r="M2496">
        <v>2750</v>
      </c>
      <c r="N2496">
        <v>0</v>
      </c>
    </row>
    <row r="2497" spans="1:14" x14ac:dyDescent="0.25">
      <c r="A2497">
        <v>1655.372576</v>
      </c>
      <c r="B2497" s="1">
        <f>DATE(2014,11,11) + TIME(8,56,30)</f>
        <v>41954.372569444444</v>
      </c>
      <c r="C2497">
        <v>80</v>
      </c>
      <c r="D2497">
        <v>79.096244811999995</v>
      </c>
      <c r="E2497">
        <v>50</v>
      </c>
      <c r="F2497">
        <v>49.984439850000001</v>
      </c>
      <c r="G2497">
        <v>1326.5124512</v>
      </c>
      <c r="H2497">
        <v>1323.8170166</v>
      </c>
      <c r="I2497">
        <v>1346.3198242000001</v>
      </c>
      <c r="J2497">
        <v>1341.3795166</v>
      </c>
      <c r="K2497">
        <v>0</v>
      </c>
      <c r="L2497">
        <v>2750</v>
      </c>
      <c r="M2497">
        <v>2750</v>
      </c>
      <c r="N2497">
        <v>0</v>
      </c>
    </row>
    <row r="2498" spans="1:14" x14ac:dyDescent="0.25">
      <c r="A2498">
        <v>1655.7623329999999</v>
      </c>
      <c r="B2498" s="1">
        <f>DATE(2014,11,11) + TIME(18,17,45)</f>
        <v>41954.762326388889</v>
      </c>
      <c r="C2498">
        <v>80</v>
      </c>
      <c r="D2498">
        <v>79.068725585999999</v>
      </c>
      <c r="E2498">
        <v>50</v>
      </c>
      <c r="F2498">
        <v>49.984413146999998</v>
      </c>
      <c r="G2498">
        <v>1326.4978027</v>
      </c>
      <c r="H2498">
        <v>1323.7966309000001</v>
      </c>
      <c r="I2498">
        <v>1346.3120117000001</v>
      </c>
      <c r="J2498">
        <v>1341.3754882999999</v>
      </c>
      <c r="K2498">
        <v>0</v>
      </c>
      <c r="L2498">
        <v>2750</v>
      </c>
      <c r="M2498">
        <v>2750</v>
      </c>
      <c r="N2498">
        <v>0</v>
      </c>
    </row>
    <row r="2499" spans="1:14" x14ac:dyDescent="0.25">
      <c r="A2499">
        <v>1656.1640299999999</v>
      </c>
      <c r="B2499" s="1">
        <f>DATE(2014,11,12) + TIME(3,56,12)</f>
        <v>41955.164027777777</v>
      </c>
      <c r="C2499">
        <v>80</v>
      </c>
      <c r="D2499">
        <v>79.040626525999997</v>
      </c>
      <c r="E2499">
        <v>50</v>
      </c>
      <c r="F2499">
        <v>49.984394072999997</v>
      </c>
      <c r="G2499">
        <v>1326.4826660000001</v>
      </c>
      <c r="H2499">
        <v>1323.7756348</v>
      </c>
      <c r="I2499">
        <v>1346.3043213000001</v>
      </c>
      <c r="J2499">
        <v>1341.3713379000001</v>
      </c>
      <c r="K2499">
        <v>0</v>
      </c>
      <c r="L2499">
        <v>2750</v>
      </c>
      <c r="M2499">
        <v>2750</v>
      </c>
      <c r="N2499">
        <v>0</v>
      </c>
    </row>
    <row r="2500" spans="1:14" x14ac:dyDescent="0.25">
      <c r="A2500">
        <v>1656.5785080000001</v>
      </c>
      <c r="B2500" s="1">
        <f>DATE(2014,11,12) + TIME(13,53,3)</f>
        <v>41955.578506944446</v>
      </c>
      <c r="C2500">
        <v>80</v>
      </c>
      <c r="D2500">
        <v>79.011901855000005</v>
      </c>
      <c r="E2500">
        <v>50</v>
      </c>
      <c r="F2500">
        <v>49.984375</v>
      </c>
      <c r="G2500">
        <v>1326.4670410000001</v>
      </c>
      <c r="H2500">
        <v>1323.7537841999999</v>
      </c>
      <c r="I2500">
        <v>1346.2967529</v>
      </c>
      <c r="J2500">
        <v>1341.3673096</v>
      </c>
      <c r="K2500">
        <v>0</v>
      </c>
      <c r="L2500">
        <v>2750</v>
      </c>
      <c r="M2500">
        <v>2750</v>
      </c>
      <c r="N2500">
        <v>0</v>
      </c>
    </row>
    <row r="2501" spans="1:14" x14ac:dyDescent="0.25">
      <c r="A2501">
        <v>1657.0068490000001</v>
      </c>
      <c r="B2501" s="1">
        <f>DATE(2014,11,13) + TIME(0,9,51)</f>
        <v>41956.006840277776</v>
      </c>
      <c r="C2501">
        <v>80</v>
      </c>
      <c r="D2501">
        <v>78.982505798000005</v>
      </c>
      <c r="E2501">
        <v>50</v>
      </c>
      <c r="F2501">
        <v>49.984355927000003</v>
      </c>
      <c r="G2501">
        <v>1326.4506836</v>
      </c>
      <c r="H2501">
        <v>1323.7312012</v>
      </c>
      <c r="I2501">
        <v>1346.2890625</v>
      </c>
      <c r="J2501">
        <v>1341.3632812000001</v>
      </c>
      <c r="K2501">
        <v>0</v>
      </c>
      <c r="L2501">
        <v>2750</v>
      </c>
      <c r="M2501">
        <v>2750</v>
      </c>
      <c r="N2501">
        <v>0</v>
      </c>
    </row>
    <row r="2502" spans="1:14" x14ac:dyDescent="0.25">
      <c r="A2502">
        <v>1657.4502480000001</v>
      </c>
      <c r="B2502" s="1">
        <f>DATE(2014,11,13) + TIME(10,48,21)</f>
        <v>41956.450243055559</v>
      </c>
      <c r="C2502">
        <v>80</v>
      </c>
      <c r="D2502">
        <v>78.952377318999993</v>
      </c>
      <c r="E2502">
        <v>50</v>
      </c>
      <c r="F2502">
        <v>49.984340668000002</v>
      </c>
      <c r="G2502">
        <v>1326.4338379000001</v>
      </c>
      <c r="H2502">
        <v>1323.7076416</v>
      </c>
      <c r="I2502">
        <v>1346.2814940999999</v>
      </c>
      <c r="J2502">
        <v>1341.3592529</v>
      </c>
      <c r="K2502">
        <v>0</v>
      </c>
      <c r="L2502">
        <v>2750</v>
      </c>
      <c r="M2502">
        <v>2750</v>
      </c>
      <c r="N2502">
        <v>0</v>
      </c>
    </row>
    <row r="2503" spans="1:14" x14ac:dyDescent="0.25">
      <c r="A2503">
        <v>1657.909952</v>
      </c>
      <c r="B2503" s="1">
        <f>DATE(2014,11,13) + TIME(21,50,19)</f>
        <v>41956.909942129627</v>
      </c>
      <c r="C2503">
        <v>80</v>
      </c>
      <c r="D2503">
        <v>78.921455382999994</v>
      </c>
      <c r="E2503">
        <v>50</v>
      </c>
      <c r="F2503">
        <v>49.984329224</v>
      </c>
      <c r="G2503">
        <v>1326.4162598</v>
      </c>
      <c r="H2503">
        <v>1323.6831055</v>
      </c>
      <c r="I2503">
        <v>1346.2739257999999</v>
      </c>
      <c r="J2503">
        <v>1341.3552245999999</v>
      </c>
      <c r="K2503">
        <v>0</v>
      </c>
      <c r="L2503">
        <v>2750</v>
      </c>
      <c r="M2503">
        <v>2750</v>
      </c>
      <c r="N2503">
        <v>0</v>
      </c>
    </row>
    <row r="2504" spans="1:14" x14ac:dyDescent="0.25">
      <c r="A2504">
        <v>1658.3873289999999</v>
      </c>
      <c r="B2504" s="1">
        <f>DATE(2014,11,14) + TIME(9,17,45)</f>
        <v>41957.387326388889</v>
      </c>
      <c r="C2504">
        <v>80</v>
      </c>
      <c r="D2504">
        <v>78.889671325999998</v>
      </c>
      <c r="E2504">
        <v>50</v>
      </c>
      <c r="F2504">
        <v>49.984313964999998</v>
      </c>
      <c r="G2504">
        <v>1326.3979492000001</v>
      </c>
      <c r="H2504">
        <v>1323.6575928</v>
      </c>
      <c r="I2504">
        <v>1346.2662353999999</v>
      </c>
      <c r="J2504">
        <v>1341.3511963000001</v>
      </c>
      <c r="K2504">
        <v>0</v>
      </c>
      <c r="L2504">
        <v>2750</v>
      </c>
      <c r="M2504">
        <v>2750</v>
      </c>
      <c r="N2504">
        <v>0</v>
      </c>
    </row>
    <row r="2505" spans="1:14" x14ac:dyDescent="0.25">
      <c r="A2505">
        <v>1658.8839</v>
      </c>
      <c r="B2505" s="1">
        <f>DATE(2014,11,14) + TIME(21,12,48)</f>
        <v>41957.883888888886</v>
      </c>
      <c r="C2505">
        <v>80</v>
      </c>
      <c r="D2505">
        <v>78.856956482000001</v>
      </c>
      <c r="E2505">
        <v>50</v>
      </c>
      <c r="F2505">
        <v>49.984302520999996</v>
      </c>
      <c r="G2505">
        <v>1326.3789062000001</v>
      </c>
      <c r="H2505">
        <v>1323.6309814000001</v>
      </c>
      <c r="I2505">
        <v>1346.2586670000001</v>
      </c>
      <c r="J2505">
        <v>1341.347168</v>
      </c>
      <c r="K2505">
        <v>0</v>
      </c>
      <c r="L2505">
        <v>2750</v>
      </c>
      <c r="M2505">
        <v>2750</v>
      </c>
      <c r="N2505">
        <v>0</v>
      </c>
    </row>
    <row r="2506" spans="1:14" x14ac:dyDescent="0.25">
      <c r="A2506">
        <v>1659.401351</v>
      </c>
      <c r="B2506" s="1">
        <f>DATE(2014,11,15) + TIME(9,37,56)</f>
        <v>41958.401342592595</v>
      </c>
      <c r="C2506">
        <v>80</v>
      </c>
      <c r="D2506">
        <v>78.823226929</v>
      </c>
      <c r="E2506">
        <v>50</v>
      </c>
      <c r="F2506">
        <v>49.984291077000002</v>
      </c>
      <c r="G2506">
        <v>1326.3590088000001</v>
      </c>
      <c r="H2506">
        <v>1323.6031493999999</v>
      </c>
      <c r="I2506">
        <v>1346.2509766000001</v>
      </c>
      <c r="J2506">
        <v>1341.3431396000001</v>
      </c>
      <c r="K2506">
        <v>0</v>
      </c>
      <c r="L2506">
        <v>2750</v>
      </c>
      <c r="M2506">
        <v>2750</v>
      </c>
      <c r="N2506">
        <v>0</v>
      </c>
    </row>
    <row r="2507" spans="1:14" x14ac:dyDescent="0.25">
      <c r="A2507">
        <v>1659.9415509999999</v>
      </c>
      <c r="B2507" s="1">
        <f>DATE(2014,11,15) + TIME(22,35,50)</f>
        <v>41958.941550925927</v>
      </c>
      <c r="C2507">
        <v>80</v>
      </c>
      <c r="D2507">
        <v>78.788406371999997</v>
      </c>
      <c r="E2507">
        <v>50</v>
      </c>
      <c r="F2507">
        <v>49.984279633</v>
      </c>
      <c r="G2507">
        <v>1326.3381348</v>
      </c>
      <c r="H2507">
        <v>1323.5739745999999</v>
      </c>
      <c r="I2507">
        <v>1346.2432861</v>
      </c>
      <c r="J2507">
        <v>1341.3391113</v>
      </c>
      <c r="K2507">
        <v>0</v>
      </c>
      <c r="L2507">
        <v>2750</v>
      </c>
      <c r="M2507">
        <v>2750</v>
      </c>
      <c r="N2507">
        <v>0</v>
      </c>
    </row>
    <row r="2508" spans="1:14" x14ac:dyDescent="0.25">
      <c r="A2508">
        <v>1660.502084</v>
      </c>
      <c r="B2508" s="1">
        <f>DATE(2014,11,16) + TIME(12,3,0)</f>
        <v>41959.502083333333</v>
      </c>
      <c r="C2508">
        <v>80</v>
      </c>
      <c r="D2508">
        <v>78.752563476999995</v>
      </c>
      <c r="E2508">
        <v>50</v>
      </c>
      <c r="F2508">
        <v>49.984272003000001</v>
      </c>
      <c r="G2508">
        <v>1326.3162841999999</v>
      </c>
      <c r="H2508">
        <v>1323.543457</v>
      </c>
      <c r="I2508">
        <v>1346.2355957</v>
      </c>
      <c r="J2508">
        <v>1341.3349608999999</v>
      </c>
      <c r="K2508">
        <v>0</v>
      </c>
      <c r="L2508">
        <v>2750</v>
      </c>
      <c r="M2508">
        <v>2750</v>
      </c>
      <c r="N2508">
        <v>0</v>
      </c>
    </row>
    <row r="2509" spans="1:14" x14ac:dyDescent="0.25">
      <c r="A2509">
        <v>1661.0837779999999</v>
      </c>
      <c r="B2509" s="1">
        <f>DATE(2014,11,17) + TIME(2,0,38)</f>
        <v>41960.083773148152</v>
      </c>
      <c r="C2509">
        <v>80</v>
      </c>
      <c r="D2509">
        <v>78.715698242000002</v>
      </c>
      <c r="E2509">
        <v>50</v>
      </c>
      <c r="F2509">
        <v>49.984260558999999</v>
      </c>
      <c r="G2509">
        <v>1326.2935791</v>
      </c>
      <c r="H2509">
        <v>1323.5117187999999</v>
      </c>
      <c r="I2509">
        <v>1346.2279053</v>
      </c>
      <c r="J2509">
        <v>1341.3309326000001</v>
      </c>
      <c r="K2509">
        <v>0</v>
      </c>
      <c r="L2509">
        <v>2750</v>
      </c>
      <c r="M2509">
        <v>2750</v>
      </c>
      <c r="N2509">
        <v>0</v>
      </c>
    </row>
    <row r="2510" spans="1:14" x14ac:dyDescent="0.25">
      <c r="A2510">
        <v>1661.6885440000001</v>
      </c>
      <c r="B2510" s="1">
        <f>DATE(2014,11,17) + TIME(16,31,30)</f>
        <v>41960.68854166667</v>
      </c>
      <c r="C2510">
        <v>80</v>
      </c>
      <c r="D2510">
        <v>78.677764893000003</v>
      </c>
      <c r="E2510">
        <v>50</v>
      </c>
      <c r="F2510">
        <v>49.984252929999997</v>
      </c>
      <c r="G2510">
        <v>1326.2698975000001</v>
      </c>
      <c r="H2510">
        <v>1323.4786377</v>
      </c>
      <c r="I2510">
        <v>1346.2200928</v>
      </c>
      <c r="J2510">
        <v>1341.3267822</v>
      </c>
      <c r="K2510">
        <v>0</v>
      </c>
      <c r="L2510">
        <v>2750</v>
      </c>
      <c r="M2510">
        <v>2750</v>
      </c>
      <c r="N2510">
        <v>0</v>
      </c>
    </row>
    <row r="2511" spans="1:14" x14ac:dyDescent="0.25">
      <c r="A2511">
        <v>1662.3041109999999</v>
      </c>
      <c r="B2511" s="1">
        <f>DATE(2014,11,18) + TIME(7,17,55)</f>
        <v>41961.304108796299</v>
      </c>
      <c r="C2511">
        <v>80</v>
      </c>
      <c r="D2511">
        <v>78.639175414999997</v>
      </c>
      <c r="E2511">
        <v>50</v>
      </c>
      <c r="F2511">
        <v>49.984241486000002</v>
      </c>
      <c r="G2511">
        <v>1326.2452393000001</v>
      </c>
      <c r="H2511">
        <v>1323.4440918</v>
      </c>
      <c r="I2511">
        <v>1346.2122803</v>
      </c>
      <c r="J2511">
        <v>1341.3227539</v>
      </c>
      <c r="K2511">
        <v>0</v>
      </c>
      <c r="L2511">
        <v>2750</v>
      </c>
      <c r="M2511">
        <v>2750</v>
      </c>
      <c r="N2511">
        <v>0</v>
      </c>
    </row>
    <row r="2512" spans="1:14" x14ac:dyDescent="0.25">
      <c r="A2512">
        <v>1662.9286930000001</v>
      </c>
      <c r="B2512" s="1">
        <f>DATE(2014,11,18) + TIME(22,17,19)</f>
        <v>41961.92869212963</v>
      </c>
      <c r="C2512">
        <v>80</v>
      </c>
      <c r="D2512">
        <v>78.600158691000004</v>
      </c>
      <c r="E2512">
        <v>50</v>
      </c>
      <c r="F2512">
        <v>49.984233856000003</v>
      </c>
      <c r="G2512">
        <v>1326.2200928</v>
      </c>
      <c r="H2512">
        <v>1323.4088135</v>
      </c>
      <c r="I2512">
        <v>1346.2047118999999</v>
      </c>
      <c r="J2512">
        <v>1341.3187256000001</v>
      </c>
      <c r="K2512">
        <v>0</v>
      </c>
      <c r="L2512">
        <v>2750</v>
      </c>
      <c r="M2512">
        <v>2750</v>
      </c>
      <c r="N2512">
        <v>0</v>
      </c>
    </row>
    <row r="2513" spans="1:14" x14ac:dyDescent="0.25">
      <c r="A2513">
        <v>1663.5636569999999</v>
      </c>
      <c r="B2513" s="1">
        <f>DATE(2014,11,19) + TIME(13,31,39)</f>
        <v>41962.563645833332</v>
      </c>
      <c r="C2513">
        <v>80</v>
      </c>
      <c r="D2513">
        <v>78.560798645000006</v>
      </c>
      <c r="E2513">
        <v>50</v>
      </c>
      <c r="F2513">
        <v>49.984226227000001</v>
      </c>
      <c r="G2513">
        <v>1326.1943358999999</v>
      </c>
      <c r="H2513">
        <v>1323.3729248</v>
      </c>
      <c r="I2513">
        <v>1346.1972656</v>
      </c>
      <c r="J2513">
        <v>1341.3148193</v>
      </c>
      <c r="K2513">
        <v>0</v>
      </c>
      <c r="L2513">
        <v>2750</v>
      </c>
      <c r="M2513">
        <v>2750</v>
      </c>
      <c r="N2513">
        <v>0</v>
      </c>
    </row>
    <row r="2514" spans="1:14" x14ac:dyDescent="0.25">
      <c r="A2514">
        <v>1664.2103589999999</v>
      </c>
      <c r="B2514" s="1">
        <f>DATE(2014,11,20) + TIME(5,2,54)</f>
        <v>41963.210347222222</v>
      </c>
      <c r="C2514">
        <v>80</v>
      </c>
      <c r="D2514">
        <v>78.521087645999998</v>
      </c>
      <c r="E2514">
        <v>50</v>
      </c>
      <c r="F2514">
        <v>49.984214782999999</v>
      </c>
      <c r="G2514">
        <v>1326.1682129000001</v>
      </c>
      <c r="H2514">
        <v>1323.3361815999999</v>
      </c>
      <c r="I2514">
        <v>1346.1899414</v>
      </c>
      <c r="J2514">
        <v>1341.3110352000001</v>
      </c>
      <c r="K2514">
        <v>0</v>
      </c>
      <c r="L2514">
        <v>2750</v>
      </c>
      <c r="M2514">
        <v>2750</v>
      </c>
      <c r="N2514">
        <v>0</v>
      </c>
    </row>
    <row r="2515" spans="1:14" x14ac:dyDescent="0.25">
      <c r="A2515">
        <v>1664.870197</v>
      </c>
      <c r="B2515" s="1">
        <f>DATE(2014,11,20) + TIME(20,53,5)</f>
        <v>41963.870196759257</v>
      </c>
      <c r="C2515">
        <v>80</v>
      </c>
      <c r="D2515">
        <v>78.481010436999995</v>
      </c>
      <c r="E2515">
        <v>50</v>
      </c>
      <c r="F2515">
        <v>49.984207153</v>
      </c>
      <c r="G2515">
        <v>1326.1414795000001</v>
      </c>
      <c r="H2515">
        <v>1323.2987060999999</v>
      </c>
      <c r="I2515">
        <v>1346.1827393000001</v>
      </c>
      <c r="J2515">
        <v>1341.307251</v>
      </c>
      <c r="K2515">
        <v>0</v>
      </c>
      <c r="L2515">
        <v>2750</v>
      </c>
      <c r="M2515">
        <v>2750</v>
      </c>
      <c r="N2515">
        <v>0</v>
      </c>
    </row>
    <row r="2516" spans="1:14" x14ac:dyDescent="0.25">
      <c r="A2516">
        <v>1665.5446569999999</v>
      </c>
      <c r="B2516" s="1">
        <f>DATE(2014,11,21) + TIME(13,4,18)</f>
        <v>41964.544652777775</v>
      </c>
      <c r="C2516">
        <v>80</v>
      </c>
      <c r="D2516">
        <v>78.440521239999995</v>
      </c>
      <c r="E2516">
        <v>50</v>
      </c>
      <c r="F2516">
        <v>49.984199523999997</v>
      </c>
      <c r="G2516">
        <v>1326.1141356999999</v>
      </c>
      <c r="H2516">
        <v>1323.260376</v>
      </c>
      <c r="I2516">
        <v>1346.1756591999999</v>
      </c>
      <c r="J2516">
        <v>1341.3035889</v>
      </c>
      <c r="K2516">
        <v>0</v>
      </c>
      <c r="L2516">
        <v>2750</v>
      </c>
      <c r="M2516">
        <v>2750</v>
      </c>
      <c r="N2516">
        <v>0</v>
      </c>
    </row>
    <row r="2517" spans="1:14" x14ac:dyDescent="0.25">
      <c r="A2517">
        <v>1666.2352550000001</v>
      </c>
      <c r="B2517" s="1">
        <f>DATE(2014,11,22) + TIME(5,38,46)</f>
        <v>41965.235254629632</v>
      </c>
      <c r="C2517">
        <v>80</v>
      </c>
      <c r="D2517">
        <v>78.399551392000006</v>
      </c>
      <c r="E2517">
        <v>50</v>
      </c>
      <c r="F2517">
        <v>49.984191895000002</v>
      </c>
      <c r="G2517">
        <v>1326.0861815999999</v>
      </c>
      <c r="H2517">
        <v>1323.2213135</v>
      </c>
      <c r="I2517">
        <v>1346.1687012</v>
      </c>
      <c r="J2517">
        <v>1341.2999268000001</v>
      </c>
      <c r="K2517">
        <v>0</v>
      </c>
      <c r="L2517">
        <v>2750</v>
      </c>
      <c r="M2517">
        <v>2750</v>
      </c>
      <c r="N2517">
        <v>0</v>
      </c>
    </row>
    <row r="2518" spans="1:14" x14ac:dyDescent="0.25">
      <c r="A2518">
        <v>1666.9435989999999</v>
      </c>
      <c r="B2518" s="1">
        <f>DATE(2014,11,22) + TIME(22,38,46)</f>
        <v>41965.94358796296</v>
      </c>
      <c r="C2518">
        <v>80</v>
      </c>
      <c r="D2518">
        <v>78.358039856000005</v>
      </c>
      <c r="E2518">
        <v>50</v>
      </c>
      <c r="F2518">
        <v>49.984184265000003</v>
      </c>
      <c r="G2518">
        <v>1326.0576172000001</v>
      </c>
      <c r="H2518">
        <v>1323.1811522999999</v>
      </c>
      <c r="I2518">
        <v>1346.1617432</v>
      </c>
      <c r="J2518">
        <v>1341.2962646000001</v>
      </c>
      <c r="K2518">
        <v>0</v>
      </c>
      <c r="L2518">
        <v>2750</v>
      </c>
      <c r="M2518">
        <v>2750</v>
      </c>
      <c r="N2518">
        <v>0</v>
      </c>
    </row>
    <row r="2519" spans="1:14" x14ac:dyDescent="0.25">
      <c r="A2519">
        <v>1667.6713970000001</v>
      </c>
      <c r="B2519" s="1">
        <f>DATE(2014,11,23) + TIME(16,6,48)</f>
        <v>41966.671388888892</v>
      </c>
      <c r="C2519">
        <v>80</v>
      </c>
      <c r="D2519">
        <v>78.315910338999998</v>
      </c>
      <c r="E2519">
        <v>50</v>
      </c>
      <c r="F2519">
        <v>49.984180449999997</v>
      </c>
      <c r="G2519">
        <v>1326.0283202999999</v>
      </c>
      <c r="H2519">
        <v>1323.1400146000001</v>
      </c>
      <c r="I2519">
        <v>1346.1549072</v>
      </c>
      <c r="J2519">
        <v>1341.2927245999999</v>
      </c>
      <c r="K2519">
        <v>0</v>
      </c>
      <c r="L2519">
        <v>2750</v>
      </c>
      <c r="M2519">
        <v>2750</v>
      </c>
      <c r="N2519">
        <v>0</v>
      </c>
    </row>
    <row r="2520" spans="1:14" x14ac:dyDescent="0.25">
      <c r="A2520">
        <v>1668.4201499999999</v>
      </c>
      <c r="B2520" s="1">
        <f>DATE(2014,11,24) + TIME(10,5,0)</f>
        <v>41967.420138888891</v>
      </c>
      <c r="C2520">
        <v>80</v>
      </c>
      <c r="D2520">
        <v>78.273109435999999</v>
      </c>
      <c r="E2520">
        <v>50</v>
      </c>
      <c r="F2520">
        <v>49.984172821000001</v>
      </c>
      <c r="G2520">
        <v>1325.9981689000001</v>
      </c>
      <c r="H2520">
        <v>1323.0976562000001</v>
      </c>
      <c r="I2520">
        <v>1346.1480713000001</v>
      </c>
      <c r="J2520">
        <v>1341.2891846</v>
      </c>
      <c r="K2520">
        <v>0</v>
      </c>
      <c r="L2520">
        <v>2750</v>
      </c>
      <c r="M2520">
        <v>2750</v>
      </c>
      <c r="N2520">
        <v>0</v>
      </c>
    </row>
    <row r="2521" spans="1:14" x14ac:dyDescent="0.25">
      <c r="A2521">
        <v>1669.1919680000001</v>
      </c>
      <c r="B2521" s="1">
        <f>DATE(2014,11,25) + TIME(4,36,26)</f>
        <v>41968.191967592589</v>
      </c>
      <c r="C2521">
        <v>80</v>
      </c>
      <c r="D2521">
        <v>78.229545592999997</v>
      </c>
      <c r="E2521">
        <v>50</v>
      </c>
      <c r="F2521">
        <v>49.984165191999999</v>
      </c>
      <c r="G2521">
        <v>1325.9670410000001</v>
      </c>
      <c r="H2521">
        <v>1323.0541992000001</v>
      </c>
      <c r="I2521">
        <v>1346.1412353999999</v>
      </c>
      <c r="J2521">
        <v>1341.2856445</v>
      </c>
      <c r="K2521">
        <v>0</v>
      </c>
      <c r="L2521">
        <v>2750</v>
      </c>
      <c r="M2521">
        <v>2750</v>
      </c>
      <c r="N2521">
        <v>0</v>
      </c>
    </row>
    <row r="2522" spans="1:14" x14ac:dyDescent="0.25">
      <c r="A2522">
        <v>1669.988998</v>
      </c>
      <c r="B2522" s="1">
        <f>DATE(2014,11,25) + TIME(23,44,9)</f>
        <v>41968.988993055558</v>
      </c>
      <c r="C2522">
        <v>80</v>
      </c>
      <c r="D2522">
        <v>78.185134887999993</v>
      </c>
      <c r="E2522">
        <v>50</v>
      </c>
      <c r="F2522">
        <v>49.984157562</v>
      </c>
      <c r="G2522">
        <v>1325.9351807</v>
      </c>
      <c r="H2522">
        <v>1323.0093993999999</v>
      </c>
      <c r="I2522">
        <v>1346.1345214999999</v>
      </c>
      <c r="J2522">
        <v>1341.2822266000001</v>
      </c>
      <c r="K2522">
        <v>0</v>
      </c>
      <c r="L2522">
        <v>2750</v>
      </c>
      <c r="M2522">
        <v>2750</v>
      </c>
      <c r="N2522">
        <v>0</v>
      </c>
    </row>
    <row r="2523" spans="1:14" x14ac:dyDescent="0.25">
      <c r="A2523">
        <v>1670.8135520000001</v>
      </c>
      <c r="B2523" s="1">
        <f>DATE(2014,11,26) + TIME(19,31,30)</f>
        <v>41969.81354166667</v>
      </c>
      <c r="C2523">
        <v>80</v>
      </c>
      <c r="D2523">
        <v>78.139801024999997</v>
      </c>
      <c r="E2523">
        <v>50</v>
      </c>
      <c r="F2523">
        <v>49.984153747999997</v>
      </c>
      <c r="G2523">
        <v>1325.9022216999999</v>
      </c>
      <c r="H2523">
        <v>1322.9631348</v>
      </c>
      <c r="I2523">
        <v>1346.1276855000001</v>
      </c>
      <c r="J2523">
        <v>1341.2786865</v>
      </c>
      <c r="K2523">
        <v>0</v>
      </c>
      <c r="L2523">
        <v>2750</v>
      </c>
      <c r="M2523">
        <v>2750</v>
      </c>
      <c r="N2523">
        <v>0</v>
      </c>
    </row>
    <row r="2524" spans="1:14" x14ac:dyDescent="0.25">
      <c r="A2524">
        <v>1671.6681610000001</v>
      </c>
      <c r="B2524" s="1">
        <f>DATE(2014,11,27) + TIME(16,2,9)</f>
        <v>41970.66815972222</v>
      </c>
      <c r="C2524">
        <v>80</v>
      </c>
      <c r="D2524">
        <v>78.093429564999994</v>
      </c>
      <c r="E2524">
        <v>50</v>
      </c>
      <c r="F2524">
        <v>49.984146117999998</v>
      </c>
      <c r="G2524">
        <v>1325.8681641000001</v>
      </c>
      <c r="H2524">
        <v>1322.9155272999999</v>
      </c>
      <c r="I2524">
        <v>1346.1209716999999</v>
      </c>
      <c r="J2524">
        <v>1341.2752685999999</v>
      </c>
      <c r="K2524">
        <v>0</v>
      </c>
      <c r="L2524">
        <v>2750</v>
      </c>
      <c r="M2524">
        <v>2750</v>
      </c>
      <c r="N2524">
        <v>0</v>
      </c>
    </row>
    <row r="2525" spans="1:14" x14ac:dyDescent="0.25">
      <c r="A2525">
        <v>1672.5556079999999</v>
      </c>
      <c r="B2525" s="1">
        <f>DATE(2014,11,28) + TIME(13,20,4)</f>
        <v>41971.555601851855</v>
      </c>
      <c r="C2525">
        <v>80</v>
      </c>
      <c r="D2525">
        <v>78.045936584000003</v>
      </c>
      <c r="E2525">
        <v>50</v>
      </c>
      <c r="F2525">
        <v>49.984138489000003</v>
      </c>
      <c r="G2525">
        <v>1325.8328856999999</v>
      </c>
      <c r="H2525">
        <v>1322.8660889</v>
      </c>
      <c r="I2525">
        <v>1346.1141356999999</v>
      </c>
      <c r="J2525">
        <v>1341.2717285000001</v>
      </c>
      <c r="K2525">
        <v>0</v>
      </c>
      <c r="L2525">
        <v>2750</v>
      </c>
      <c r="M2525">
        <v>2750</v>
      </c>
      <c r="N2525">
        <v>0</v>
      </c>
    </row>
    <row r="2526" spans="1:14" x14ac:dyDescent="0.25">
      <c r="A2526">
        <v>1673.478971</v>
      </c>
      <c r="B2526" s="1">
        <f>DATE(2014,11,29) + TIME(11,29,43)</f>
        <v>41972.47896990741</v>
      </c>
      <c r="C2526">
        <v>80</v>
      </c>
      <c r="D2526">
        <v>77.997207642000006</v>
      </c>
      <c r="E2526">
        <v>50</v>
      </c>
      <c r="F2526">
        <v>49.984134674000003</v>
      </c>
      <c r="G2526">
        <v>1325.7963867000001</v>
      </c>
      <c r="H2526">
        <v>1322.8149414</v>
      </c>
      <c r="I2526">
        <v>1346.1072998</v>
      </c>
      <c r="J2526">
        <v>1341.2683105000001</v>
      </c>
      <c r="K2526">
        <v>0</v>
      </c>
      <c r="L2526">
        <v>2750</v>
      </c>
      <c r="M2526">
        <v>2750</v>
      </c>
      <c r="N2526">
        <v>0</v>
      </c>
    </row>
    <row r="2527" spans="1:14" x14ac:dyDescent="0.25">
      <c r="A2527">
        <v>1674.441219</v>
      </c>
      <c r="B2527" s="1">
        <f>DATE(2014,11,30) + TIME(10,35,21)</f>
        <v>41973.44121527778</v>
      </c>
      <c r="C2527">
        <v>80</v>
      </c>
      <c r="D2527">
        <v>77.947128296000002</v>
      </c>
      <c r="E2527">
        <v>50</v>
      </c>
      <c r="F2527">
        <v>49.984127045000001</v>
      </c>
      <c r="G2527">
        <v>1325.7585449000001</v>
      </c>
      <c r="H2527">
        <v>1322.7618408000001</v>
      </c>
      <c r="I2527">
        <v>1346.1004639</v>
      </c>
      <c r="J2527">
        <v>1341.2647704999999</v>
      </c>
      <c r="K2527">
        <v>0</v>
      </c>
      <c r="L2527">
        <v>2750</v>
      </c>
      <c r="M2527">
        <v>2750</v>
      </c>
      <c r="N2527">
        <v>0</v>
      </c>
    </row>
    <row r="2528" spans="1:14" x14ac:dyDescent="0.25">
      <c r="A2528">
        <v>1675</v>
      </c>
      <c r="B2528" s="1">
        <f>DATE(2014,12,1) + TIME(0,0,0)</f>
        <v>41974</v>
      </c>
      <c r="C2528">
        <v>80</v>
      </c>
      <c r="D2528">
        <v>77.908325195000003</v>
      </c>
      <c r="E2528">
        <v>50</v>
      </c>
      <c r="F2528">
        <v>49.984119415000002</v>
      </c>
      <c r="G2528">
        <v>1325.7210693</v>
      </c>
      <c r="H2528">
        <v>1322.7103271000001</v>
      </c>
      <c r="I2528">
        <v>1346.0933838000001</v>
      </c>
      <c r="J2528">
        <v>1341.2612305</v>
      </c>
      <c r="K2528">
        <v>0</v>
      </c>
      <c r="L2528">
        <v>2750</v>
      </c>
      <c r="M2528">
        <v>2750</v>
      </c>
      <c r="N2528">
        <v>0</v>
      </c>
    </row>
    <row r="2529" spans="1:14" x14ac:dyDescent="0.25">
      <c r="A2529">
        <v>1675.99578</v>
      </c>
      <c r="B2529" s="1">
        <f>DATE(2014,12,1) + TIME(23,53,55)</f>
        <v>41974.995775462965</v>
      </c>
      <c r="C2529">
        <v>80</v>
      </c>
      <c r="D2529">
        <v>77.862548828000001</v>
      </c>
      <c r="E2529">
        <v>50</v>
      </c>
      <c r="F2529">
        <v>49.984115600999999</v>
      </c>
      <c r="G2529">
        <v>1325.6937256000001</v>
      </c>
      <c r="H2529">
        <v>1322.6705322</v>
      </c>
      <c r="I2529">
        <v>1346.0897216999999</v>
      </c>
      <c r="J2529">
        <v>1341.2593993999999</v>
      </c>
      <c r="K2529">
        <v>0</v>
      </c>
      <c r="L2529">
        <v>2750</v>
      </c>
      <c r="M2529">
        <v>2750</v>
      </c>
      <c r="N2529">
        <v>0</v>
      </c>
    </row>
    <row r="2530" spans="1:14" x14ac:dyDescent="0.25">
      <c r="A2530">
        <v>1677.024402</v>
      </c>
      <c r="B2530" s="1">
        <f>DATE(2014,12,3) + TIME(0,35,8)</f>
        <v>41976.024398148147</v>
      </c>
      <c r="C2530">
        <v>80</v>
      </c>
      <c r="D2530">
        <v>77.812583923000005</v>
      </c>
      <c r="E2530">
        <v>50</v>
      </c>
      <c r="F2530">
        <v>49.984111786</v>
      </c>
      <c r="G2530">
        <v>1325.6545410000001</v>
      </c>
      <c r="H2530">
        <v>1322.6158447</v>
      </c>
      <c r="I2530">
        <v>1346.0828856999999</v>
      </c>
      <c r="J2530">
        <v>1341.2559814000001</v>
      </c>
      <c r="K2530">
        <v>0</v>
      </c>
      <c r="L2530">
        <v>2750</v>
      </c>
      <c r="M2530">
        <v>2750</v>
      </c>
      <c r="N2530">
        <v>0</v>
      </c>
    </row>
    <row r="2531" spans="1:14" x14ac:dyDescent="0.25">
      <c r="A2531">
        <v>1678.0715259999999</v>
      </c>
      <c r="B2531" s="1">
        <f>DATE(2014,12,4) + TIME(1,42,59)</f>
        <v>41977.071516203701</v>
      </c>
      <c r="C2531">
        <v>80</v>
      </c>
      <c r="D2531">
        <v>77.760528563999998</v>
      </c>
      <c r="E2531">
        <v>50</v>
      </c>
      <c r="F2531">
        <v>49.984104156000001</v>
      </c>
      <c r="G2531">
        <v>1325.6131591999999</v>
      </c>
      <c r="H2531">
        <v>1322.5583495999999</v>
      </c>
      <c r="I2531">
        <v>1346.0760498</v>
      </c>
      <c r="J2531">
        <v>1341.2525635</v>
      </c>
      <c r="K2531">
        <v>0</v>
      </c>
      <c r="L2531">
        <v>2750</v>
      </c>
      <c r="M2531">
        <v>2750</v>
      </c>
      <c r="N2531">
        <v>0</v>
      </c>
    </row>
    <row r="2532" spans="1:14" x14ac:dyDescent="0.25">
      <c r="A2532">
        <v>1679.1396560000001</v>
      </c>
      <c r="B2532" s="1">
        <f>DATE(2014,12,5) + TIME(3,21,6)</f>
        <v>41978.139652777776</v>
      </c>
      <c r="C2532">
        <v>80</v>
      </c>
      <c r="D2532">
        <v>77.707412719999994</v>
      </c>
      <c r="E2532">
        <v>50</v>
      </c>
      <c r="F2532">
        <v>49.984100341999998</v>
      </c>
      <c r="G2532">
        <v>1325.5708007999999</v>
      </c>
      <c r="H2532">
        <v>1322.4990233999999</v>
      </c>
      <c r="I2532">
        <v>1346.0693358999999</v>
      </c>
      <c r="J2532">
        <v>1341.2491454999999</v>
      </c>
      <c r="K2532">
        <v>0</v>
      </c>
      <c r="L2532">
        <v>2750</v>
      </c>
      <c r="M2532">
        <v>2750</v>
      </c>
      <c r="N2532">
        <v>0</v>
      </c>
    </row>
    <row r="2533" spans="1:14" x14ac:dyDescent="0.25">
      <c r="A2533">
        <v>1680.2312529999999</v>
      </c>
      <c r="B2533" s="1">
        <f>DATE(2014,12,6) + TIME(5,33,0)</f>
        <v>41979.231249999997</v>
      </c>
      <c r="C2533">
        <v>80</v>
      </c>
      <c r="D2533">
        <v>77.653594971000004</v>
      </c>
      <c r="E2533">
        <v>50</v>
      </c>
      <c r="F2533">
        <v>49.984096526999998</v>
      </c>
      <c r="G2533">
        <v>1325.5275879000001</v>
      </c>
      <c r="H2533">
        <v>1322.4384766000001</v>
      </c>
      <c r="I2533">
        <v>1346.0627440999999</v>
      </c>
      <c r="J2533">
        <v>1341.2458495999999</v>
      </c>
      <c r="K2533">
        <v>0</v>
      </c>
      <c r="L2533">
        <v>2750</v>
      </c>
      <c r="M2533">
        <v>2750</v>
      </c>
      <c r="N2533">
        <v>0</v>
      </c>
    </row>
    <row r="2534" spans="1:14" x14ac:dyDescent="0.25">
      <c r="A2534">
        <v>1681.3489870000001</v>
      </c>
      <c r="B2534" s="1">
        <f>DATE(2014,12,7) + TIME(8,22,32)</f>
        <v>41980.348981481482</v>
      </c>
      <c r="C2534">
        <v>80</v>
      </c>
      <c r="D2534">
        <v>77.599151610999996</v>
      </c>
      <c r="E2534">
        <v>50</v>
      </c>
      <c r="F2534">
        <v>49.984088898000003</v>
      </c>
      <c r="G2534">
        <v>1325.4833983999999</v>
      </c>
      <c r="H2534">
        <v>1322.3767089999999</v>
      </c>
      <c r="I2534">
        <v>1346.0561522999999</v>
      </c>
      <c r="J2534">
        <v>1341.2426757999999</v>
      </c>
      <c r="K2534">
        <v>0</v>
      </c>
      <c r="L2534">
        <v>2750</v>
      </c>
      <c r="M2534">
        <v>2750</v>
      </c>
      <c r="N2534">
        <v>0</v>
      </c>
    </row>
    <row r="2535" spans="1:14" x14ac:dyDescent="0.25">
      <c r="A2535">
        <v>1682.4958340000001</v>
      </c>
      <c r="B2535" s="1">
        <f>DATE(2014,12,8) + TIME(11,54,0)</f>
        <v>41981.495833333334</v>
      </c>
      <c r="C2535">
        <v>80</v>
      </c>
      <c r="D2535">
        <v>77.544029236</v>
      </c>
      <c r="E2535">
        <v>50</v>
      </c>
      <c r="F2535">
        <v>49.984085082999997</v>
      </c>
      <c r="G2535">
        <v>1325.4383545000001</v>
      </c>
      <c r="H2535">
        <v>1322.3135986</v>
      </c>
      <c r="I2535">
        <v>1346.0496826000001</v>
      </c>
      <c r="J2535">
        <v>1341.2393798999999</v>
      </c>
      <c r="K2535">
        <v>0</v>
      </c>
      <c r="L2535">
        <v>2750</v>
      </c>
      <c r="M2535">
        <v>2750</v>
      </c>
      <c r="N2535">
        <v>0</v>
      </c>
    </row>
    <row r="2536" spans="1:14" x14ac:dyDescent="0.25">
      <c r="A2536">
        <v>1683.6748170000001</v>
      </c>
      <c r="B2536" s="1">
        <f>DATE(2014,12,9) + TIME(16,11,44)</f>
        <v>41982.674814814818</v>
      </c>
      <c r="C2536">
        <v>80</v>
      </c>
      <c r="D2536">
        <v>77.488159179999997</v>
      </c>
      <c r="E2536">
        <v>50</v>
      </c>
      <c r="F2536">
        <v>49.984081267999997</v>
      </c>
      <c r="G2536">
        <v>1325.3922118999999</v>
      </c>
      <c r="H2536">
        <v>1322.2491454999999</v>
      </c>
      <c r="I2536">
        <v>1346.0432129000001</v>
      </c>
      <c r="J2536">
        <v>1341.2362060999999</v>
      </c>
      <c r="K2536">
        <v>0</v>
      </c>
      <c r="L2536">
        <v>2750</v>
      </c>
      <c r="M2536">
        <v>2750</v>
      </c>
      <c r="N2536">
        <v>0</v>
      </c>
    </row>
    <row r="2537" spans="1:14" x14ac:dyDescent="0.25">
      <c r="A2537">
        <v>1684.8886669999999</v>
      </c>
      <c r="B2537" s="1">
        <f>DATE(2014,12,10) + TIME(21,19,40)</f>
        <v>41983.888657407406</v>
      </c>
      <c r="C2537">
        <v>80</v>
      </c>
      <c r="D2537">
        <v>77.431411742999998</v>
      </c>
      <c r="E2537">
        <v>50</v>
      </c>
      <c r="F2537">
        <v>49.984077454000001</v>
      </c>
      <c r="G2537">
        <v>1325.3450928</v>
      </c>
      <c r="H2537">
        <v>1322.1833495999999</v>
      </c>
      <c r="I2537">
        <v>1346.0368652</v>
      </c>
      <c r="J2537">
        <v>1341.2330322</v>
      </c>
      <c r="K2537">
        <v>0</v>
      </c>
      <c r="L2537">
        <v>2750</v>
      </c>
      <c r="M2537">
        <v>2750</v>
      </c>
      <c r="N2537">
        <v>0</v>
      </c>
    </row>
    <row r="2538" spans="1:14" x14ac:dyDescent="0.25">
      <c r="A2538">
        <v>1686.1411069999999</v>
      </c>
      <c r="B2538" s="1">
        <f>DATE(2014,12,12) + TIME(3,23,11)</f>
        <v>41985.141099537039</v>
      </c>
      <c r="C2538">
        <v>80</v>
      </c>
      <c r="D2538">
        <v>77.373687743999994</v>
      </c>
      <c r="E2538">
        <v>50</v>
      </c>
      <c r="F2538">
        <v>49.984069824000002</v>
      </c>
      <c r="G2538">
        <v>1325.296875</v>
      </c>
      <c r="H2538">
        <v>1322.1158447</v>
      </c>
      <c r="I2538">
        <v>1346.0303954999999</v>
      </c>
      <c r="J2538">
        <v>1341.2299805</v>
      </c>
      <c r="K2538">
        <v>0</v>
      </c>
      <c r="L2538">
        <v>2750</v>
      </c>
      <c r="M2538">
        <v>2750</v>
      </c>
      <c r="N2538">
        <v>0</v>
      </c>
    </row>
    <row r="2539" spans="1:14" x14ac:dyDescent="0.25">
      <c r="A2539">
        <v>1687.4360389999999</v>
      </c>
      <c r="B2539" s="1">
        <f>DATE(2014,12,13) + TIME(10,27,53)</f>
        <v>41986.436030092591</v>
      </c>
      <c r="C2539">
        <v>80</v>
      </c>
      <c r="D2539">
        <v>77.314826964999995</v>
      </c>
      <c r="E2539">
        <v>50</v>
      </c>
      <c r="F2539">
        <v>49.984066009999999</v>
      </c>
      <c r="G2539">
        <v>1325.2471923999999</v>
      </c>
      <c r="H2539">
        <v>1322.0466309000001</v>
      </c>
      <c r="I2539">
        <v>1346.0239257999999</v>
      </c>
      <c r="J2539">
        <v>1341.2268065999999</v>
      </c>
      <c r="K2539">
        <v>0</v>
      </c>
      <c r="L2539">
        <v>2750</v>
      </c>
      <c r="M2539">
        <v>2750</v>
      </c>
      <c r="N2539">
        <v>0</v>
      </c>
    </row>
    <row r="2540" spans="1:14" x14ac:dyDescent="0.25">
      <c r="A2540">
        <v>1688.7777129999999</v>
      </c>
      <c r="B2540" s="1">
        <f>DATE(2014,12,14) + TIME(18,39,54)</f>
        <v>41987.777708333335</v>
      </c>
      <c r="C2540">
        <v>80</v>
      </c>
      <c r="D2540">
        <v>77.254692078000005</v>
      </c>
      <c r="E2540">
        <v>50</v>
      </c>
      <c r="F2540">
        <v>49.984062195</v>
      </c>
      <c r="G2540">
        <v>1325.1962891000001</v>
      </c>
      <c r="H2540">
        <v>1321.9754639</v>
      </c>
      <c r="I2540">
        <v>1346.0175781</v>
      </c>
      <c r="J2540">
        <v>1341.2236327999999</v>
      </c>
      <c r="K2540">
        <v>0</v>
      </c>
      <c r="L2540">
        <v>2750</v>
      </c>
      <c r="M2540">
        <v>2750</v>
      </c>
      <c r="N2540">
        <v>0</v>
      </c>
    </row>
    <row r="2541" spans="1:14" x14ac:dyDescent="0.25">
      <c r="A2541">
        <v>1690.1707980000001</v>
      </c>
      <c r="B2541" s="1">
        <f>DATE(2014,12,16) + TIME(4,5,56)</f>
        <v>41989.170787037037</v>
      </c>
      <c r="C2541">
        <v>80</v>
      </c>
      <c r="D2541">
        <v>77.193107604999994</v>
      </c>
      <c r="E2541">
        <v>50</v>
      </c>
      <c r="F2541">
        <v>49.98405838</v>
      </c>
      <c r="G2541">
        <v>1325.1437988</v>
      </c>
      <c r="H2541">
        <v>1321.9020995999999</v>
      </c>
      <c r="I2541">
        <v>1346.0109863</v>
      </c>
      <c r="J2541">
        <v>1341.2205810999999</v>
      </c>
      <c r="K2541">
        <v>0</v>
      </c>
      <c r="L2541">
        <v>2750</v>
      </c>
      <c r="M2541">
        <v>2750</v>
      </c>
      <c r="N2541">
        <v>0</v>
      </c>
    </row>
    <row r="2542" spans="1:14" x14ac:dyDescent="0.25">
      <c r="A2542">
        <v>1691.6204640000001</v>
      </c>
      <c r="B2542" s="1">
        <f>DATE(2014,12,17) + TIME(14,53,28)</f>
        <v>41990.620462962965</v>
      </c>
      <c r="C2542">
        <v>80</v>
      </c>
      <c r="D2542">
        <v>77.129882812000005</v>
      </c>
      <c r="E2542">
        <v>50</v>
      </c>
      <c r="F2542">
        <v>49.984054565000001</v>
      </c>
      <c r="G2542">
        <v>1325.0895995999999</v>
      </c>
      <c r="H2542">
        <v>1321.8265381000001</v>
      </c>
      <c r="I2542">
        <v>1346.0045166</v>
      </c>
      <c r="J2542">
        <v>1341.2174072</v>
      </c>
      <c r="K2542">
        <v>0</v>
      </c>
      <c r="L2542">
        <v>2750</v>
      </c>
      <c r="M2542">
        <v>2750</v>
      </c>
      <c r="N2542">
        <v>0</v>
      </c>
    </row>
    <row r="2543" spans="1:14" x14ac:dyDescent="0.25">
      <c r="A2543">
        <v>1693.132458</v>
      </c>
      <c r="B2543" s="1">
        <f>DATE(2014,12,19) + TIME(3,10,44)</f>
        <v>41992.132453703707</v>
      </c>
      <c r="C2543">
        <v>80</v>
      </c>
      <c r="D2543">
        <v>77.064826964999995</v>
      </c>
      <c r="E2543">
        <v>50</v>
      </c>
      <c r="F2543">
        <v>49.984050750999998</v>
      </c>
      <c r="G2543">
        <v>1325.0335693</v>
      </c>
      <c r="H2543">
        <v>1321.7485352000001</v>
      </c>
      <c r="I2543">
        <v>1345.9979248</v>
      </c>
      <c r="J2543">
        <v>1341.2142334</v>
      </c>
      <c r="K2543">
        <v>0</v>
      </c>
      <c r="L2543">
        <v>2750</v>
      </c>
      <c r="M2543">
        <v>2750</v>
      </c>
      <c r="N2543">
        <v>0</v>
      </c>
    </row>
    <row r="2544" spans="1:14" x14ac:dyDescent="0.25">
      <c r="A2544">
        <v>1694.696107</v>
      </c>
      <c r="B2544" s="1">
        <f>DATE(2014,12,20) + TIME(16,42,23)</f>
        <v>41993.696099537039</v>
      </c>
      <c r="C2544">
        <v>80</v>
      </c>
      <c r="D2544">
        <v>76.997917174999998</v>
      </c>
      <c r="E2544">
        <v>50</v>
      </c>
      <c r="F2544">
        <v>49.984050750999998</v>
      </c>
      <c r="G2544">
        <v>1324.9755858999999</v>
      </c>
      <c r="H2544">
        <v>1321.6677245999999</v>
      </c>
      <c r="I2544">
        <v>1345.9912108999999</v>
      </c>
      <c r="J2544">
        <v>1341.2109375</v>
      </c>
      <c r="K2544">
        <v>0</v>
      </c>
      <c r="L2544">
        <v>2750</v>
      </c>
      <c r="M2544">
        <v>2750</v>
      </c>
      <c r="N2544">
        <v>0</v>
      </c>
    </row>
    <row r="2545" spans="1:14" x14ac:dyDescent="0.25">
      <c r="A2545">
        <v>1696.288708</v>
      </c>
      <c r="B2545" s="1">
        <f>DATE(2014,12,22) + TIME(6,55,44)</f>
        <v>41995.288703703707</v>
      </c>
      <c r="C2545">
        <v>80</v>
      </c>
      <c r="D2545">
        <v>76.929626464999998</v>
      </c>
      <c r="E2545">
        <v>50</v>
      </c>
      <c r="F2545">
        <v>49.984046935999999</v>
      </c>
      <c r="G2545">
        <v>1324.9158935999999</v>
      </c>
      <c r="H2545">
        <v>1321.5847168</v>
      </c>
      <c r="I2545">
        <v>1345.9844971</v>
      </c>
      <c r="J2545">
        <v>1341.2077637</v>
      </c>
      <c r="K2545">
        <v>0</v>
      </c>
      <c r="L2545">
        <v>2750</v>
      </c>
      <c r="M2545">
        <v>2750</v>
      </c>
      <c r="N2545">
        <v>0</v>
      </c>
    </row>
    <row r="2546" spans="1:14" x14ac:dyDescent="0.25">
      <c r="A2546">
        <v>1697.914851</v>
      </c>
      <c r="B2546" s="1">
        <f>DATE(2014,12,23) + TIME(21,57,23)</f>
        <v>41996.914849537039</v>
      </c>
      <c r="C2546">
        <v>80</v>
      </c>
      <c r="D2546">
        <v>76.860443114999995</v>
      </c>
      <c r="E2546">
        <v>50</v>
      </c>
      <c r="F2546">
        <v>49.984043120999999</v>
      </c>
      <c r="G2546">
        <v>1324.8553466999999</v>
      </c>
      <c r="H2546">
        <v>1321.5003661999999</v>
      </c>
      <c r="I2546">
        <v>1345.9779053</v>
      </c>
      <c r="J2546">
        <v>1341.2045897999999</v>
      </c>
      <c r="K2546">
        <v>0</v>
      </c>
      <c r="L2546">
        <v>2750</v>
      </c>
      <c r="M2546">
        <v>2750</v>
      </c>
      <c r="N2546">
        <v>0</v>
      </c>
    </row>
    <row r="2547" spans="1:14" x14ac:dyDescent="0.25">
      <c r="A2547">
        <v>1699.578859</v>
      </c>
      <c r="B2547" s="1">
        <f>DATE(2014,12,25) + TIME(13,53,33)</f>
        <v>41998.57885416667</v>
      </c>
      <c r="C2547">
        <v>80</v>
      </c>
      <c r="D2547">
        <v>76.790359496999997</v>
      </c>
      <c r="E2547">
        <v>50</v>
      </c>
      <c r="F2547">
        <v>49.984039307000003</v>
      </c>
      <c r="G2547">
        <v>1324.7939452999999</v>
      </c>
      <c r="H2547">
        <v>1321.4147949000001</v>
      </c>
      <c r="I2547">
        <v>1345.9713135</v>
      </c>
      <c r="J2547">
        <v>1341.2014160000001</v>
      </c>
      <c r="K2547">
        <v>0</v>
      </c>
      <c r="L2547">
        <v>2750</v>
      </c>
      <c r="M2547">
        <v>2750</v>
      </c>
      <c r="N2547">
        <v>0</v>
      </c>
    </row>
    <row r="2548" spans="1:14" x14ac:dyDescent="0.25">
      <c r="A2548">
        <v>1701.2854620000001</v>
      </c>
      <c r="B2548" s="1">
        <f>DATE(2014,12,27) + TIME(6,51,3)</f>
        <v>42000.285451388889</v>
      </c>
      <c r="C2548">
        <v>80</v>
      </c>
      <c r="D2548">
        <v>76.719207764000004</v>
      </c>
      <c r="E2548">
        <v>50</v>
      </c>
      <c r="F2548">
        <v>49.984035491999997</v>
      </c>
      <c r="G2548">
        <v>1324.7314452999999</v>
      </c>
      <c r="H2548">
        <v>1321.3278809000001</v>
      </c>
      <c r="I2548">
        <v>1345.9648437999999</v>
      </c>
      <c r="J2548">
        <v>1341.1983643000001</v>
      </c>
      <c r="K2548">
        <v>0</v>
      </c>
      <c r="L2548">
        <v>2750</v>
      </c>
      <c r="M2548">
        <v>2750</v>
      </c>
      <c r="N2548">
        <v>0</v>
      </c>
    </row>
    <row r="2549" spans="1:14" x14ac:dyDescent="0.25">
      <c r="A2549">
        <v>1703.039804</v>
      </c>
      <c r="B2549" s="1">
        <f>DATE(2014,12,29) + TIME(0,57,19)</f>
        <v>42002.039803240739</v>
      </c>
      <c r="C2549">
        <v>80</v>
      </c>
      <c r="D2549">
        <v>76.646759032999995</v>
      </c>
      <c r="E2549">
        <v>50</v>
      </c>
      <c r="F2549">
        <v>49.984035491999997</v>
      </c>
      <c r="G2549">
        <v>1324.6679687999999</v>
      </c>
      <c r="H2549">
        <v>1321.2395019999999</v>
      </c>
      <c r="I2549">
        <v>1345.9582519999999</v>
      </c>
      <c r="J2549">
        <v>1341.1953125</v>
      </c>
      <c r="K2549">
        <v>0</v>
      </c>
      <c r="L2549">
        <v>2750</v>
      </c>
      <c r="M2549">
        <v>2750</v>
      </c>
      <c r="N2549">
        <v>0</v>
      </c>
    </row>
    <row r="2550" spans="1:14" x14ac:dyDescent="0.25">
      <c r="A2550">
        <v>1704.8475109999999</v>
      </c>
      <c r="B2550" s="1">
        <f>DATE(2014,12,30) + TIME(20,20,24)</f>
        <v>42003.847500000003</v>
      </c>
      <c r="C2550">
        <v>80</v>
      </c>
      <c r="D2550">
        <v>76.572761536000002</v>
      </c>
      <c r="E2550">
        <v>50</v>
      </c>
      <c r="F2550">
        <v>49.984031676999997</v>
      </c>
      <c r="G2550">
        <v>1324.6032714999999</v>
      </c>
      <c r="H2550">
        <v>1321.1495361</v>
      </c>
      <c r="I2550">
        <v>1345.9517822</v>
      </c>
      <c r="J2550">
        <v>1341.1921387</v>
      </c>
      <c r="K2550">
        <v>0</v>
      </c>
      <c r="L2550">
        <v>2750</v>
      </c>
      <c r="M2550">
        <v>2750</v>
      </c>
      <c r="N2550">
        <v>0</v>
      </c>
    </row>
    <row r="2551" spans="1:14" x14ac:dyDescent="0.25">
      <c r="A2551">
        <v>1706</v>
      </c>
      <c r="B2551" s="1">
        <f>DATE(2015,1,1) + TIME(0,0,0)</f>
        <v>42005</v>
      </c>
      <c r="C2551">
        <v>80</v>
      </c>
      <c r="D2551">
        <v>76.507095336999996</v>
      </c>
      <c r="E2551">
        <v>50</v>
      </c>
      <c r="F2551">
        <v>49.984027863000001</v>
      </c>
      <c r="G2551">
        <v>1324.5390625</v>
      </c>
      <c r="H2551">
        <v>1321.0612793</v>
      </c>
      <c r="I2551">
        <v>1345.9450684000001</v>
      </c>
      <c r="J2551">
        <v>1341.1889647999999</v>
      </c>
      <c r="K2551">
        <v>0</v>
      </c>
      <c r="L2551">
        <v>2750</v>
      </c>
      <c r="M2551">
        <v>2750</v>
      </c>
      <c r="N2551">
        <v>0</v>
      </c>
    </row>
    <row r="2552" spans="1:14" x14ac:dyDescent="0.25">
      <c r="A2552">
        <v>1707.866462</v>
      </c>
      <c r="B2552" s="1">
        <f>DATE(2015,1,2) + TIME(20,47,42)</f>
        <v>42006.86645833333</v>
      </c>
      <c r="C2552">
        <v>80</v>
      </c>
      <c r="D2552">
        <v>76.444473267000006</v>
      </c>
      <c r="E2552">
        <v>50</v>
      </c>
      <c r="F2552">
        <v>49.984027863000001</v>
      </c>
      <c r="G2552">
        <v>1324.4902344</v>
      </c>
      <c r="H2552">
        <v>1320.9909668</v>
      </c>
      <c r="I2552">
        <v>1345.9411620999999</v>
      </c>
      <c r="J2552">
        <v>1341.1871338000001</v>
      </c>
      <c r="K2552">
        <v>0</v>
      </c>
      <c r="L2552">
        <v>2750</v>
      </c>
      <c r="M2552">
        <v>2750</v>
      </c>
      <c r="N2552">
        <v>0</v>
      </c>
    </row>
    <row r="2553" spans="1:14" x14ac:dyDescent="0.25">
      <c r="A2553">
        <v>1709.8393920000001</v>
      </c>
      <c r="B2553" s="1">
        <f>DATE(2015,1,4) + TIME(20,8,43)</f>
        <v>42008.839386574073</v>
      </c>
      <c r="C2553">
        <v>80</v>
      </c>
      <c r="D2553">
        <v>76.369590759000005</v>
      </c>
      <c r="E2553">
        <v>50</v>
      </c>
      <c r="F2553">
        <v>49.984027863000001</v>
      </c>
      <c r="G2553">
        <v>1324.4265137</v>
      </c>
      <c r="H2553">
        <v>1320.9034423999999</v>
      </c>
      <c r="I2553">
        <v>1345.9346923999999</v>
      </c>
      <c r="J2553">
        <v>1341.184082</v>
      </c>
      <c r="K2553">
        <v>0</v>
      </c>
      <c r="L2553">
        <v>2750</v>
      </c>
      <c r="M2553">
        <v>2750</v>
      </c>
      <c r="N2553">
        <v>0</v>
      </c>
    </row>
    <row r="2554" spans="1:14" x14ac:dyDescent="0.25">
      <c r="A2554">
        <v>1711.8684989999999</v>
      </c>
      <c r="B2554" s="1">
        <f>DATE(2015,1,6) + TIME(20,50,38)</f>
        <v>42010.868495370371</v>
      </c>
      <c r="C2554">
        <v>80</v>
      </c>
      <c r="D2554">
        <v>76.288833617999998</v>
      </c>
      <c r="E2554">
        <v>50</v>
      </c>
      <c r="F2554">
        <v>49.984027863000001</v>
      </c>
      <c r="G2554">
        <v>1324.3574219</v>
      </c>
      <c r="H2554">
        <v>1320.8081055</v>
      </c>
      <c r="I2554">
        <v>1345.9279785000001</v>
      </c>
      <c r="J2554">
        <v>1341.1809082</v>
      </c>
      <c r="K2554">
        <v>0</v>
      </c>
      <c r="L2554">
        <v>2750</v>
      </c>
      <c r="M2554">
        <v>2750</v>
      </c>
      <c r="N2554">
        <v>0</v>
      </c>
    </row>
    <row r="2555" spans="1:14" x14ac:dyDescent="0.25">
      <c r="A2555">
        <v>1713.9642409999999</v>
      </c>
      <c r="B2555" s="1">
        <f>DATE(2015,1,8) + TIME(23,8,30)</f>
        <v>42012.964236111111</v>
      </c>
      <c r="C2555">
        <v>80</v>
      </c>
      <c r="D2555">
        <v>76.204856872999997</v>
      </c>
      <c r="E2555">
        <v>50</v>
      </c>
      <c r="F2555">
        <v>49.984024048000002</v>
      </c>
      <c r="G2555">
        <v>1324.2860106999999</v>
      </c>
      <c r="H2555">
        <v>1320.7092285000001</v>
      </c>
      <c r="I2555">
        <v>1345.9212646000001</v>
      </c>
      <c r="J2555">
        <v>1341.1777344</v>
      </c>
      <c r="K2555">
        <v>0</v>
      </c>
      <c r="L2555">
        <v>2750</v>
      </c>
      <c r="M2555">
        <v>2750</v>
      </c>
      <c r="N2555">
        <v>0</v>
      </c>
    </row>
    <row r="2556" spans="1:14" x14ac:dyDescent="0.25">
      <c r="A2556">
        <v>1716.144481</v>
      </c>
      <c r="B2556" s="1">
        <f>DATE(2015,1,11) + TIME(3,28,3)</f>
        <v>42015.144479166665</v>
      </c>
      <c r="C2556">
        <v>80</v>
      </c>
      <c r="D2556">
        <v>76.117828368999994</v>
      </c>
      <c r="E2556">
        <v>50</v>
      </c>
      <c r="F2556">
        <v>49.984024048000002</v>
      </c>
      <c r="G2556">
        <v>1324.2127685999999</v>
      </c>
      <c r="H2556">
        <v>1320.6076660000001</v>
      </c>
      <c r="I2556">
        <v>1345.9145507999999</v>
      </c>
      <c r="J2556">
        <v>1341.1745605000001</v>
      </c>
      <c r="K2556">
        <v>0</v>
      </c>
      <c r="L2556">
        <v>2750</v>
      </c>
      <c r="M2556">
        <v>2750</v>
      </c>
      <c r="N2556">
        <v>0</v>
      </c>
    </row>
    <row r="2557" spans="1:14" x14ac:dyDescent="0.25">
      <c r="A2557">
        <v>1718.402484</v>
      </c>
      <c r="B2557" s="1">
        <f>DATE(2015,1,13) + TIME(9,39,34)</f>
        <v>42017.40247685185</v>
      </c>
      <c r="C2557">
        <v>80</v>
      </c>
      <c r="D2557">
        <v>76.02734375</v>
      </c>
      <c r="E2557">
        <v>50</v>
      </c>
      <c r="F2557">
        <v>49.984024048000002</v>
      </c>
      <c r="G2557">
        <v>1324.1375731999999</v>
      </c>
      <c r="H2557">
        <v>1320.503418</v>
      </c>
      <c r="I2557">
        <v>1345.9077147999999</v>
      </c>
      <c r="J2557">
        <v>1341.1712646000001</v>
      </c>
      <c r="K2557">
        <v>0</v>
      </c>
      <c r="L2557">
        <v>2750</v>
      </c>
      <c r="M2557">
        <v>2750</v>
      </c>
      <c r="N2557">
        <v>0</v>
      </c>
    </row>
    <row r="2558" spans="1:14" x14ac:dyDescent="0.25">
      <c r="A2558">
        <v>1720.71144</v>
      </c>
      <c r="B2558" s="1">
        <f>DATE(2015,1,15) + TIME(17,4,28)</f>
        <v>42019.711435185185</v>
      </c>
      <c r="C2558">
        <v>80</v>
      </c>
      <c r="D2558">
        <v>75.933563231999997</v>
      </c>
      <c r="E2558">
        <v>50</v>
      </c>
      <c r="F2558">
        <v>49.984024048000002</v>
      </c>
      <c r="G2558">
        <v>1324.0603027</v>
      </c>
      <c r="H2558">
        <v>1320.3966064000001</v>
      </c>
      <c r="I2558">
        <v>1345.9007568</v>
      </c>
      <c r="J2558">
        <v>1341.1679687999999</v>
      </c>
      <c r="K2558">
        <v>0</v>
      </c>
      <c r="L2558">
        <v>2750</v>
      </c>
      <c r="M2558">
        <v>2750</v>
      </c>
      <c r="N2558">
        <v>0</v>
      </c>
    </row>
    <row r="2559" spans="1:14" x14ac:dyDescent="0.25">
      <c r="A2559">
        <v>1723.083617</v>
      </c>
      <c r="B2559" s="1">
        <f>DATE(2015,1,18) + TIME(2,0,24)</f>
        <v>42022.083611111113</v>
      </c>
      <c r="C2559">
        <v>80</v>
      </c>
      <c r="D2559">
        <v>75.836944579999994</v>
      </c>
      <c r="E2559">
        <v>50</v>
      </c>
      <c r="F2559">
        <v>49.984024048000002</v>
      </c>
      <c r="G2559">
        <v>1323.9820557</v>
      </c>
      <c r="H2559">
        <v>1320.2882079999999</v>
      </c>
      <c r="I2559">
        <v>1345.8939209</v>
      </c>
      <c r="J2559">
        <v>1341.1646728999999</v>
      </c>
      <c r="K2559">
        <v>0</v>
      </c>
      <c r="L2559">
        <v>2750</v>
      </c>
      <c r="M2559">
        <v>2750</v>
      </c>
      <c r="N2559">
        <v>0</v>
      </c>
    </row>
    <row r="2560" spans="1:14" x14ac:dyDescent="0.25">
      <c r="A2560">
        <v>1725.466786</v>
      </c>
      <c r="B2560" s="1">
        <f>DATE(2015,1,20) + TIME(11,12,10)</f>
        <v>42024.466782407406</v>
      </c>
      <c r="C2560">
        <v>80</v>
      </c>
      <c r="D2560">
        <v>75.737594603999995</v>
      </c>
      <c r="E2560">
        <v>50</v>
      </c>
      <c r="F2560">
        <v>49.984024048000002</v>
      </c>
      <c r="G2560">
        <v>1323.9025879000001</v>
      </c>
      <c r="H2560">
        <v>1320.1783447</v>
      </c>
      <c r="I2560">
        <v>1345.8869629000001</v>
      </c>
      <c r="J2560">
        <v>1341.1613769999999</v>
      </c>
      <c r="K2560">
        <v>0</v>
      </c>
      <c r="L2560">
        <v>2750</v>
      </c>
      <c r="M2560">
        <v>2750</v>
      </c>
      <c r="N2560">
        <v>0</v>
      </c>
    </row>
    <row r="2561" spans="1:14" x14ac:dyDescent="0.25">
      <c r="A2561">
        <v>1727.8775869999999</v>
      </c>
      <c r="B2561" s="1">
        <f>DATE(2015,1,22) + TIME(21,3,43)</f>
        <v>42026.877581018518</v>
      </c>
      <c r="C2561">
        <v>80</v>
      </c>
      <c r="D2561">
        <v>75.636558532999999</v>
      </c>
      <c r="E2561">
        <v>50</v>
      </c>
      <c r="F2561">
        <v>49.984024048000002</v>
      </c>
      <c r="G2561">
        <v>1323.8233643000001</v>
      </c>
      <c r="H2561">
        <v>1320.0686035000001</v>
      </c>
      <c r="I2561">
        <v>1345.8801269999999</v>
      </c>
      <c r="J2561">
        <v>1341.1580810999999</v>
      </c>
      <c r="K2561">
        <v>0</v>
      </c>
      <c r="L2561">
        <v>2750</v>
      </c>
      <c r="M2561">
        <v>2750</v>
      </c>
      <c r="N2561">
        <v>0</v>
      </c>
    </row>
    <row r="2562" spans="1:14" x14ac:dyDescent="0.25">
      <c r="A2562">
        <v>1730.340142</v>
      </c>
      <c r="B2562" s="1">
        <f>DATE(2015,1,25) + TIME(8,9,48)</f>
        <v>42029.340138888889</v>
      </c>
      <c r="C2562">
        <v>80</v>
      </c>
      <c r="D2562">
        <v>75.533348083000007</v>
      </c>
      <c r="E2562">
        <v>50</v>
      </c>
      <c r="F2562">
        <v>49.984024048000002</v>
      </c>
      <c r="G2562">
        <v>1323.7441406</v>
      </c>
      <c r="H2562">
        <v>1319.9589844</v>
      </c>
      <c r="I2562">
        <v>1345.8732910000001</v>
      </c>
      <c r="J2562">
        <v>1341.1547852000001</v>
      </c>
      <c r="K2562">
        <v>0</v>
      </c>
      <c r="L2562">
        <v>2750</v>
      </c>
      <c r="M2562">
        <v>2750</v>
      </c>
      <c r="N2562">
        <v>0</v>
      </c>
    </row>
    <row r="2563" spans="1:14" x14ac:dyDescent="0.25">
      <c r="A2563">
        <v>1732.876636</v>
      </c>
      <c r="B2563" s="1">
        <f>DATE(2015,1,27) + TIME(21,2,21)</f>
        <v>42031.876631944448</v>
      </c>
      <c r="C2563">
        <v>80</v>
      </c>
      <c r="D2563">
        <v>75.426895142000006</v>
      </c>
      <c r="E2563">
        <v>50</v>
      </c>
      <c r="F2563">
        <v>49.984027863000001</v>
      </c>
      <c r="G2563">
        <v>1323.6644286999999</v>
      </c>
      <c r="H2563">
        <v>1319.8487548999999</v>
      </c>
      <c r="I2563">
        <v>1345.8665771000001</v>
      </c>
      <c r="J2563">
        <v>1341.1514893000001</v>
      </c>
      <c r="K2563">
        <v>0</v>
      </c>
      <c r="L2563">
        <v>2750</v>
      </c>
      <c r="M2563">
        <v>2750</v>
      </c>
      <c r="N2563">
        <v>0</v>
      </c>
    </row>
    <row r="2564" spans="1:14" x14ac:dyDescent="0.25">
      <c r="A2564">
        <v>1735.508427</v>
      </c>
      <c r="B2564" s="1">
        <f>DATE(2015,1,30) + TIME(12,12,8)</f>
        <v>42034.508425925924</v>
      </c>
      <c r="C2564">
        <v>80</v>
      </c>
      <c r="D2564">
        <v>75.316078185999999</v>
      </c>
      <c r="E2564">
        <v>50</v>
      </c>
      <c r="F2564">
        <v>49.984027863000001</v>
      </c>
      <c r="G2564">
        <v>1323.5836182</v>
      </c>
      <c r="H2564">
        <v>1319.7369385</v>
      </c>
      <c r="I2564">
        <v>1345.8597411999999</v>
      </c>
      <c r="J2564">
        <v>1341.1480713000001</v>
      </c>
      <c r="K2564">
        <v>0</v>
      </c>
      <c r="L2564">
        <v>2750</v>
      </c>
      <c r="M2564">
        <v>2750</v>
      </c>
      <c r="N2564">
        <v>0</v>
      </c>
    </row>
    <row r="2565" spans="1:14" x14ac:dyDescent="0.25">
      <c r="A2565">
        <v>1737</v>
      </c>
      <c r="B2565" s="1">
        <f>DATE(2015,2,1) + TIME(0,0,0)</f>
        <v>42036</v>
      </c>
      <c r="C2565">
        <v>80</v>
      </c>
      <c r="D2565">
        <v>75.214408875000004</v>
      </c>
      <c r="E2565">
        <v>50</v>
      </c>
      <c r="F2565">
        <v>49.984024048000002</v>
      </c>
      <c r="G2565">
        <v>1323.5030518000001</v>
      </c>
      <c r="H2565">
        <v>1319.6271973</v>
      </c>
      <c r="I2565">
        <v>1345.8526611</v>
      </c>
      <c r="J2565">
        <v>1341.1445312000001</v>
      </c>
      <c r="K2565">
        <v>0</v>
      </c>
      <c r="L2565">
        <v>2750</v>
      </c>
      <c r="M2565">
        <v>2750</v>
      </c>
      <c r="N2565">
        <v>0</v>
      </c>
    </row>
    <row r="2566" spans="1:14" x14ac:dyDescent="0.25">
      <c r="A2566">
        <v>1739.6994400000001</v>
      </c>
      <c r="B2566" s="1">
        <f>DATE(2015,2,3) + TIME(16,47,11)</f>
        <v>42038.699432870373</v>
      </c>
      <c r="C2566">
        <v>80</v>
      </c>
      <c r="D2566">
        <v>75.127128600999995</v>
      </c>
      <c r="E2566">
        <v>50</v>
      </c>
      <c r="F2566">
        <v>49.984031676999997</v>
      </c>
      <c r="G2566">
        <v>1323.4467772999999</v>
      </c>
      <c r="H2566">
        <v>1319.5452881000001</v>
      </c>
      <c r="I2566">
        <v>1345.8488769999999</v>
      </c>
      <c r="J2566">
        <v>1341.1427002</v>
      </c>
      <c r="K2566">
        <v>0</v>
      </c>
      <c r="L2566">
        <v>2750</v>
      </c>
      <c r="M2566">
        <v>2750</v>
      </c>
      <c r="N2566">
        <v>0</v>
      </c>
    </row>
    <row r="2567" spans="1:14" x14ac:dyDescent="0.25">
      <c r="A2567">
        <v>1742.514956</v>
      </c>
      <c r="B2567" s="1">
        <f>DATE(2015,2,6) + TIME(12,21,32)</f>
        <v>42041.514953703707</v>
      </c>
      <c r="C2567">
        <v>80</v>
      </c>
      <c r="D2567">
        <v>75.010467528999996</v>
      </c>
      <c r="E2567">
        <v>50</v>
      </c>
      <c r="F2567">
        <v>49.984031676999997</v>
      </c>
      <c r="G2567">
        <v>1323.3696289</v>
      </c>
      <c r="H2567">
        <v>1319.4411620999999</v>
      </c>
      <c r="I2567">
        <v>1345.8417969</v>
      </c>
      <c r="J2567">
        <v>1341.1392822</v>
      </c>
      <c r="K2567">
        <v>0</v>
      </c>
      <c r="L2567">
        <v>2750</v>
      </c>
      <c r="M2567">
        <v>2750</v>
      </c>
      <c r="N2567">
        <v>0</v>
      </c>
    </row>
    <row r="2568" spans="1:14" x14ac:dyDescent="0.25">
      <c r="A2568">
        <v>1745.4340910000001</v>
      </c>
      <c r="B2568" s="1">
        <f>DATE(2015,2,9) + TIME(10,25,5)</f>
        <v>42044.43408564815</v>
      </c>
      <c r="C2568">
        <v>80</v>
      </c>
      <c r="D2568">
        <v>74.882385253999999</v>
      </c>
      <c r="E2568">
        <v>50</v>
      </c>
      <c r="F2568">
        <v>49.984035491999997</v>
      </c>
      <c r="G2568">
        <v>1323.2856445</v>
      </c>
      <c r="H2568">
        <v>1319.3258057</v>
      </c>
      <c r="I2568">
        <v>1345.8347168</v>
      </c>
      <c r="J2568">
        <v>1341.1356201000001</v>
      </c>
      <c r="K2568">
        <v>0</v>
      </c>
      <c r="L2568">
        <v>2750</v>
      </c>
      <c r="M2568">
        <v>2750</v>
      </c>
      <c r="N2568">
        <v>0</v>
      </c>
    </row>
    <row r="2569" spans="1:14" x14ac:dyDescent="0.25">
      <c r="A2569">
        <v>1748.385665</v>
      </c>
      <c r="B2569" s="1">
        <f>DATE(2015,2,12) + TIME(9,15,21)</f>
        <v>42047.385659722226</v>
      </c>
      <c r="C2569">
        <v>80</v>
      </c>
      <c r="D2569">
        <v>74.747192382999998</v>
      </c>
      <c r="E2569">
        <v>50</v>
      </c>
      <c r="F2569">
        <v>49.984039307000003</v>
      </c>
      <c r="G2569">
        <v>1323.1988524999999</v>
      </c>
      <c r="H2569">
        <v>1319.2064209</v>
      </c>
      <c r="I2569">
        <v>1345.8273925999999</v>
      </c>
      <c r="J2569">
        <v>1341.1319579999999</v>
      </c>
      <c r="K2569">
        <v>0</v>
      </c>
      <c r="L2569">
        <v>2750</v>
      </c>
      <c r="M2569">
        <v>2750</v>
      </c>
      <c r="N2569">
        <v>0</v>
      </c>
    </row>
    <row r="2570" spans="1:14" x14ac:dyDescent="0.25">
      <c r="A2570">
        <v>1751.3712949999999</v>
      </c>
      <c r="B2570" s="1">
        <f>DATE(2015,2,15) + TIME(8,54,39)</f>
        <v>42050.37128472222</v>
      </c>
      <c r="C2570">
        <v>80</v>
      </c>
      <c r="D2570">
        <v>74.607513428000004</v>
      </c>
      <c r="E2570">
        <v>50</v>
      </c>
      <c r="F2570">
        <v>49.984043120999999</v>
      </c>
      <c r="G2570">
        <v>1323.1118164</v>
      </c>
      <c r="H2570">
        <v>1319.0863036999999</v>
      </c>
      <c r="I2570">
        <v>1345.8200684000001</v>
      </c>
      <c r="J2570">
        <v>1341.1281738</v>
      </c>
      <c r="K2570">
        <v>0</v>
      </c>
      <c r="L2570">
        <v>2750</v>
      </c>
      <c r="M2570">
        <v>2750</v>
      </c>
      <c r="N2570">
        <v>0</v>
      </c>
    </row>
    <row r="2571" spans="1:14" x14ac:dyDescent="0.25">
      <c r="A2571">
        <v>1754.41596</v>
      </c>
      <c r="B2571" s="1">
        <f>DATE(2015,2,18) + TIME(9,58,58)</f>
        <v>42053.415949074071</v>
      </c>
      <c r="C2571">
        <v>80</v>
      </c>
      <c r="D2571">
        <v>74.463546753000003</v>
      </c>
      <c r="E2571">
        <v>50</v>
      </c>
      <c r="F2571">
        <v>49.984046935999999</v>
      </c>
      <c r="G2571">
        <v>1323.0247803</v>
      </c>
      <c r="H2571">
        <v>1318.9664307</v>
      </c>
      <c r="I2571">
        <v>1345.8128661999999</v>
      </c>
      <c r="J2571">
        <v>1341.1243896000001</v>
      </c>
      <c r="K2571">
        <v>0</v>
      </c>
      <c r="L2571">
        <v>2750</v>
      </c>
      <c r="M2571">
        <v>2750</v>
      </c>
      <c r="N2571">
        <v>0</v>
      </c>
    </row>
    <row r="2572" spans="1:14" x14ac:dyDescent="0.25">
      <c r="A2572">
        <v>1757.5407150000001</v>
      </c>
      <c r="B2572" s="1">
        <f>DATE(2015,2,21) + TIME(12,58,37)</f>
        <v>42056.540706018517</v>
      </c>
      <c r="C2572">
        <v>80</v>
      </c>
      <c r="D2572">
        <v>74.313964843999997</v>
      </c>
      <c r="E2572">
        <v>50</v>
      </c>
      <c r="F2572">
        <v>49.984050750999998</v>
      </c>
      <c r="G2572">
        <v>1322.9377440999999</v>
      </c>
      <c r="H2572">
        <v>1318.8463135</v>
      </c>
      <c r="I2572">
        <v>1345.8055420000001</v>
      </c>
      <c r="J2572">
        <v>1341.1206055</v>
      </c>
      <c r="K2572">
        <v>0</v>
      </c>
      <c r="L2572">
        <v>2750</v>
      </c>
      <c r="M2572">
        <v>2750</v>
      </c>
      <c r="N2572">
        <v>0</v>
      </c>
    </row>
    <row r="2573" spans="1:14" x14ac:dyDescent="0.25">
      <c r="A2573">
        <v>1760.7282789999999</v>
      </c>
      <c r="B2573" s="1">
        <f>DATE(2015,2,24) + TIME(17,28,43)</f>
        <v>42059.728275462963</v>
      </c>
      <c r="C2573">
        <v>80</v>
      </c>
      <c r="D2573">
        <v>74.157875060999999</v>
      </c>
      <c r="E2573">
        <v>50</v>
      </c>
      <c r="F2573">
        <v>49.984054565000001</v>
      </c>
      <c r="G2573">
        <v>1322.8498535000001</v>
      </c>
      <c r="H2573">
        <v>1318.7253418</v>
      </c>
      <c r="I2573">
        <v>1345.7980957</v>
      </c>
      <c r="J2573">
        <v>1341.1166992000001</v>
      </c>
      <c r="K2573">
        <v>0</v>
      </c>
      <c r="L2573">
        <v>2750</v>
      </c>
      <c r="M2573">
        <v>2750</v>
      </c>
      <c r="N2573">
        <v>0</v>
      </c>
    </row>
    <row r="2574" spans="1:14" x14ac:dyDescent="0.25">
      <c r="A2574">
        <v>1764.005803</v>
      </c>
      <c r="B2574" s="1">
        <f>DATE(2015,2,28) + TIME(0,8,21)</f>
        <v>42063.005798611113</v>
      </c>
      <c r="C2574">
        <v>80</v>
      </c>
      <c r="D2574">
        <v>73.995208739999995</v>
      </c>
      <c r="E2574">
        <v>50</v>
      </c>
      <c r="F2574">
        <v>49.98405838</v>
      </c>
      <c r="G2574">
        <v>1322.7615966999999</v>
      </c>
      <c r="H2574">
        <v>1318.6038818</v>
      </c>
      <c r="I2574">
        <v>1345.7906493999999</v>
      </c>
      <c r="J2574">
        <v>1341.1126709</v>
      </c>
      <c r="K2574">
        <v>0</v>
      </c>
      <c r="L2574">
        <v>2750</v>
      </c>
      <c r="M2574">
        <v>2750</v>
      </c>
      <c r="N2574">
        <v>0</v>
      </c>
    </row>
    <row r="2575" spans="1:14" x14ac:dyDescent="0.25">
      <c r="A2575">
        <v>1765</v>
      </c>
      <c r="B2575" s="1">
        <f>DATE(2015,3,1) + TIME(0,0,0)</f>
        <v>42064</v>
      </c>
      <c r="C2575">
        <v>80</v>
      </c>
      <c r="D2575">
        <v>73.866844177000004</v>
      </c>
      <c r="E2575">
        <v>50</v>
      </c>
      <c r="F2575">
        <v>49.984054565000001</v>
      </c>
      <c r="G2575">
        <v>1322.6762695</v>
      </c>
      <c r="H2575">
        <v>1318.4901123</v>
      </c>
      <c r="I2575">
        <v>1345.7829589999999</v>
      </c>
      <c r="J2575">
        <v>1341.1085204999999</v>
      </c>
      <c r="K2575">
        <v>0</v>
      </c>
      <c r="L2575">
        <v>2750</v>
      </c>
      <c r="M2575">
        <v>2750</v>
      </c>
      <c r="N2575">
        <v>0</v>
      </c>
    </row>
    <row r="2576" spans="1:14" x14ac:dyDescent="0.25">
      <c r="A2576">
        <v>1768.396798</v>
      </c>
      <c r="B2576" s="1">
        <f>DATE(2015,3,4) + TIME(9,31,23)</f>
        <v>42067.396793981483</v>
      </c>
      <c r="C2576">
        <v>80</v>
      </c>
      <c r="D2576">
        <v>73.761444092000005</v>
      </c>
      <c r="E2576">
        <v>50</v>
      </c>
      <c r="F2576">
        <v>49.984066009999999</v>
      </c>
      <c r="G2576">
        <v>1322.6346435999999</v>
      </c>
      <c r="H2576">
        <v>1318.4245605000001</v>
      </c>
      <c r="I2576">
        <v>1345.7807617000001</v>
      </c>
      <c r="J2576">
        <v>1341.1072998</v>
      </c>
      <c r="K2576">
        <v>0</v>
      </c>
      <c r="L2576">
        <v>2750</v>
      </c>
      <c r="M2576">
        <v>2750</v>
      </c>
      <c r="N2576">
        <v>0</v>
      </c>
    </row>
    <row r="2577" spans="1:14" x14ac:dyDescent="0.25">
      <c r="A2577">
        <v>1771.9870559999999</v>
      </c>
      <c r="B2577" s="1">
        <f>DATE(2015,3,7) + TIME(23,41,21)</f>
        <v>42070.98704861111</v>
      </c>
      <c r="C2577">
        <v>80</v>
      </c>
      <c r="D2577">
        <v>73.588973999000004</v>
      </c>
      <c r="E2577">
        <v>50</v>
      </c>
      <c r="F2577">
        <v>49.984069824000002</v>
      </c>
      <c r="G2577">
        <v>1322.5538329999999</v>
      </c>
      <c r="H2577">
        <v>1318.3172606999999</v>
      </c>
      <c r="I2577">
        <v>1345.7730713000001</v>
      </c>
      <c r="J2577">
        <v>1341.1030272999999</v>
      </c>
      <c r="K2577">
        <v>0</v>
      </c>
      <c r="L2577">
        <v>2750</v>
      </c>
      <c r="M2577">
        <v>2750</v>
      </c>
      <c r="N2577">
        <v>0</v>
      </c>
    </row>
    <row r="2578" spans="1:14" x14ac:dyDescent="0.25">
      <c r="A2578">
        <v>1775.6119269999999</v>
      </c>
      <c r="B2578" s="1">
        <f>DATE(2015,3,11) + TIME(14,41,10)</f>
        <v>42074.611921296295</v>
      </c>
      <c r="C2578">
        <v>80</v>
      </c>
      <c r="D2578">
        <v>73.39515686</v>
      </c>
      <c r="E2578">
        <v>50</v>
      </c>
      <c r="F2578">
        <v>49.984077454000001</v>
      </c>
      <c r="G2578">
        <v>1322.4622803</v>
      </c>
      <c r="H2578">
        <v>1318.1922606999999</v>
      </c>
      <c r="I2578">
        <v>1345.7648925999999</v>
      </c>
      <c r="J2578">
        <v>1341.0985106999999</v>
      </c>
      <c r="K2578">
        <v>0</v>
      </c>
      <c r="L2578">
        <v>2750</v>
      </c>
      <c r="M2578">
        <v>2750</v>
      </c>
      <c r="N2578">
        <v>0</v>
      </c>
    </row>
    <row r="2579" spans="1:14" x14ac:dyDescent="0.25">
      <c r="A2579">
        <v>1779.246993</v>
      </c>
      <c r="B2579" s="1">
        <f>DATE(2015,3,15) + TIME(5,55,40)</f>
        <v>42078.246990740743</v>
      </c>
      <c r="C2579">
        <v>80</v>
      </c>
      <c r="D2579">
        <v>73.193885803000001</v>
      </c>
      <c r="E2579">
        <v>50</v>
      </c>
      <c r="F2579">
        <v>49.984085082999997</v>
      </c>
      <c r="G2579">
        <v>1322.3695068</v>
      </c>
      <c r="H2579">
        <v>1318.0646973</v>
      </c>
      <c r="I2579">
        <v>1345.7568358999999</v>
      </c>
      <c r="J2579">
        <v>1341.0939940999999</v>
      </c>
      <c r="K2579">
        <v>0</v>
      </c>
      <c r="L2579">
        <v>2750</v>
      </c>
      <c r="M2579">
        <v>2750</v>
      </c>
      <c r="N2579">
        <v>0</v>
      </c>
    </row>
    <row r="2580" spans="1:14" x14ac:dyDescent="0.25">
      <c r="A2580">
        <v>1782.9088529999999</v>
      </c>
      <c r="B2580" s="1">
        <f>DATE(2015,3,18) + TIME(21,48,44)</f>
        <v>42081.908842592595</v>
      </c>
      <c r="C2580">
        <v>80</v>
      </c>
      <c r="D2580">
        <v>72.986587524000001</v>
      </c>
      <c r="E2580">
        <v>50</v>
      </c>
      <c r="F2580">
        <v>49.984088898000003</v>
      </c>
      <c r="G2580">
        <v>1322.2777100000001</v>
      </c>
      <c r="H2580">
        <v>1317.9383545000001</v>
      </c>
      <c r="I2580">
        <v>1345.7486572</v>
      </c>
      <c r="J2580">
        <v>1341.0893555</v>
      </c>
      <c r="K2580">
        <v>0</v>
      </c>
      <c r="L2580">
        <v>2750</v>
      </c>
      <c r="M2580">
        <v>2750</v>
      </c>
      <c r="N2580">
        <v>0</v>
      </c>
    </row>
    <row r="2581" spans="1:14" x14ac:dyDescent="0.25">
      <c r="A2581">
        <v>1786.655737</v>
      </c>
      <c r="B2581" s="1">
        <f>DATE(2015,3,22) + TIME(15,44,15)</f>
        <v>42085.655729166669</v>
      </c>
      <c r="C2581">
        <v>80</v>
      </c>
      <c r="D2581">
        <v>72.773612975999995</v>
      </c>
      <c r="E2581">
        <v>50</v>
      </c>
      <c r="F2581">
        <v>49.984096526999998</v>
      </c>
      <c r="G2581">
        <v>1322.1870117000001</v>
      </c>
      <c r="H2581">
        <v>1317.8134766000001</v>
      </c>
      <c r="I2581">
        <v>1345.7406006000001</v>
      </c>
      <c r="J2581">
        <v>1341.0847168</v>
      </c>
      <c r="K2581">
        <v>0</v>
      </c>
      <c r="L2581">
        <v>2750</v>
      </c>
      <c r="M2581">
        <v>2750</v>
      </c>
      <c r="N2581">
        <v>0</v>
      </c>
    </row>
    <row r="2582" spans="1:14" x14ac:dyDescent="0.25">
      <c r="A2582">
        <v>1790.5205719999999</v>
      </c>
      <c r="B2582" s="1">
        <f>DATE(2015,3,26) + TIME(12,29,37)</f>
        <v>42089.520567129628</v>
      </c>
      <c r="C2582">
        <v>80</v>
      </c>
      <c r="D2582">
        <v>72.550125121999997</v>
      </c>
      <c r="E2582">
        <v>50</v>
      </c>
      <c r="F2582">
        <v>49.984104156000001</v>
      </c>
      <c r="G2582">
        <v>1322.0964355000001</v>
      </c>
      <c r="H2582">
        <v>1317.6888428</v>
      </c>
      <c r="I2582">
        <v>1345.7324219</v>
      </c>
      <c r="J2582">
        <v>1341.0798339999999</v>
      </c>
      <c r="K2582">
        <v>0</v>
      </c>
      <c r="L2582">
        <v>2750</v>
      </c>
      <c r="M2582">
        <v>2750</v>
      </c>
      <c r="N2582">
        <v>0</v>
      </c>
    </row>
    <row r="2583" spans="1:14" x14ac:dyDescent="0.25">
      <c r="A2583">
        <v>1794.539755</v>
      </c>
      <c r="B2583" s="1">
        <f>DATE(2015,3,30) + TIME(12,57,14)</f>
        <v>42093.53974537037</v>
      </c>
      <c r="C2583">
        <v>80</v>
      </c>
      <c r="D2583">
        <v>72.316131592000005</v>
      </c>
      <c r="E2583">
        <v>50</v>
      </c>
      <c r="F2583">
        <v>49.984111786</v>
      </c>
      <c r="G2583">
        <v>1322.0050048999999</v>
      </c>
      <c r="H2583">
        <v>1317.5632324000001</v>
      </c>
      <c r="I2583">
        <v>1345.7241211</v>
      </c>
      <c r="J2583">
        <v>1341.0749512</v>
      </c>
      <c r="K2583">
        <v>0</v>
      </c>
      <c r="L2583">
        <v>2750</v>
      </c>
      <c r="M2583">
        <v>2750</v>
      </c>
      <c r="N2583">
        <v>0</v>
      </c>
    </row>
    <row r="2584" spans="1:14" x14ac:dyDescent="0.25">
      <c r="A2584">
        <v>1796</v>
      </c>
      <c r="B2584" s="1">
        <f>DATE(2015,4,1) + TIME(0,0,0)</f>
        <v>42095</v>
      </c>
      <c r="C2584">
        <v>80</v>
      </c>
      <c r="D2584">
        <v>72.107643127000003</v>
      </c>
      <c r="E2584">
        <v>50</v>
      </c>
      <c r="F2584">
        <v>49.984111786</v>
      </c>
      <c r="G2584">
        <v>1321.9143065999999</v>
      </c>
      <c r="H2584">
        <v>1317.4420166</v>
      </c>
      <c r="I2584">
        <v>1345.715332</v>
      </c>
      <c r="J2584">
        <v>1341.0695800999999</v>
      </c>
      <c r="K2584">
        <v>0</v>
      </c>
      <c r="L2584">
        <v>2750</v>
      </c>
      <c r="M2584">
        <v>2750</v>
      </c>
      <c r="N258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2022-06-27T08:55:13Z</dcterms:created>
  <dcterms:modified xsi:type="dcterms:W3CDTF">2022-06-27T08:55:54Z</dcterms:modified>
</cp:coreProperties>
</file>