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384A4F38-A72C-479A-863F-46FF85320BDD}" xr6:coauthVersionLast="47" xr6:coauthVersionMax="47" xr10:uidLastSave="{00000000-0000-0000-0000-000000000000}"/>
  <bookViews>
    <workbookView xWindow="1455" yWindow="1605" windowWidth="21600" windowHeight="11385" xr2:uid="{8B235142-76F4-483B-A204-29D373AA00F7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70" i="1" l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<sst xmlns="http://schemas.openxmlformats.org/spreadsheetml/2006/main" count="15" uniqueCount="15">
  <si>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MODEL\SCENARIOS\2022\Parameterstudy_perm_storV_dT\perm50_V200_dt30.sr3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</si>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</sst>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7D1FD-ED4D-46B9-A823-D8D3F597C8D3}" name="Table1" displayName="Table1" ref="A3:N1570" totalsRowShown="0">
  <autoFilter ref="A3:N1570" xr:uid="{2297D1FD-ED4D-46B9-A823-D8D3F597C8D3}"/>
  <tableColumns count="14">
    <tableColumn id="1" xr3:uid="{B4046782-1C2A-4E01-B4F1-3CE39F4C852B}" name="Time (day)"/>
    <tableColumn id="2" xr3:uid="{B88ADFE3-5C23-4DD7-AEA1-C90E96B7746A}" name="Date" dataDxfId="0"/>
    <tableColumn id="3" xr3:uid="{E908D02B-AB8B-422F-8739-ADE0C66ADFF0}" name="Hot well INJ-Well bottom hole temperature (C)"/>
    <tableColumn id="4" xr3:uid="{2B4AABE0-070F-4831-A100-AAFFE7338E40}" name="Hot well PROD-Well bottom hole temperature (C)"/>
    <tableColumn id="5" xr3:uid="{38837009-430B-4B06-9B26-8EA1A85F75F4}" name="Warm well INJ-Well bottom hole temperature (C)"/>
    <tableColumn id="6" xr3:uid="{CDF4CF33-B211-4F3A-B224-599BD1B0E6C9}" name="Warm well PROD-Well bottom hole temperature (C)"/>
    <tableColumn id="7" xr3:uid="{423C3342-5149-4187-B833-0E2AC25495D1}" name="Hot well INJ-Well Bottom-hole Pressure (kPa)"/>
    <tableColumn id="8" xr3:uid="{12671424-A64D-4AF3-BAE4-17E99F652DF3}" name="Hot well PROD-Well Bottom-hole Pressure (kPa)"/>
    <tableColumn id="9" xr3:uid="{F1D019D5-ECEE-4AF8-B286-F9000D613980}" name="Warm well INJ-Well Bottom-hole Pressure (kPa)"/>
    <tableColumn id="10" xr3:uid="{A7F462E8-277C-411D-9B38-B15B96C7A31E}" name="Warm well PROD-Well Bottom-hole Pressure (kPa)"/>
    <tableColumn id="11" xr3:uid="{F070A57A-A654-4194-A0A4-474E2A8CA701}" name="Hot well INJ-Fluid Rate SC (m³/day)"/>
    <tableColumn id="12" xr3:uid="{74079EF0-1A89-44B7-9B12-4C4F4290FA17}" name="Hot well PROD-Fluid Rate SC (m³/day)"/>
    <tableColumn id="13" xr3:uid="{EC2751EE-A5A3-4B38-8E67-337DF8431379}" name="Warm well INJ-Fluid Rate SC (m³/day)"/>
    <tableColumn id="14" xr3:uid="{A0D04EEE-5007-4DE1-B992-D406C7F868C3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32D4-0443-4BCF-9C37-9DBF885D32A7}">
  <dimension ref="A1:N1570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50</v>
      </c>
      <c r="F4">
        <v>14.999990463</v>
      </c>
      <c r="G4">
        <v>1331.3095702999999</v>
      </c>
      <c r="H4">
        <v>1329.5029297000001</v>
      </c>
      <c r="I4">
        <v>1329.3167725000001</v>
      </c>
      <c r="J4">
        <v>1327.5093993999999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15.000099182</v>
      </c>
      <c r="E5">
        <v>50</v>
      </c>
      <c r="F5">
        <v>14.999967574999999</v>
      </c>
      <c r="G5">
        <v>1331.5285644999999</v>
      </c>
      <c r="H5">
        <v>1329.7218018000001</v>
      </c>
      <c r="I5">
        <v>1329.0987548999999</v>
      </c>
      <c r="J5">
        <v>1327.2913818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15.000290871000001</v>
      </c>
      <c r="E6">
        <v>50</v>
      </c>
      <c r="F6">
        <v>14.999928474000001</v>
      </c>
      <c r="G6">
        <v>1331.9188231999999</v>
      </c>
      <c r="H6">
        <v>1330.1120605000001</v>
      </c>
      <c r="I6">
        <v>1328.7102050999999</v>
      </c>
      <c r="J6">
        <v>1326.9029541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15.000796318000001</v>
      </c>
      <c r="E7">
        <v>50</v>
      </c>
      <c r="F7">
        <v>14.999876975999999</v>
      </c>
      <c r="G7">
        <v>1332.4199219</v>
      </c>
      <c r="H7">
        <v>1330.6131591999999</v>
      </c>
      <c r="I7">
        <v>1328.2111815999999</v>
      </c>
      <c r="J7">
        <v>1326.4039307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15.002210616999999</v>
      </c>
      <c r="E8">
        <v>50</v>
      </c>
      <c r="F8">
        <v>14.99982357</v>
      </c>
      <c r="G8">
        <v>1332.9416504000001</v>
      </c>
      <c r="H8">
        <v>1331.1348877</v>
      </c>
      <c r="I8">
        <v>1327.6915283000001</v>
      </c>
      <c r="J8">
        <v>1325.8843993999999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15.006345748999999</v>
      </c>
      <c r="E9">
        <v>50</v>
      </c>
      <c r="F9">
        <v>14.999772072000001</v>
      </c>
      <c r="G9">
        <v>1333.4451904</v>
      </c>
      <c r="H9">
        <v>1331.6385498</v>
      </c>
      <c r="I9">
        <v>1327.1900635</v>
      </c>
      <c r="J9">
        <v>1325.3829346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15.018636703</v>
      </c>
      <c r="E10">
        <v>50</v>
      </c>
      <c r="F10">
        <v>14.999729156000001</v>
      </c>
      <c r="G10">
        <v>1333.8662108999999</v>
      </c>
      <c r="H10">
        <v>1332.0600586</v>
      </c>
      <c r="I10">
        <v>1326.7709961</v>
      </c>
      <c r="J10">
        <v>1324.9638672000001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15.055391311999999</v>
      </c>
      <c r="E11">
        <v>50</v>
      </c>
      <c r="F11">
        <v>14.9997015</v>
      </c>
      <c r="G11">
        <v>1334.1311035000001</v>
      </c>
      <c r="H11">
        <v>1332.3265381000001</v>
      </c>
      <c r="I11">
        <v>1326.5073242000001</v>
      </c>
      <c r="J11">
        <v>1324.7001952999999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15.165434836999999</v>
      </c>
      <c r="E12">
        <v>50</v>
      </c>
      <c r="F12">
        <v>14.999690056</v>
      </c>
      <c r="G12">
        <v>1334.2502440999999</v>
      </c>
      <c r="H12">
        <v>1332.4505615</v>
      </c>
      <c r="I12">
        <v>1326.3887939000001</v>
      </c>
      <c r="J12">
        <v>1324.5817870999999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15.494170189</v>
      </c>
      <c r="E13">
        <v>50</v>
      </c>
      <c r="F13">
        <v>14.999687195</v>
      </c>
      <c r="G13">
        <v>1334.2736815999999</v>
      </c>
      <c r="H13">
        <v>1332.4880370999999</v>
      </c>
      <c r="I13">
        <v>1326.3582764</v>
      </c>
      <c r="J13">
        <v>1324.5511475000001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16.469434738</v>
      </c>
      <c r="E14">
        <v>50</v>
      </c>
      <c r="F14">
        <v>14.999688148000001</v>
      </c>
      <c r="G14">
        <v>1334.2263184000001</v>
      </c>
      <c r="H14">
        <v>1332.4810791</v>
      </c>
      <c r="I14">
        <v>1326.3566894999999</v>
      </c>
      <c r="J14">
        <v>1324.5494385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0.14912</v>
      </c>
      <c r="B15" s="1">
        <f>DATE(2010,5,1) + TIME(3,34,43)</f>
        <v>40299.149108796293</v>
      </c>
      <c r="C15">
        <v>80</v>
      </c>
      <c r="D15">
        <v>17.463764190999999</v>
      </c>
      <c r="E15">
        <v>50</v>
      </c>
      <c r="F15">
        <v>14.999690056</v>
      </c>
      <c r="G15">
        <v>1334.1961670000001</v>
      </c>
      <c r="H15">
        <v>1332.4805908000001</v>
      </c>
      <c r="I15">
        <v>1326.3576660000001</v>
      </c>
      <c r="J15">
        <v>1324.5500488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0.210012</v>
      </c>
      <c r="B16" s="1">
        <f>DATE(2010,5,1) + TIME(5,2,25)</f>
        <v>40299.210011574076</v>
      </c>
      <c r="C16">
        <v>80</v>
      </c>
      <c r="D16">
        <v>18.458898544</v>
      </c>
      <c r="E16">
        <v>50</v>
      </c>
      <c r="F16">
        <v>14.999691963</v>
      </c>
      <c r="G16">
        <v>1334.1712646000001</v>
      </c>
      <c r="H16">
        <v>1332.4826660000001</v>
      </c>
      <c r="I16">
        <v>1326.3585204999999</v>
      </c>
      <c r="J16">
        <v>1324.5505370999999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0.27120100000000003</v>
      </c>
      <c r="B17" s="1">
        <f>DATE(2010,5,1) + TIME(6,30,31)</f>
        <v>40299.271192129629</v>
      </c>
      <c r="C17">
        <v>80</v>
      </c>
      <c r="D17">
        <v>19.454513550000001</v>
      </c>
      <c r="E17">
        <v>50</v>
      </c>
      <c r="F17">
        <v>14.999693871</v>
      </c>
      <c r="G17">
        <v>1334.1513672000001</v>
      </c>
      <c r="H17">
        <v>1332.4871826000001</v>
      </c>
      <c r="I17">
        <v>1326.3594971</v>
      </c>
      <c r="J17">
        <v>1324.5509033000001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0.33266000000000001</v>
      </c>
      <c r="B18" s="1">
        <f>DATE(2010,5,1) + TIME(7,59,1)</f>
        <v>40299.332650462966</v>
      </c>
      <c r="C18">
        <v>80</v>
      </c>
      <c r="D18">
        <v>20.450971602999999</v>
      </c>
      <c r="E18">
        <v>50</v>
      </c>
      <c r="F18">
        <v>14.999694824000001</v>
      </c>
      <c r="G18">
        <v>1334.1362305</v>
      </c>
      <c r="H18">
        <v>1332.4943848</v>
      </c>
      <c r="I18">
        <v>1326.3603516000001</v>
      </c>
      <c r="J18">
        <v>1324.5513916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0.39433800000000002</v>
      </c>
      <c r="B19" s="1">
        <f>DATE(2010,5,1) + TIME(9,27,50)</f>
        <v>40299.394328703704</v>
      </c>
      <c r="C19">
        <v>80</v>
      </c>
      <c r="D19">
        <v>21.447929382000002</v>
      </c>
      <c r="E19">
        <v>50</v>
      </c>
      <c r="F19">
        <v>14.999696732</v>
      </c>
      <c r="G19">
        <v>1334.1256103999999</v>
      </c>
      <c r="H19">
        <v>1332.5039062000001</v>
      </c>
      <c r="I19">
        <v>1326.3612060999999</v>
      </c>
      <c r="J19">
        <v>1324.5517577999999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0.456204</v>
      </c>
      <c r="B20" s="1">
        <f>DATE(2010,5,1) + TIME(10,56,56)</f>
        <v>40299.456203703703</v>
      </c>
      <c r="C20">
        <v>80</v>
      </c>
      <c r="D20">
        <v>22.44477272</v>
      </c>
      <c r="E20">
        <v>50</v>
      </c>
      <c r="F20">
        <v>14.999698639</v>
      </c>
      <c r="G20">
        <v>1334.1192627</v>
      </c>
      <c r="H20">
        <v>1332.5157471</v>
      </c>
      <c r="I20">
        <v>1326.3621826000001</v>
      </c>
      <c r="J20">
        <v>1324.552124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0.518266</v>
      </c>
      <c r="B21" s="1">
        <f>DATE(2010,5,1) + TIME(12,26,18)</f>
        <v>40299.518263888887</v>
      </c>
      <c r="C21">
        <v>80</v>
      </c>
      <c r="D21">
        <v>23.441915512000001</v>
      </c>
      <c r="E21">
        <v>50</v>
      </c>
      <c r="F21">
        <v>14.999699593000001</v>
      </c>
      <c r="G21">
        <v>1334.1169434000001</v>
      </c>
      <c r="H21">
        <v>1332.5297852000001</v>
      </c>
      <c r="I21">
        <v>1326.3631591999999</v>
      </c>
      <c r="J21">
        <v>1324.5524902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0.58050500000000005</v>
      </c>
      <c r="B22" s="1">
        <f>DATE(2010,5,1) + TIME(13,55,55)</f>
        <v>40299.580497685187</v>
      </c>
      <c r="C22">
        <v>80</v>
      </c>
      <c r="D22">
        <v>24.439311980999999</v>
      </c>
      <c r="E22">
        <v>50</v>
      </c>
      <c r="F22">
        <v>14.9997015</v>
      </c>
      <c r="G22">
        <v>1334.1182861</v>
      </c>
      <c r="H22">
        <v>1332.5458983999999</v>
      </c>
      <c r="I22">
        <v>1326.3641356999999</v>
      </c>
      <c r="J22">
        <v>1324.5527344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0.64290700000000001</v>
      </c>
      <c r="B23" s="1">
        <f>DATE(2010,5,1) + TIME(15,25,47)</f>
        <v>40299.642905092594</v>
      </c>
      <c r="C23">
        <v>80</v>
      </c>
      <c r="D23">
        <v>25.437210083</v>
      </c>
      <c r="E23">
        <v>50</v>
      </c>
      <c r="F23">
        <v>14.999703407</v>
      </c>
      <c r="G23">
        <v>1334.1232910000001</v>
      </c>
      <c r="H23">
        <v>1332.5640868999999</v>
      </c>
      <c r="I23">
        <v>1326.3651123</v>
      </c>
      <c r="J23">
        <v>1324.5531006000001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0.70544099999999998</v>
      </c>
      <c r="B24" s="1">
        <f>DATE(2010,5,1) + TIME(16,55,50)</f>
        <v>40299.705439814818</v>
      </c>
      <c r="C24">
        <v>80</v>
      </c>
      <c r="D24">
        <v>26.435359954999999</v>
      </c>
      <c r="E24">
        <v>50</v>
      </c>
      <c r="F24">
        <v>14.999704360999999</v>
      </c>
      <c r="G24">
        <v>1334.1315918</v>
      </c>
      <c r="H24">
        <v>1332.5841064000001</v>
      </c>
      <c r="I24">
        <v>1326.3660889</v>
      </c>
      <c r="J24">
        <v>1324.5533447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0.76809000000000005</v>
      </c>
      <c r="B25" s="1">
        <f>DATE(2010,5,1) + TIME(18,26,2)</f>
        <v>40299.768078703702</v>
      </c>
      <c r="C25">
        <v>80</v>
      </c>
      <c r="D25">
        <v>27.433246613000001</v>
      </c>
      <c r="E25">
        <v>50</v>
      </c>
      <c r="F25">
        <v>14.999706268000001</v>
      </c>
      <c r="G25">
        <v>1334.1430664</v>
      </c>
      <c r="H25">
        <v>1332.605957</v>
      </c>
      <c r="I25">
        <v>1326.3670654</v>
      </c>
      <c r="J25">
        <v>1324.5535889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0.83087200000000005</v>
      </c>
      <c r="B26" s="1">
        <f>DATE(2010,5,1) + TIME(19,56,27)</f>
        <v>40299.830868055556</v>
      </c>
      <c r="C26">
        <v>80</v>
      </c>
      <c r="D26">
        <v>28.431179047000001</v>
      </c>
      <c r="E26">
        <v>50</v>
      </c>
      <c r="F26">
        <v>14.999708176</v>
      </c>
      <c r="G26">
        <v>1334.1574707</v>
      </c>
      <c r="H26">
        <v>1332.6295166</v>
      </c>
      <c r="I26">
        <v>1326.3681641000001</v>
      </c>
      <c r="J26">
        <v>1324.5539550999999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0.89378400000000002</v>
      </c>
      <c r="B27" s="1">
        <f>DATE(2010,5,1) + TIME(21,27,2)</f>
        <v>40299.893773148149</v>
      </c>
      <c r="C27">
        <v>80</v>
      </c>
      <c r="D27">
        <v>29.429107666</v>
      </c>
      <c r="E27">
        <v>50</v>
      </c>
      <c r="F27">
        <v>14.999709128999999</v>
      </c>
      <c r="G27">
        <v>1334.1745605000001</v>
      </c>
      <c r="H27">
        <v>1332.6546631000001</v>
      </c>
      <c r="I27">
        <v>1326.3691406</v>
      </c>
      <c r="J27">
        <v>1324.5541992000001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0.95682699999999998</v>
      </c>
      <c r="B28" s="1">
        <f>DATE(2010,5,1) + TIME(22,57,49)</f>
        <v>40299.956817129627</v>
      </c>
      <c r="C28">
        <v>80</v>
      </c>
      <c r="D28">
        <v>30.427078247000001</v>
      </c>
      <c r="E28">
        <v>50</v>
      </c>
      <c r="F28">
        <v>14.999711037000001</v>
      </c>
      <c r="G28">
        <v>1334.1942139</v>
      </c>
      <c r="H28">
        <v>1332.6812743999999</v>
      </c>
      <c r="I28">
        <v>1326.3702393000001</v>
      </c>
      <c r="J28">
        <v>1324.5544434000001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1.019998</v>
      </c>
      <c r="B29" s="1">
        <f>DATE(2010,5,2) + TIME(0,28,47)</f>
        <v>40300.019988425927</v>
      </c>
      <c r="C29">
        <v>80</v>
      </c>
      <c r="D29">
        <v>31.424983978</v>
      </c>
      <c r="E29">
        <v>50</v>
      </c>
      <c r="F29">
        <v>14.99971199</v>
      </c>
      <c r="G29">
        <v>1334.2163086</v>
      </c>
      <c r="H29">
        <v>1332.7093506000001</v>
      </c>
      <c r="I29">
        <v>1326.3713379000001</v>
      </c>
      <c r="J29">
        <v>1324.5546875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1.0833010000000001</v>
      </c>
      <c r="B30" s="1">
        <f>DATE(2010,5,2) + TIME(1,59,57)</f>
        <v>40300.083298611113</v>
      </c>
      <c r="C30">
        <v>80</v>
      </c>
      <c r="D30">
        <v>32.422611236999998</v>
      </c>
      <c r="E30">
        <v>50</v>
      </c>
      <c r="F30">
        <v>14.999713898</v>
      </c>
      <c r="G30">
        <v>1334.2407227000001</v>
      </c>
      <c r="H30">
        <v>1332.7387695</v>
      </c>
      <c r="I30">
        <v>1326.3724365</v>
      </c>
      <c r="J30">
        <v>1324.5548096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1.146755</v>
      </c>
      <c r="B31" s="1">
        <f>DATE(2010,5,2) + TIME(3,31,19)</f>
        <v>40300.146747685183</v>
      </c>
      <c r="C31">
        <v>80</v>
      </c>
      <c r="D31">
        <v>33.420032501000001</v>
      </c>
      <c r="E31">
        <v>50</v>
      </c>
      <c r="F31">
        <v>14.999714851</v>
      </c>
      <c r="G31">
        <v>1334.2672118999999</v>
      </c>
      <c r="H31">
        <v>1332.7695312000001</v>
      </c>
      <c r="I31">
        <v>1326.3735352000001</v>
      </c>
      <c r="J31">
        <v>1324.5550536999999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1.2103729999999999</v>
      </c>
      <c r="B32" s="1">
        <f>DATE(2010,5,2) + TIME(5,2,56)</f>
        <v>40300.210370370369</v>
      </c>
      <c r="C32">
        <v>80</v>
      </c>
      <c r="D32">
        <v>34.417205811000002</v>
      </c>
      <c r="E32">
        <v>50</v>
      </c>
      <c r="F32">
        <v>14.999716759</v>
      </c>
      <c r="G32">
        <v>1334.2957764</v>
      </c>
      <c r="H32">
        <v>1332.8013916</v>
      </c>
      <c r="I32">
        <v>1326.3746338000001</v>
      </c>
      <c r="J32">
        <v>1324.5552978999999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1.2741720000000001</v>
      </c>
      <c r="B33" s="1">
        <f>DATE(2010,5,2) + TIME(6,34,48)</f>
        <v>40300.27416666667</v>
      </c>
      <c r="C33">
        <v>80</v>
      </c>
      <c r="D33">
        <v>35.414081572999997</v>
      </c>
      <c r="E33">
        <v>50</v>
      </c>
      <c r="F33">
        <v>14.999718666</v>
      </c>
      <c r="G33">
        <v>1334.3260498</v>
      </c>
      <c r="H33">
        <v>1332.8344727000001</v>
      </c>
      <c r="I33">
        <v>1326.3757324000001</v>
      </c>
      <c r="J33">
        <v>1324.5554199000001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1.3381700000000001</v>
      </c>
      <c r="B34" s="1">
        <f>DATE(2010,5,2) + TIME(8,6,57)</f>
        <v>40300.338159722225</v>
      </c>
      <c r="C34">
        <v>80</v>
      </c>
      <c r="D34">
        <v>36.410610198999997</v>
      </c>
      <c r="E34">
        <v>50</v>
      </c>
      <c r="F34">
        <v>14.99971962</v>
      </c>
      <c r="G34">
        <v>1334.3581543</v>
      </c>
      <c r="H34">
        <v>1332.8685303</v>
      </c>
      <c r="I34">
        <v>1326.3768310999999</v>
      </c>
      <c r="J34">
        <v>1324.5556641000001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1.4023909999999999</v>
      </c>
      <c r="B35" s="1">
        <f>DATE(2010,5,2) + TIME(9,39,26)</f>
        <v>40300.402384259258</v>
      </c>
      <c r="C35">
        <v>80</v>
      </c>
      <c r="D35">
        <v>37.406749724999997</v>
      </c>
      <c r="E35">
        <v>50</v>
      </c>
      <c r="F35">
        <v>14.999721527</v>
      </c>
      <c r="G35">
        <v>1334.3918457</v>
      </c>
      <c r="H35">
        <v>1332.9035644999999</v>
      </c>
      <c r="I35">
        <v>1326.3780518000001</v>
      </c>
      <c r="J35">
        <v>1324.5557861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1.4668620000000001</v>
      </c>
      <c r="B36" s="1">
        <f>DATE(2010,5,2) + TIME(11,12,16)</f>
        <v>40300.466851851852</v>
      </c>
      <c r="C36">
        <v>80</v>
      </c>
      <c r="D36">
        <v>38.402454376000001</v>
      </c>
      <c r="E36">
        <v>50</v>
      </c>
      <c r="F36">
        <v>14.999722480999999</v>
      </c>
      <c r="G36">
        <v>1334.427124</v>
      </c>
      <c r="H36">
        <v>1332.9395752</v>
      </c>
      <c r="I36">
        <v>1326.3791504000001</v>
      </c>
      <c r="J36">
        <v>1324.5560303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1.5316099999999999</v>
      </c>
      <c r="B37" s="1">
        <f>DATE(2010,5,2) + TIME(12,45,31)</f>
        <v>40300.531608796293</v>
      </c>
      <c r="C37">
        <v>80</v>
      </c>
      <c r="D37">
        <v>39.397678374999998</v>
      </c>
      <c r="E37">
        <v>50</v>
      </c>
      <c r="F37">
        <v>14.999723434</v>
      </c>
      <c r="G37">
        <v>1334.4637451000001</v>
      </c>
      <c r="H37">
        <v>1332.9765625</v>
      </c>
      <c r="I37">
        <v>1326.3803711</v>
      </c>
      <c r="J37">
        <v>1324.5561522999999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1.5966689999999999</v>
      </c>
      <c r="B38" s="1">
        <f>DATE(2010,5,2) + TIME(14,19,12)</f>
        <v>40300.596666666665</v>
      </c>
      <c r="C38">
        <v>80</v>
      </c>
      <c r="D38">
        <v>40.392467498999999</v>
      </c>
      <c r="E38">
        <v>50</v>
      </c>
      <c r="F38">
        <v>14.999725342</v>
      </c>
      <c r="G38">
        <v>1334.5017089999999</v>
      </c>
      <c r="H38">
        <v>1333.0142822</v>
      </c>
      <c r="I38">
        <v>1326.3814697</v>
      </c>
      <c r="J38">
        <v>1324.5563964999999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1.662069</v>
      </c>
      <c r="B39" s="1">
        <f>DATE(2010,5,2) + TIME(15,53,22)</f>
        <v>40300.662060185183</v>
      </c>
      <c r="C39">
        <v>80</v>
      </c>
      <c r="D39">
        <v>41.386741637999997</v>
      </c>
      <c r="E39">
        <v>50</v>
      </c>
      <c r="F39">
        <v>14.999726295</v>
      </c>
      <c r="G39">
        <v>1334.5410156</v>
      </c>
      <c r="H39">
        <v>1333.0527344</v>
      </c>
      <c r="I39">
        <v>1326.3826904</v>
      </c>
      <c r="J39">
        <v>1324.5565185999999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1.7278450000000001</v>
      </c>
      <c r="B40" s="1">
        <f>DATE(2010,5,2) + TIME(17,28,5)</f>
        <v>40300.727835648147</v>
      </c>
      <c r="C40">
        <v>80</v>
      </c>
      <c r="D40">
        <v>42.380268096999998</v>
      </c>
      <c r="E40">
        <v>50</v>
      </c>
      <c r="F40">
        <v>14.999728203</v>
      </c>
      <c r="G40">
        <v>1334.5814209</v>
      </c>
      <c r="H40">
        <v>1333.0920410000001</v>
      </c>
      <c r="I40">
        <v>1326.3839111</v>
      </c>
      <c r="J40">
        <v>1324.5566406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1.7940499999999999</v>
      </c>
      <c r="B41" s="1">
        <f>DATE(2010,5,2) + TIME(19,3,25)</f>
        <v>40300.794039351851</v>
      </c>
      <c r="C41">
        <v>80</v>
      </c>
      <c r="D41">
        <v>43.373134612999998</v>
      </c>
      <c r="E41">
        <v>50</v>
      </c>
      <c r="F41">
        <v>14.999729156000001</v>
      </c>
      <c r="G41">
        <v>1334.6230469</v>
      </c>
      <c r="H41">
        <v>1333.1319579999999</v>
      </c>
      <c r="I41">
        <v>1326.3851318</v>
      </c>
      <c r="J41">
        <v>1324.5567627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1.8607309999999999</v>
      </c>
      <c r="B42" s="1">
        <f>DATE(2010,5,2) + TIME(20,39,27)</f>
        <v>40300.860729166663</v>
      </c>
      <c r="C42">
        <v>80</v>
      </c>
      <c r="D42">
        <v>44.365287780999999</v>
      </c>
      <c r="E42">
        <v>50</v>
      </c>
      <c r="F42">
        <v>14.999731064000001</v>
      </c>
      <c r="G42">
        <v>1334.6656493999999</v>
      </c>
      <c r="H42">
        <v>1333.1726074000001</v>
      </c>
      <c r="I42">
        <v>1326.3863524999999</v>
      </c>
      <c r="J42">
        <v>1324.5568848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1.9279390000000001</v>
      </c>
      <c r="B43" s="1">
        <f>DATE(2010,5,2) + TIME(22,16,13)</f>
        <v>40300.927928240744</v>
      </c>
      <c r="C43">
        <v>80</v>
      </c>
      <c r="D43">
        <v>45.356689453000001</v>
      </c>
      <c r="E43">
        <v>50</v>
      </c>
      <c r="F43">
        <v>14.999732018</v>
      </c>
      <c r="G43">
        <v>1334.7093506000001</v>
      </c>
      <c r="H43">
        <v>1333.2138672000001</v>
      </c>
      <c r="I43">
        <v>1326.3875731999999</v>
      </c>
      <c r="J43">
        <v>1324.5570068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1.99573</v>
      </c>
      <c r="B44" s="1">
        <f>DATE(2010,5,2) + TIME(23,53,51)</f>
        <v>40300.995729166665</v>
      </c>
      <c r="C44">
        <v>80</v>
      </c>
      <c r="D44">
        <v>46.347278594999999</v>
      </c>
      <c r="E44">
        <v>50</v>
      </c>
      <c r="F44">
        <v>14.999733924999999</v>
      </c>
      <c r="G44">
        <v>1334.7539062000001</v>
      </c>
      <c r="H44">
        <v>1333.2557373</v>
      </c>
      <c r="I44">
        <v>1326.3887939000001</v>
      </c>
      <c r="J44">
        <v>1324.5571289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2.064165</v>
      </c>
      <c r="B45" s="1">
        <f>DATE(2010,5,3) + TIME(1,32,23)</f>
        <v>40301.064155092594</v>
      </c>
      <c r="C45">
        <v>80</v>
      </c>
      <c r="D45">
        <v>47.337009430000002</v>
      </c>
      <c r="E45">
        <v>50</v>
      </c>
      <c r="F45">
        <v>14.999734879</v>
      </c>
      <c r="G45">
        <v>1334.7994385</v>
      </c>
      <c r="H45">
        <v>1333.2980957</v>
      </c>
      <c r="I45">
        <v>1326.3900146000001</v>
      </c>
      <c r="J45">
        <v>1324.557251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2.1333099999999998</v>
      </c>
      <c r="B46" s="1">
        <f>DATE(2010,5,3) + TIME(3,11,57)</f>
        <v>40301.133298611108</v>
      </c>
      <c r="C46">
        <v>80</v>
      </c>
      <c r="D46">
        <v>48.325824738000001</v>
      </c>
      <c r="E46">
        <v>50</v>
      </c>
      <c r="F46">
        <v>14.999736786</v>
      </c>
      <c r="G46">
        <v>1334.8458252</v>
      </c>
      <c r="H46">
        <v>1333.3410644999999</v>
      </c>
      <c r="I46">
        <v>1326.3912353999999</v>
      </c>
      <c r="J46">
        <v>1324.5573730000001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2.2032370000000001</v>
      </c>
      <c r="B47" s="1">
        <f>DATE(2010,5,3) + TIME(4,52,39)</f>
        <v>40301.203229166669</v>
      </c>
      <c r="C47">
        <v>80</v>
      </c>
      <c r="D47">
        <v>49.313667297000002</v>
      </c>
      <c r="E47">
        <v>50</v>
      </c>
      <c r="F47">
        <v>14.99973774</v>
      </c>
      <c r="G47">
        <v>1334.8930664</v>
      </c>
      <c r="H47">
        <v>1333.3845214999999</v>
      </c>
      <c r="I47">
        <v>1326.3925781</v>
      </c>
      <c r="J47">
        <v>1324.5574951000001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2.274025</v>
      </c>
      <c r="B48" s="1">
        <f>DATE(2010,5,3) + TIME(6,34,35)</f>
        <v>40301.274016203701</v>
      </c>
      <c r="C48">
        <v>80</v>
      </c>
      <c r="D48">
        <v>50.300327301000003</v>
      </c>
      <c r="E48">
        <v>50</v>
      </c>
      <c r="F48">
        <v>14.999738692999999</v>
      </c>
      <c r="G48">
        <v>1334.9410399999999</v>
      </c>
      <c r="H48">
        <v>1333.4284668</v>
      </c>
      <c r="I48">
        <v>1326.3937988</v>
      </c>
      <c r="J48">
        <v>1324.5576172000001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2.3457699999999999</v>
      </c>
      <c r="B49" s="1">
        <f>DATE(2010,5,3) + TIME(8,17,54)</f>
        <v>40301.345763888887</v>
      </c>
      <c r="C49">
        <v>80</v>
      </c>
      <c r="D49">
        <v>51.285686493</v>
      </c>
      <c r="E49">
        <v>50</v>
      </c>
      <c r="F49">
        <v>14.999740600999999</v>
      </c>
      <c r="G49">
        <v>1334.9898682</v>
      </c>
      <c r="H49">
        <v>1333.4729004000001</v>
      </c>
      <c r="I49">
        <v>1326.3951416</v>
      </c>
      <c r="J49">
        <v>1324.5577393000001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2.4185810000000001</v>
      </c>
      <c r="B50" s="1">
        <f>DATE(2010,5,3) + TIME(10,2,45)</f>
        <v>40301.418576388889</v>
      </c>
      <c r="C50">
        <v>80</v>
      </c>
      <c r="D50">
        <v>52.270175934000001</v>
      </c>
      <c r="E50">
        <v>50</v>
      </c>
      <c r="F50">
        <v>14.999741554</v>
      </c>
      <c r="G50">
        <v>1335.0394286999999</v>
      </c>
      <c r="H50">
        <v>1333.5177002</v>
      </c>
      <c r="I50">
        <v>1326.3964844</v>
      </c>
      <c r="J50">
        <v>1324.5578613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2.4925389999999998</v>
      </c>
      <c r="B51" s="1">
        <f>DATE(2010,5,3) + TIME(11,49,15)</f>
        <v>40301.492534722223</v>
      </c>
      <c r="C51">
        <v>80</v>
      </c>
      <c r="D51">
        <v>53.253410338999998</v>
      </c>
      <c r="E51">
        <v>50</v>
      </c>
      <c r="F51">
        <v>14.999743462</v>
      </c>
      <c r="G51">
        <v>1335.0897216999999</v>
      </c>
      <c r="H51">
        <v>1333.5629882999999</v>
      </c>
      <c r="I51">
        <v>1326.3977050999999</v>
      </c>
      <c r="J51">
        <v>1324.5579834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2.567758</v>
      </c>
      <c r="B52" s="1">
        <f>DATE(2010,5,3) + TIME(13,37,34)</f>
        <v>40301.567754629628</v>
      </c>
      <c r="C52">
        <v>80</v>
      </c>
      <c r="D52">
        <v>54.235298157000003</v>
      </c>
      <c r="E52">
        <v>50</v>
      </c>
      <c r="F52">
        <v>14.999744415</v>
      </c>
      <c r="G52">
        <v>1335.1407471</v>
      </c>
      <c r="H52">
        <v>1333.6087646000001</v>
      </c>
      <c r="I52">
        <v>1326.3990478999999</v>
      </c>
      <c r="J52">
        <v>1324.5581055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2.6443639999999999</v>
      </c>
      <c r="B53" s="1">
        <f>DATE(2010,5,3) + TIME(15,27,53)</f>
        <v>40301.644363425927</v>
      </c>
      <c r="C53">
        <v>80</v>
      </c>
      <c r="D53">
        <v>55.215751648000001</v>
      </c>
      <c r="E53">
        <v>50</v>
      </c>
      <c r="F53">
        <v>14.999746323</v>
      </c>
      <c r="G53">
        <v>1335.1923827999999</v>
      </c>
      <c r="H53">
        <v>1333.6549072</v>
      </c>
      <c r="I53">
        <v>1326.4003906</v>
      </c>
      <c r="J53">
        <v>1324.5582274999999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2.7224979999999999</v>
      </c>
      <c r="B54" s="1">
        <f>DATE(2010,5,3) + TIME(17,20,23)</f>
        <v>40301.722488425927</v>
      </c>
      <c r="C54">
        <v>80</v>
      </c>
      <c r="D54">
        <v>56.194660186999997</v>
      </c>
      <c r="E54">
        <v>50</v>
      </c>
      <c r="F54">
        <v>14.999747276000001</v>
      </c>
      <c r="G54">
        <v>1335.244751</v>
      </c>
      <c r="H54">
        <v>1333.7014160000001</v>
      </c>
      <c r="I54">
        <v>1326.4018555</v>
      </c>
      <c r="J54">
        <v>1324.5583495999999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2.8023159999999998</v>
      </c>
      <c r="B55" s="1">
        <f>DATE(2010,5,3) + TIME(19,15,20)</f>
        <v>40301.802314814813</v>
      </c>
      <c r="C55">
        <v>80</v>
      </c>
      <c r="D55">
        <v>57.171909331999998</v>
      </c>
      <c r="E55">
        <v>50</v>
      </c>
      <c r="F55">
        <v>14.999749184000001</v>
      </c>
      <c r="G55">
        <v>1335.2978516000001</v>
      </c>
      <c r="H55">
        <v>1333.7482910000001</v>
      </c>
      <c r="I55">
        <v>1326.4031981999999</v>
      </c>
      <c r="J55">
        <v>1324.5584716999999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2.883991</v>
      </c>
      <c r="B56" s="1">
        <f>DATE(2010,5,3) + TIME(21,12,56)</f>
        <v>40301.883981481478</v>
      </c>
      <c r="C56">
        <v>80</v>
      </c>
      <c r="D56">
        <v>58.147369384999998</v>
      </c>
      <c r="E56">
        <v>50</v>
      </c>
      <c r="F56">
        <v>14.999750136999999</v>
      </c>
      <c r="G56">
        <v>1335.3516846</v>
      </c>
      <c r="H56">
        <v>1333.7955322</v>
      </c>
      <c r="I56">
        <v>1326.4045410000001</v>
      </c>
      <c r="J56">
        <v>1324.5585937999999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2.9677210000000001</v>
      </c>
      <c r="B57" s="1">
        <f>DATE(2010,5,3) + TIME(23,13,31)</f>
        <v>40301.967719907407</v>
      </c>
      <c r="C57">
        <v>80</v>
      </c>
      <c r="D57">
        <v>59.120903015000003</v>
      </c>
      <c r="E57">
        <v>50</v>
      </c>
      <c r="F57">
        <v>14.999752044999999</v>
      </c>
      <c r="G57">
        <v>1335.4061279</v>
      </c>
      <c r="H57">
        <v>1333.8432617000001</v>
      </c>
      <c r="I57">
        <v>1326.4060059000001</v>
      </c>
      <c r="J57">
        <v>1324.5585937999999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3.053728</v>
      </c>
      <c r="B58" s="1">
        <f>DATE(2010,5,4) + TIME(1,17,22)</f>
        <v>40302.053726851853</v>
      </c>
      <c r="C58">
        <v>80</v>
      </c>
      <c r="D58">
        <v>60.092266082999998</v>
      </c>
      <c r="E58">
        <v>50</v>
      </c>
      <c r="F58">
        <v>14.999752998</v>
      </c>
      <c r="G58">
        <v>1335.4613036999999</v>
      </c>
      <c r="H58">
        <v>1333.8912353999999</v>
      </c>
      <c r="I58">
        <v>1326.4074707</v>
      </c>
      <c r="J58">
        <v>1324.5587158000001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3.1422699999999999</v>
      </c>
      <c r="B59" s="1">
        <f>DATE(2010,5,4) + TIME(3,24,52)</f>
        <v>40302.142268518517</v>
      </c>
      <c r="C59">
        <v>80</v>
      </c>
      <c r="D59">
        <v>61.060768127000003</v>
      </c>
      <c r="E59">
        <v>50</v>
      </c>
      <c r="F59">
        <v>14.999754906</v>
      </c>
      <c r="G59">
        <v>1335.5170897999999</v>
      </c>
      <c r="H59">
        <v>1333.9396973</v>
      </c>
      <c r="I59">
        <v>1326.4089355000001</v>
      </c>
      <c r="J59">
        <v>1324.5588379000001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3.2336909999999999</v>
      </c>
      <c r="B60" s="1">
        <f>DATE(2010,5,4) + TIME(5,36,30)</f>
        <v>40302.233680555553</v>
      </c>
      <c r="C60">
        <v>80</v>
      </c>
      <c r="D60">
        <v>62.027351379000002</v>
      </c>
      <c r="E60">
        <v>50</v>
      </c>
      <c r="F60">
        <v>14.999755859</v>
      </c>
      <c r="G60">
        <v>1335.5737305</v>
      </c>
      <c r="H60">
        <v>1333.9885254000001</v>
      </c>
      <c r="I60">
        <v>1326.4104004000001</v>
      </c>
      <c r="J60">
        <v>1324.5589600000001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3.328274</v>
      </c>
      <c r="B61" s="1">
        <f>DATE(2010,5,4) + TIME(7,52,42)</f>
        <v>40302.328263888892</v>
      </c>
      <c r="C61">
        <v>80</v>
      </c>
      <c r="D61">
        <v>62.991199493000003</v>
      </c>
      <c r="E61">
        <v>50</v>
      </c>
      <c r="F61">
        <v>14.999757767</v>
      </c>
      <c r="G61">
        <v>1335.6311035000001</v>
      </c>
      <c r="H61">
        <v>1334.0377197</v>
      </c>
      <c r="I61">
        <v>1326.4118652</v>
      </c>
      <c r="J61">
        <v>1324.559082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3.4264039999999998</v>
      </c>
      <c r="B62" s="1">
        <f>DATE(2010,5,4) + TIME(10,14,1)</f>
        <v>40302.426400462966</v>
      </c>
      <c r="C62">
        <v>80</v>
      </c>
      <c r="D62">
        <v>63.952026367000002</v>
      </c>
      <c r="E62">
        <v>50</v>
      </c>
      <c r="F62">
        <v>14.999758720000001</v>
      </c>
      <c r="G62">
        <v>1335.6892089999999</v>
      </c>
      <c r="H62">
        <v>1334.0872803</v>
      </c>
      <c r="I62">
        <v>1326.4134521000001</v>
      </c>
      <c r="J62">
        <v>1324.5592041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3.5285340000000001</v>
      </c>
      <c r="B63" s="1">
        <f>DATE(2010,5,4) + TIME(12,41,5)</f>
        <v>40302.52853009259</v>
      </c>
      <c r="C63">
        <v>80</v>
      </c>
      <c r="D63">
        <v>64.909500121999997</v>
      </c>
      <c r="E63">
        <v>50</v>
      </c>
      <c r="F63">
        <v>14.999760628000001</v>
      </c>
      <c r="G63">
        <v>1335.7480469</v>
      </c>
      <c r="H63">
        <v>1334.1373291</v>
      </c>
      <c r="I63">
        <v>1326.4150391000001</v>
      </c>
      <c r="J63">
        <v>1324.5593262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3.6352009999999999</v>
      </c>
      <c r="B64" s="1">
        <f>DATE(2010,5,4) + TIME(15,14,41)</f>
        <v>40302.635196759256</v>
      </c>
      <c r="C64">
        <v>80</v>
      </c>
      <c r="D64">
        <v>65.863449097</v>
      </c>
      <c r="E64">
        <v>50</v>
      </c>
      <c r="F64">
        <v>14.999762535</v>
      </c>
      <c r="G64">
        <v>1335.8077393000001</v>
      </c>
      <c r="H64">
        <v>1334.1876221</v>
      </c>
      <c r="I64">
        <v>1326.416626</v>
      </c>
      <c r="J64">
        <v>1324.5594481999999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3.691109</v>
      </c>
      <c r="B65" s="1">
        <f>DATE(2010,5,4) + TIME(16,35,11)</f>
        <v>40302.691099537034</v>
      </c>
      <c r="C65">
        <v>80</v>
      </c>
      <c r="D65">
        <v>66.355033875000004</v>
      </c>
      <c r="E65">
        <v>50</v>
      </c>
      <c r="F65">
        <v>14.999763488999999</v>
      </c>
      <c r="G65">
        <v>1335.8747559000001</v>
      </c>
      <c r="H65">
        <v>1334.2355957</v>
      </c>
      <c r="I65">
        <v>1326.4180908000001</v>
      </c>
      <c r="J65">
        <v>1324.5595702999999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3.747017</v>
      </c>
      <c r="B66" s="1">
        <f>DATE(2010,5,4) + TIME(17,55,42)</f>
        <v>40302.747013888889</v>
      </c>
      <c r="C66">
        <v>80</v>
      </c>
      <c r="D66">
        <v>66.833717346</v>
      </c>
      <c r="E66">
        <v>50</v>
      </c>
      <c r="F66">
        <v>14.999764442</v>
      </c>
      <c r="G66">
        <v>1335.90625</v>
      </c>
      <c r="H66">
        <v>1334.2618408000001</v>
      </c>
      <c r="I66">
        <v>1326.4189452999999</v>
      </c>
      <c r="J66">
        <v>1324.5595702999999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3.8029250000000001</v>
      </c>
      <c r="B67" s="1">
        <f>DATE(2010,5,4) + TIME(19,16,12)</f>
        <v>40302.802916666667</v>
      </c>
      <c r="C67">
        <v>80</v>
      </c>
      <c r="D67">
        <v>67.299583435000002</v>
      </c>
      <c r="E67">
        <v>50</v>
      </c>
      <c r="F67">
        <v>14.999764442</v>
      </c>
      <c r="G67">
        <v>1335.9372559000001</v>
      </c>
      <c r="H67">
        <v>1334.2874756000001</v>
      </c>
      <c r="I67">
        <v>1326.4197998</v>
      </c>
      <c r="J67">
        <v>1324.5596923999999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3.8588330000000002</v>
      </c>
      <c r="B68" s="1">
        <f>DATE(2010,5,4) + TIME(20,36,43)</f>
        <v>40302.858831018515</v>
      </c>
      <c r="C68">
        <v>80</v>
      </c>
      <c r="D68">
        <v>67.752723693999997</v>
      </c>
      <c r="E68">
        <v>50</v>
      </c>
      <c r="F68">
        <v>14.999765396000001</v>
      </c>
      <c r="G68">
        <v>1335.9676514</v>
      </c>
      <c r="H68">
        <v>1334.3126221</v>
      </c>
      <c r="I68">
        <v>1326.4206543</v>
      </c>
      <c r="J68">
        <v>1324.5596923999999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3.9143539999999999</v>
      </c>
      <c r="B69" s="1">
        <f>DATE(2010,5,4) + TIME(21,56,40)</f>
        <v>40302.914351851854</v>
      </c>
      <c r="C69">
        <v>80</v>
      </c>
      <c r="D69">
        <v>68.190292357999994</v>
      </c>
      <c r="E69">
        <v>50</v>
      </c>
      <c r="F69">
        <v>14.99976635</v>
      </c>
      <c r="G69">
        <v>1335.9976807</v>
      </c>
      <c r="H69">
        <v>1334.3371582</v>
      </c>
      <c r="I69">
        <v>1326.4215088000001</v>
      </c>
      <c r="J69">
        <v>1324.5598144999999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3.969436</v>
      </c>
      <c r="B70" s="1">
        <f>DATE(2010,5,4) + TIME(23,15,59)</f>
        <v>40302.96943287037</v>
      </c>
      <c r="C70">
        <v>80</v>
      </c>
      <c r="D70">
        <v>68.612281799000002</v>
      </c>
      <c r="E70">
        <v>50</v>
      </c>
      <c r="F70">
        <v>14.999767303</v>
      </c>
      <c r="G70">
        <v>1336.0269774999999</v>
      </c>
      <c r="H70">
        <v>1334.3610839999999</v>
      </c>
      <c r="I70">
        <v>1326.4222411999999</v>
      </c>
      <c r="J70">
        <v>1324.5598144999999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4.0241239999999996</v>
      </c>
      <c r="B71" s="1">
        <f>DATE(2010,5,5) + TIME(0,34,44)</f>
        <v>40303.02412037037</v>
      </c>
      <c r="C71">
        <v>80</v>
      </c>
      <c r="D71">
        <v>69.019416809000006</v>
      </c>
      <c r="E71">
        <v>50</v>
      </c>
      <c r="F71">
        <v>14.999768256999999</v>
      </c>
      <c r="G71">
        <v>1336.0554199000001</v>
      </c>
      <c r="H71">
        <v>1334.3842772999999</v>
      </c>
      <c r="I71">
        <v>1326.4230957</v>
      </c>
      <c r="J71">
        <v>1324.5599365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4.0784589999999996</v>
      </c>
      <c r="B72" s="1">
        <f>DATE(2010,5,5) + TIME(1,52,58)</f>
        <v>40303.078449074077</v>
      </c>
      <c r="C72">
        <v>80</v>
      </c>
      <c r="D72">
        <v>69.412353515999996</v>
      </c>
      <c r="E72">
        <v>50</v>
      </c>
      <c r="F72">
        <v>14.999769211</v>
      </c>
      <c r="G72">
        <v>1336.0831298999999</v>
      </c>
      <c r="H72">
        <v>1334.4068603999999</v>
      </c>
      <c r="I72">
        <v>1326.4238281</v>
      </c>
      <c r="J72">
        <v>1324.5599365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4.1324800000000002</v>
      </c>
      <c r="B73" s="1">
        <f>DATE(2010,5,5) + TIME(3,10,46)</f>
        <v>40303.132476851853</v>
      </c>
      <c r="C73">
        <v>80</v>
      </c>
      <c r="D73">
        <v>69.791725158999995</v>
      </c>
      <c r="E73">
        <v>50</v>
      </c>
      <c r="F73">
        <v>14.999770163999999</v>
      </c>
      <c r="G73">
        <v>1336.1101074000001</v>
      </c>
      <c r="H73">
        <v>1334.4287108999999</v>
      </c>
      <c r="I73">
        <v>1326.4245605000001</v>
      </c>
      <c r="J73">
        <v>1324.5600586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4.1862250000000003</v>
      </c>
      <c r="B74" s="1">
        <f>DATE(2010,5,5) + TIME(4,28,9)</f>
        <v>40303.186215277776</v>
      </c>
      <c r="C74">
        <v>80</v>
      </c>
      <c r="D74">
        <v>70.158012389999996</v>
      </c>
      <c r="E74">
        <v>50</v>
      </c>
      <c r="F74">
        <v>14.999770163999999</v>
      </c>
      <c r="G74">
        <v>1336.1364745999999</v>
      </c>
      <c r="H74">
        <v>1334.4499512</v>
      </c>
      <c r="I74">
        <v>1326.425293</v>
      </c>
      <c r="J74">
        <v>1324.5600586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4.2397299999999998</v>
      </c>
      <c r="B75" s="1">
        <f>DATE(2010,5,5) + TIME(5,45,12)</f>
        <v>40303.239722222221</v>
      </c>
      <c r="C75">
        <v>80</v>
      </c>
      <c r="D75">
        <v>70.51171875</v>
      </c>
      <c r="E75">
        <v>50</v>
      </c>
      <c r="F75">
        <v>14.999771118</v>
      </c>
      <c r="G75">
        <v>1336.1622314000001</v>
      </c>
      <c r="H75">
        <v>1334.4705810999999</v>
      </c>
      <c r="I75">
        <v>1326.4260254000001</v>
      </c>
      <c r="J75">
        <v>1324.5601807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4.2930279999999996</v>
      </c>
      <c r="B76" s="1">
        <f>DATE(2010,5,5) + TIME(7,1,57)</f>
        <v>40303.293020833335</v>
      </c>
      <c r="C76">
        <v>80</v>
      </c>
      <c r="D76">
        <v>70.853439331000004</v>
      </c>
      <c r="E76">
        <v>50</v>
      </c>
      <c r="F76">
        <v>14.999772072000001</v>
      </c>
      <c r="G76">
        <v>1336.1856689000001</v>
      </c>
      <c r="H76">
        <v>1334.4895019999999</v>
      </c>
      <c r="I76">
        <v>1326.4267577999999</v>
      </c>
      <c r="J76">
        <v>1324.5601807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4.3461629999999998</v>
      </c>
      <c r="B77" s="1">
        <f>DATE(2010,5,5) + TIME(8,18,28)</f>
        <v>40303.34615740741</v>
      </c>
      <c r="C77">
        <v>80</v>
      </c>
      <c r="D77">
        <v>71.183731078999998</v>
      </c>
      <c r="E77">
        <v>50</v>
      </c>
      <c r="F77">
        <v>14.999773026</v>
      </c>
      <c r="G77">
        <v>1336.2086182</v>
      </c>
      <c r="H77">
        <v>1334.5079346</v>
      </c>
      <c r="I77">
        <v>1326.4273682</v>
      </c>
      <c r="J77">
        <v>1324.5603027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4.3991629999999997</v>
      </c>
      <c r="B78" s="1">
        <f>DATE(2010,5,5) + TIME(9,34,47)</f>
        <v>40303.399155092593</v>
      </c>
      <c r="C78">
        <v>80</v>
      </c>
      <c r="D78">
        <v>71.503036499000004</v>
      </c>
      <c r="E78">
        <v>50</v>
      </c>
      <c r="F78">
        <v>14.999773026</v>
      </c>
      <c r="G78">
        <v>1336.2310791</v>
      </c>
      <c r="H78">
        <v>1334.5257568</v>
      </c>
      <c r="I78">
        <v>1326.4279785000001</v>
      </c>
      <c r="J78">
        <v>1324.5603027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4.4520600000000004</v>
      </c>
      <c r="B79" s="1">
        <f>DATE(2010,5,5) + TIME(10,50,57)</f>
        <v>40303.452048611114</v>
      </c>
      <c r="C79">
        <v>80</v>
      </c>
      <c r="D79">
        <v>71.811782836999996</v>
      </c>
      <c r="E79">
        <v>50</v>
      </c>
      <c r="F79">
        <v>14.999773979</v>
      </c>
      <c r="G79">
        <v>1336.2529297000001</v>
      </c>
      <c r="H79">
        <v>1334.5432129000001</v>
      </c>
      <c r="I79">
        <v>1326.4287108999999</v>
      </c>
      <c r="J79">
        <v>1324.5604248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4.5048810000000001</v>
      </c>
      <c r="B80" s="1">
        <f>DATE(2010,5,5) + TIME(12,7,1)</f>
        <v>40303.504872685182</v>
      </c>
      <c r="C80">
        <v>80</v>
      </c>
      <c r="D80">
        <v>72.110366821</v>
      </c>
      <c r="E80">
        <v>50</v>
      </c>
      <c r="F80">
        <v>14.999774932999999</v>
      </c>
      <c r="G80">
        <v>1336.2742920000001</v>
      </c>
      <c r="H80">
        <v>1334.5600586</v>
      </c>
      <c r="I80">
        <v>1326.4293213000001</v>
      </c>
      <c r="J80">
        <v>1324.5604248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4.5576559999999997</v>
      </c>
      <c r="B81" s="1">
        <f>DATE(2010,5,5) + TIME(13,23,1)</f>
        <v>40303.557650462964</v>
      </c>
      <c r="C81">
        <v>80</v>
      </c>
      <c r="D81">
        <v>72.399185181000007</v>
      </c>
      <c r="E81">
        <v>50</v>
      </c>
      <c r="F81">
        <v>14.999775887</v>
      </c>
      <c r="G81">
        <v>1336.2951660000001</v>
      </c>
      <c r="H81">
        <v>1334.5765381000001</v>
      </c>
      <c r="I81">
        <v>1326.4299315999999</v>
      </c>
      <c r="J81">
        <v>1324.5605469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4.6104089999999998</v>
      </c>
      <c r="B82" s="1">
        <f>DATE(2010,5,5) + TIME(14,38,59)</f>
        <v>40303.610405092593</v>
      </c>
      <c r="C82">
        <v>80</v>
      </c>
      <c r="D82">
        <v>72.678581238000007</v>
      </c>
      <c r="E82">
        <v>50</v>
      </c>
      <c r="F82">
        <v>14.999775887</v>
      </c>
      <c r="G82">
        <v>1336.3155518000001</v>
      </c>
      <c r="H82">
        <v>1334.5925293</v>
      </c>
      <c r="I82">
        <v>1326.4305420000001</v>
      </c>
      <c r="J82">
        <v>1324.5605469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4.6631629999999999</v>
      </c>
      <c r="B83" s="1">
        <f>DATE(2010,5,5) + TIME(15,54,57)</f>
        <v>40303.663159722222</v>
      </c>
      <c r="C83">
        <v>80</v>
      </c>
      <c r="D83">
        <v>72.948860167999996</v>
      </c>
      <c r="E83">
        <v>50</v>
      </c>
      <c r="F83">
        <v>14.999776839999999</v>
      </c>
      <c r="G83">
        <v>1336.3355713000001</v>
      </c>
      <c r="H83">
        <v>1334.6081543</v>
      </c>
      <c r="I83">
        <v>1326.4311522999999</v>
      </c>
      <c r="J83">
        <v>1324.5606689000001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4.7159170000000001</v>
      </c>
      <c r="B84" s="1">
        <f>DATE(2010,5,5) + TIME(17,10,55)</f>
        <v>40303.715914351851</v>
      </c>
      <c r="C84">
        <v>80</v>
      </c>
      <c r="D84">
        <v>73.210243224999999</v>
      </c>
      <c r="E84">
        <v>50</v>
      </c>
      <c r="F84">
        <v>14.999777794</v>
      </c>
      <c r="G84">
        <v>1336.3551024999999</v>
      </c>
      <c r="H84">
        <v>1334.6234131000001</v>
      </c>
      <c r="I84">
        <v>1326.4317627</v>
      </c>
      <c r="J84">
        <v>1324.5606689000001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4.7686710000000003</v>
      </c>
      <c r="B85" s="1">
        <f>DATE(2010,5,5) + TIME(18,26,53)</f>
        <v>40303.76866898148</v>
      </c>
      <c r="C85">
        <v>80</v>
      </c>
      <c r="D85">
        <v>73.462913513000004</v>
      </c>
      <c r="E85">
        <v>50</v>
      </c>
      <c r="F85">
        <v>14.999777794</v>
      </c>
      <c r="G85">
        <v>1336.3742675999999</v>
      </c>
      <c r="H85">
        <v>1334.6383057</v>
      </c>
      <c r="I85">
        <v>1326.432251</v>
      </c>
      <c r="J85">
        <v>1324.5607910000001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4.8214240000000004</v>
      </c>
      <c r="B86" s="1">
        <f>DATE(2010,5,5) + TIME(19,42,51)</f>
        <v>40303.821423611109</v>
      </c>
      <c r="C86">
        <v>80</v>
      </c>
      <c r="D86">
        <v>73.707092285000002</v>
      </c>
      <c r="E86">
        <v>50</v>
      </c>
      <c r="F86">
        <v>14.999778748000001</v>
      </c>
      <c r="G86">
        <v>1336.3929443</v>
      </c>
      <c r="H86">
        <v>1334.6527100000001</v>
      </c>
      <c r="I86">
        <v>1326.4328613</v>
      </c>
      <c r="J86">
        <v>1324.5607910000001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4.8741779999999997</v>
      </c>
      <c r="B87" s="1">
        <f>DATE(2010,5,5) + TIME(20,58,48)</f>
        <v>40303.874166666668</v>
      </c>
      <c r="C87">
        <v>80</v>
      </c>
      <c r="D87">
        <v>73.942970275999997</v>
      </c>
      <c r="E87">
        <v>50</v>
      </c>
      <c r="F87">
        <v>14.999779701</v>
      </c>
      <c r="G87">
        <v>1336.4111327999999</v>
      </c>
      <c r="H87">
        <v>1334.6667480000001</v>
      </c>
      <c r="I87">
        <v>1326.4334716999999</v>
      </c>
      <c r="J87">
        <v>1324.5609131000001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4.9269319999999999</v>
      </c>
      <c r="B88" s="1">
        <f>DATE(2010,5,5) + TIME(22,14,46)</f>
        <v>40303.926921296297</v>
      </c>
      <c r="C88">
        <v>80</v>
      </c>
      <c r="D88">
        <v>74.170761107999994</v>
      </c>
      <c r="E88">
        <v>50</v>
      </c>
      <c r="F88">
        <v>14.999779701</v>
      </c>
      <c r="G88">
        <v>1336.4289550999999</v>
      </c>
      <c r="H88">
        <v>1334.6804199000001</v>
      </c>
      <c r="I88">
        <v>1326.4339600000001</v>
      </c>
      <c r="J88">
        <v>1324.5609131000001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4.9796860000000001</v>
      </c>
      <c r="B89" s="1">
        <f>DATE(2010,5,5) + TIME(23,30,44)</f>
        <v>40303.979675925926</v>
      </c>
      <c r="C89">
        <v>80</v>
      </c>
      <c r="D89">
        <v>74.390670775999993</v>
      </c>
      <c r="E89">
        <v>50</v>
      </c>
      <c r="F89">
        <v>14.999780655</v>
      </c>
      <c r="G89">
        <v>1336.4464111</v>
      </c>
      <c r="H89">
        <v>1334.6937256000001</v>
      </c>
      <c r="I89">
        <v>1326.4345702999999</v>
      </c>
      <c r="J89">
        <v>1324.5609131000001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5.0324400000000002</v>
      </c>
      <c r="B90" s="1">
        <f>DATE(2010,5,6) + TIME(0,46,42)</f>
        <v>40304.032430555555</v>
      </c>
      <c r="C90">
        <v>80</v>
      </c>
      <c r="D90">
        <v>74.602890015</v>
      </c>
      <c r="E90">
        <v>50</v>
      </c>
      <c r="F90">
        <v>14.999781608999999</v>
      </c>
      <c r="G90">
        <v>1336.4631348</v>
      </c>
      <c r="H90">
        <v>1334.7064209</v>
      </c>
      <c r="I90">
        <v>1326.4350586</v>
      </c>
      <c r="J90">
        <v>1324.5610352000001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5.1379469999999996</v>
      </c>
      <c r="B91" s="1">
        <f>DATE(2010,5,6) + TIME(3,18,38)</f>
        <v>40304.137939814813</v>
      </c>
      <c r="C91">
        <v>80</v>
      </c>
      <c r="D91">
        <v>74.996360779</v>
      </c>
      <c r="E91">
        <v>50</v>
      </c>
      <c r="F91">
        <v>14.999782562</v>
      </c>
      <c r="G91">
        <v>1336.4747314000001</v>
      </c>
      <c r="H91">
        <v>1334.71875</v>
      </c>
      <c r="I91">
        <v>1326.4356689000001</v>
      </c>
      <c r="J91">
        <v>1324.5611572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5.2435140000000002</v>
      </c>
      <c r="B92" s="1">
        <f>DATE(2010,5,6) + TIME(5,50,39)</f>
        <v>40304.243506944447</v>
      </c>
      <c r="C92">
        <v>80</v>
      </c>
      <c r="D92">
        <v>75.362571716000005</v>
      </c>
      <c r="E92">
        <v>50</v>
      </c>
      <c r="F92">
        <v>14.999783516000001</v>
      </c>
      <c r="G92">
        <v>1336.5029297000001</v>
      </c>
      <c r="H92">
        <v>1334.7397461</v>
      </c>
      <c r="I92">
        <v>1326.4366454999999</v>
      </c>
      <c r="J92">
        <v>1324.5612793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5.3502619999999999</v>
      </c>
      <c r="B93" s="1">
        <f>DATE(2010,5,6) + TIME(8,24,22)</f>
        <v>40304.350254629629</v>
      </c>
      <c r="C93">
        <v>80</v>
      </c>
      <c r="D93">
        <v>75.706604003999999</v>
      </c>
      <c r="E93">
        <v>50</v>
      </c>
      <c r="F93">
        <v>14.999785423000001</v>
      </c>
      <c r="G93">
        <v>1336.5297852000001</v>
      </c>
      <c r="H93">
        <v>1334.7593993999999</v>
      </c>
      <c r="I93">
        <v>1326.4376221</v>
      </c>
      <c r="J93">
        <v>1324.5614014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5.4583469999999998</v>
      </c>
      <c r="B94" s="1">
        <f>DATE(2010,5,6) + TIME(11,0,1)</f>
        <v>40304.458344907405</v>
      </c>
      <c r="C94">
        <v>80</v>
      </c>
      <c r="D94">
        <v>76.029624939000001</v>
      </c>
      <c r="E94">
        <v>50</v>
      </c>
      <c r="F94">
        <v>14.999786377</v>
      </c>
      <c r="G94">
        <v>1336.5555420000001</v>
      </c>
      <c r="H94">
        <v>1334.7781981999999</v>
      </c>
      <c r="I94">
        <v>1326.4384766000001</v>
      </c>
      <c r="J94">
        <v>1324.5615233999999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5.5679540000000003</v>
      </c>
      <c r="B95" s="1">
        <f>DATE(2010,5,6) + TIME(13,37,51)</f>
        <v>40304.56795138889</v>
      </c>
      <c r="C95">
        <v>80</v>
      </c>
      <c r="D95">
        <v>76.332778931000007</v>
      </c>
      <c r="E95">
        <v>50</v>
      </c>
      <c r="F95">
        <v>14.999787331</v>
      </c>
      <c r="G95">
        <v>1336.5802002</v>
      </c>
      <c r="H95">
        <v>1334.7960204999999</v>
      </c>
      <c r="I95">
        <v>1326.4393310999999</v>
      </c>
      <c r="J95">
        <v>1324.5616454999999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5.679278</v>
      </c>
      <c r="B96" s="1">
        <f>DATE(2010,5,6) + TIME(16,18,9)</f>
        <v>40304.679270833331</v>
      </c>
      <c r="C96">
        <v>80</v>
      </c>
      <c r="D96">
        <v>76.617141724000007</v>
      </c>
      <c r="E96">
        <v>50</v>
      </c>
      <c r="F96">
        <v>14.999788283999999</v>
      </c>
      <c r="G96">
        <v>1336.6038818</v>
      </c>
      <c r="H96">
        <v>1334.8128661999999</v>
      </c>
      <c r="I96">
        <v>1326.4403076000001</v>
      </c>
      <c r="J96">
        <v>1324.5617675999999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5.7925240000000002</v>
      </c>
      <c r="B97" s="1">
        <f>DATE(2010,5,6) + TIME(19,1,14)</f>
        <v>40304.792523148149</v>
      </c>
      <c r="C97">
        <v>80</v>
      </c>
      <c r="D97">
        <v>76.883697510000005</v>
      </c>
      <c r="E97">
        <v>50</v>
      </c>
      <c r="F97">
        <v>14.999790192000001</v>
      </c>
      <c r="G97">
        <v>1336.6264647999999</v>
      </c>
      <c r="H97">
        <v>1334.8288574000001</v>
      </c>
      <c r="I97">
        <v>1326.4411620999999</v>
      </c>
      <c r="J97">
        <v>1324.5618896000001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5.9079179999999996</v>
      </c>
      <c r="B98" s="1">
        <f>DATE(2010,5,6) + TIME(21,47,24)</f>
        <v>40304.907916666663</v>
      </c>
      <c r="C98">
        <v>80</v>
      </c>
      <c r="D98">
        <v>77.133399963000002</v>
      </c>
      <c r="E98">
        <v>50</v>
      </c>
      <c r="F98">
        <v>14.999791145</v>
      </c>
      <c r="G98">
        <v>1336.6481934000001</v>
      </c>
      <c r="H98">
        <v>1334.8439940999999</v>
      </c>
      <c r="I98">
        <v>1326.4420166</v>
      </c>
      <c r="J98">
        <v>1324.5620117000001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6.025722</v>
      </c>
      <c r="B99" s="1">
        <f>DATE(2010,5,7) + TIME(0,37,2)</f>
        <v>40305.025717592594</v>
      </c>
      <c r="C99">
        <v>80</v>
      </c>
      <c r="D99">
        <v>77.367172241000006</v>
      </c>
      <c r="E99">
        <v>50</v>
      </c>
      <c r="F99">
        <v>14.999792099</v>
      </c>
      <c r="G99">
        <v>1336.6690673999999</v>
      </c>
      <c r="H99">
        <v>1334.8583983999999</v>
      </c>
      <c r="I99">
        <v>1326.4428711</v>
      </c>
      <c r="J99">
        <v>1324.5621338000001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6.1461439999999996</v>
      </c>
      <c r="B100" s="1">
        <f>DATE(2010,5,7) + TIME(3,30,26)</f>
        <v>40305.146134259259</v>
      </c>
      <c r="C100">
        <v>80</v>
      </c>
      <c r="D100">
        <v>77.585731506000002</v>
      </c>
      <c r="E100">
        <v>50</v>
      </c>
      <c r="F100">
        <v>14.999793052999999</v>
      </c>
      <c r="G100">
        <v>1336.6890868999999</v>
      </c>
      <c r="H100">
        <v>1334.8720702999999</v>
      </c>
      <c r="I100">
        <v>1326.4437256000001</v>
      </c>
      <c r="J100">
        <v>1324.5622559000001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6.2694530000000004</v>
      </c>
      <c r="B101" s="1">
        <f>DATE(2010,5,7) + TIME(6,28,0)</f>
        <v>40305.269444444442</v>
      </c>
      <c r="C101">
        <v>80</v>
      </c>
      <c r="D101">
        <v>77.789855957</v>
      </c>
      <c r="E101">
        <v>50</v>
      </c>
      <c r="F101">
        <v>14.999794959999999</v>
      </c>
      <c r="G101">
        <v>1336.7082519999999</v>
      </c>
      <c r="H101">
        <v>1334.8848877</v>
      </c>
      <c r="I101">
        <v>1326.4445800999999</v>
      </c>
      <c r="J101">
        <v>1324.5623779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6.3959400000000004</v>
      </c>
      <c r="B102" s="1">
        <f>DATE(2010,5,7) + TIME(9,30,9)</f>
        <v>40305.395937499998</v>
      </c>
      <c r="C102">
        <v>80</v>
      </c>
      <c r="D102">
        <v>77.980186462000006</v>
      </c>
      <c r="E102">
        <v>50</v>
      </c>
      <c r="F102">
        <v>14.999795914</v>
      </c>
      <c r="G102">
        <v>1336.7233887</v>
      </c>
      <c r="H102">
        <v>1334.8946533000001</v>
      </c>
      <c r="I102">
        <v>1326.4453125</v>
      </c>
      <c r="J102">
        <v>1324.5625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6.525976</v>
      </c>
      <c r="B103" s="1">
        <f>DATE(2010,5,7) + TIME(12,37,24)</f>
        <v>40305.525972222225</v>
      </c>
      <c r="C103">
        <v>80</v>
      </c>
      <c r="D103">
        <v>78.157470703000001</v>
      </c>
      <c r="E103">
        <v>50</v>
      </c>
      <c r="F103">
        <v>14.999796867000001</v>
      </c>
      <c r="G103">
        <v>1336.7373047000001</v>
      </c>
      <c r="H103">
        <v>1334.9034423999999</v>
      </c>
      <c r="I103">
        <v>1326.4460449000001</v>
      </c>
      <c r="J103">
        <v>1324.5627440999999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6.6599190000000004</v>
      </c>
      <c r="B104" s="1">
        <f>DATE(2010,5,7) + TIME(15,50,16)</f>
        <v>40305.659907407404</v>
      </c>
      <c r="C104">
        <v>80</v>
      </c>
      <c r="D104">
        <v>78.322372436999999</v>
      </c>
      <c r="E104">
        <v>50</v>
      </c>
      <c r="F104">
        <v>14.999798775</v>
      </c>
      <c r="G104">
        <v>1336.7506103999999</v>
      </c>
      <c r="H104">
        <v>1334.9113769999999</v>
      </c>
      <c r="I104">
        <v>1326.4467772999999</v>
      </c>
      <c r="J104">
        <v>1324.5628661999999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6.7982279999999999</v>
      </c>
      <c r="B105" s="1">
        <f>DATE(2010,5,7) + TIME(19,9,26)</f>
        <v>40305.798217592594</v>
      </c>
      <c r="C105">
        <v>80</v>
      </c>
      <c r="D105">
        <v>78.475563049000002</v>
      </c>
      <c r="E105">
        <v>50</v>
      </c>
      <c r="F105">
        <v>14.999799727999999</v>
      </c>
      <c r="G105">
        <v>1336.7630615</v>
      </c>
      <c r="H105">
        <v>1334.9188231999999</v>
      </c>
      <c r="I105">
        <v>1326.4476318</v>
      </c>
      <c r="J105">
        <v>1324.5629882999999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6.9412839999999996</v>
      </c>
      <c r="B106" s="1">
        <f>DATE(2010,5,7) + TIME(22,35,26)</f>
        <v>40305.94127314815</v>
      </c>
      <c r="C106">
        <v>80</v>
      </c>
      <c r="D106">
        <v>78.617561339999995</v>
      </c>
      <c r="E106">
        <v>50</v>
      </c>
      <c r="F106">
        <v>14.999800682</v>
      </c>
      <c r="G106">
        <v>1336.7747803</v>
      </c>
      <c r="H106">
        <v>1334.9255370999999</v>
      </c>
      <c r="I106">
        <v>1326.4483643000001</v>
      </c>
      <c r="J106">
        <v>1324.5632324000001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7.088241</v>
      </c>
      <c r="B107" s="1">
        <f>DATE(2010,5,8) + TIME(2,7,4)</f>
        <v>40306.088240740741</v>
      </c>
      <c r="C107">
        <v>80</v>
      </c>
      <c r="D107">
        <v>78.747856139999996</v>
      </c>
      <c r="E107">
        <v>50</v>
      </c>
      <c r="F107">
        <v>14.999802589</v>
      </c>
      <c r="G107">
        <v>1336.7860106999999</v>
      </c>
      <c r="H107">
        <v>1334.9317627</v>
      </c>
      <c r="I107">
        <v>1326.4490966999999</v>
      </c>
      <c r="J107">
        <v>1324.5633545000001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7.2394100000000003</v>
      </c>
      <c r="B108" s="1">
        <f>DATE(2010,5,8) + TIME(5,44,45)</f>
        <v>40306.23940972222</v>
      </c>
      <c r="C108">
        <v>80</v>
      </c>
      <c r="D108">
        <v>78.867179871000005</v>
      </c>
      <c r="E108">
        <v>50</v>
      </c>
      <c r="F108">
        <v>14.999803543000001</v>
      </c>
      <c r="G108">
        <v>1336.7962646000001</v>
      </c>
      <c r="H108">
        <v>1334.9372559000001</v>
      </c>
      <c r="I108">
        <v>1326.4498291</v>
      </c>
      <c r="J108">
        <v>1324.5635986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7.3952</v>
      </c>
      <c r="B109" s="1">
        <f>DATE(2010,5,8) + TIME(9,29,5)</f>
        <v>40306.395196759258</v>
      </c>
      <c r="C109">
        <v>80</v>
      </c>
      <c r="D109">
        <v>78.976234435999999</v>
      </c>
      <c r="E109">
        <v>50</v>
      </c>
      <c r="F109">
        <v>14.999804497</v>
      </c>
      <c r="G109">
        <v>1336.8056641000001</v>
      </c>
      <c r="H109">
        <v>1334.9420166</v>
      </c>
      <c r="I109">
        <v>1326.4505615</v>
      </c>
      <c r="J109">
        <v>1324.5637207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7.5560609999999997</v>
      </c>
      <c r="B110" s="1">
        <f>DATE(2010,5,8) + TIME(13,20,43)</f>
        <v>40306.55605324074</v>
      </c>
      <c r="C110">
        <v>80</v>
      </c>
      <c r="D110">
        <v>79.075721740999995</v>
      </c>
      <c r="E110">
        <v>50</v>
      </c>
      <c r="F110">
        <v>14.999806403999999</v>
      </c>
      <c r="G110">
        <v>1336.8143310999999</v>
      </c>
      <c r="H110">
        <v>1334.9460449000001</v>
      </c>
      <c r="I110">
        <v>1326.4512939000001</v>
      </c>
      <c r="J110">
        <v>1324.5639647999999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7.7225000000000001</v>
      </c>
      <c r="B111" s="1">
        <f>DATE(2010,5,8) + TIME(17,20,23)</f>
        <v>40306.722488425927</v>
      </c>
      <c r="C111">
        <v>80</v>
      </c>
      <c r="D111">
        <v>79.166282654</v>
      </c>
      <c r="E111">
        <v>50</v>
      </c>
      <c r="F111">
        <v>14.999807358</v>
      </c>
      <c r="G111">
        <v>1336.8221435999999</v>
      </c>
      <c r="H111">
        <v>1334.9494629000001</v>
      </c>
      <c r="I111">
        <v>1326.4521483999999</v>
      </c>
      <c r="J111">
        <v>1324.5640868999999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7.8950769999999997</v>
      </c>
      <c r="B112" s="1">
        <f>DATE(2010,5,8) + TIME(21,28,54)</f>
        <v>40306.895069444443</v>
      </c>
      <c r="C112">
        <v>80</v>
      </c>
      <c r="D112">
        <v>79.248527526999993</v>
      </c>
      <c r="E112">
        <v>50</v>
      </c>
      <c r="F112">
        <v>14.999808311000001</v>
      </c>
      <c r="G112">
        <v>1336.8291016000001</v>
      </c>
      <c r="H112">
        <v>1334.9522704999999</v>
      </c>
      <c r="I112">
        <v>1326.4528809000001</v>
      </c>
      <c r="J112">
        <v>1324.5643310999999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7.9823389999999996</v>
      </c>
      <c r="B113" s="1">
        <f>DATE(2010,5,8) + TIME(23,34,34)</f>
        <v>40306.98233796296</v>
      </c>
      <c r="C113">
        <v>80</v>
      </c>
      <c r="D113">
        <v>79.287422179999993</v>
      </c>
      <c r="E113">
        <v>50</v>
      </c>
      <c r="F113">
        <v>14.999809265</v>
      </c>
      <c r="G113">
        <v>1336.8364257999999</v>
      </c>
      <c r="H113">
        <v>1334.9541016000001</v>
      </c>
      <c r="I113">
        <v>1326.4536132999999</v>
      </c>
      <c r="J113">
        <v>1324.5644531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8.0696010000000005</v>
      </c>
      <c r="B114" s="1">
        <f>DATE(2010,5,9) + TIME(1,40,13)</f>
        <v>40307.069594907407</v>
      </c>
      <c r="C114">
        <v>80</v>
      </c>
      <c r="D114">
        <v>79.323707580999994</v>
      </c>
      <c r="E114">
        <v>50</v>
      </c>
      <c r="F114">
        <v>14.999810219</v>
      </c>
      <c r="G114">
        <v>1336.8393555</v>
      </c>
      <c r="H114">
        <v>1334.9550781</v>
      </c>
      <c r="I114">
        <v>1326.4539795000001</v>
      </c>
      <c r="J114">
        <v>1324.5645752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8.1568620000000003</v>
      </c>
      <c r="B115" s="1">
        <f>DATE(2010,5,9) + TIME(3,45,52)</f>
        <v>40307.156851851854</v>
      </c>
      <c r="C115">
        <v>80</v>
      </c>
      <c r="D115">
        <v>79.357551575000002</v>
      </c>
      <c r="E115">
        <v>50</v>
      </c>
      <c r="F115">
        <v>14.999810219</v>
      </c>
      <c r="G115">
        <v>1336.8420410000001</v>
      </c>
      <c r="H115">
        <v>1334.9558105000001</v>
      </c>
      <c r="I115">
        <v>1326.4543457</v>
      </c>
      <c r="J115">
        <v>1324.5646973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8.2441239999999993</v>
      </c>
      <c r="B116" s="1">
        <f>DATE(2010,5,9) + TIME(5,51,32)</f>
        <v>40307.244120370371</v>
      </c>
      <c r="C116">
        <v>80</v>
      </c>
      <c r="D116">
        <v>79.389129639000004</v>
      </c>
      <c r="E116">
        <v>50</v>
      </c>
      <c r="F116">
        <v>14.999811171999999</v>
      </c>
      <c r="G116">
        <v>1336.8444824000001</v>
      </c>
      <c r="H116">
        <v>1334.9564209</v>
      </c>
      <c r="I116">
        <v>1326.4547118999999</v>
      </c>
      <c r="J116">
        <v>1324.5648193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8.3313860000000002</v>
      </c>
      <c r="B117" s="1">
        <f>DATE(2010,5,9) + TIME(7,57,11)</f>
        <v>40307.331377314818</v>
      </c>
      <c r="C117">
        <v>80</v>
      </c>
      <c r="D117">
        <v>79.418579101999995</v>
      </c>
      <c r="E117">
        <v>50</v>
      </c>
      <c r="F117">
        <v>14.999812126</v>
      </c>
      <c r="G117">
        <v>1336.8466797000001</v>
      </c>
      <c r="H117">
        <v>1334.9569091999999</v>
      </c>
      <c r="I117">
        <v>1326.4550781</v>
      </c>
      <c r="J117">
        <v>1324.5648193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8.4186479999999992</v>
      </c>
      <c r="B118" s="1">
        <f>DATE(2010,5,9) + TIME(10,2,51)</f>
        <v>40307.418645833335</v>
      </c>
      <c r="C118">
        <v>80</v>
      </c>
      <c r="D118">
        <v>79.446060181000007</v>
      </c>
      <c r="E118">
        <v>50</v>
      </c>
      <c r="F118">
        <v>14.999813079999999</v>
      </c>
      <c r="G118">
        <v>1336.8487548999999</v>
      </c>
      <c r="H118">
        <v>1334.9572754000001</v>
      </c>
      <c r="I118">
        <v>1326.4554443</v>
      </c>
      <c r="J118">
        <v>1324.5649414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8.5059090000000008</v>
      </c>
      <c r="B119" s="1">
        <f>DATE(2010,5,9) + TIME(12,8,30)</f>
        <v>40307.505902777775</v>
      </c>
      <c r="C119">
        <v>80</v>
      </c>
      <c r="D119">
        <v>79.471702575999998</v>
      </c>
      <c r="E119">
        <v>50</v>
      </c>
      <c r="F119">
        <v>14.999813079999999</v>
      </c>
      <c r="G119">
        <v>1336.8505858999999</v>
      </c>
      <c r="H119">
        <v>1334.9573975000001</v>
      </c>
      <c r="I119">
        <v>1326.4558105000001</v>
      </c>
      <c r="J119">
        <v>1324.5650635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8.5931709999999999</v>
      </c>
      <c r="B120" s="1">
        <f>DATE(2010,5,9) + TIME(14,14,9)</f>
        <v>40307.593159722222</v>
      </c>
      <c r="C120">
        <v>80</v>
      </c>
      <c r="D120">
        <v>79.495628357000001</v>
      </c>
      <c r="E120">
        <v>50</v>
      </c>
      <c r="F120">
        <v>14.999814034</v>
      </c>
      <c r="G120">
        <v>1336.8521728999999</v>
      </c>
      <c r="H120">
        <v>1334.9575195</v>
      </c>
      <c r="I120">
        <v>1326.4561768000001</v>
      </c>
      <c r="J120">
        <v>1324.5651855000001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8.6804330000000007</v>
      </c>
      <c r="B121" s="1">
        <f>DATE(2010,5,9) + TIME(16,19,49)</f>
        <v>40307.680428240739</v>
      </c>
      <c r="C121">
        <v>80</v>
      </c>
      <c r="D121">
        <v>79.517951964999995</v>
      </c>
      <c r="E121">
        <v>50</v>
      </c>
      <c r="F121">
        <v>14.999814034</v>
      </c>
      <c r="G121">
        <v>1336.8524170000001</v>
      </c>
      <c r="H121">
        <v>1334.956543</v>
      </c>
      <c r="I121">
        <v>1326.4564209</v>
      </c>
      <c r="J121">
        <v>1324.5653076000001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8.7676949999999998</v>
      </c>
      <c r="B122" s="1">
        <f>DATE(2010,5,9) + TIME(18,25,28)</f>
        <v>40307.767685185187</v>
      </c>
      <c r="C122">
        <v>80</v>
      </c>
      <c r="D122">
        <v>79.538780212000006</v>
      </c>
      <c r="E122">
        <v>50</v>
      </c>
      <c r="F122">
        <v>14.999814987000001</v>
      </c>
      <c r="G122">
        <v>1336.8521728999999</v>
      </c>
      <c r="H122">
        <v>1334.9553223</v>
      </c>
      <c r="I122">
        <v>1326.4567870999999</v>
      </c>
      <c r="J122">
        <v>1324.5654297000001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8.8549559999999996</v>
      </c>
      <c r="B123" s="1">
        <f>DATE(2010,5,9) + TIME(20,31,8)</f>
        <v>40307.854953703703</v>
      </c>
      <c r="C123">
        <v>80</v>
      </c>
      <c r="D123">
        <v>79.558219910000005</v>
      </c>
      <c r="E123">
        <v>50</v>
      </c>
      <c r="F123">
        <v>14.999815941</v>
      </c>
      <c r="G123">
        <v>1336.8518065999999</v>
      </c>
      <c r="H123">
        <v>1334.9538574000001</v>
      </c>
      <c r="I123">
        <v>1326.4571533000001</v>
      </c>
      <c r="J123">
        <v>1324.5654297000001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9.0294799999999995</v>
      </c>
      <c r="B124" s="1">
        <f>DATE(2010,5,10) + TIME(0,42,27)</f>
        <v>40308.029479166667</v>
      </c>
      <c r="C124">
        <v>80</v>
      </c>
      <c r="D124">
        <v>79.592193604000002</v>
      </c>
      <c r="E124">
        <v>50</v>
      </c>
      <c r="F124">
        <v>14.999816895</v>
      </c>
      <c r="G124">
        <v>1336.8507079999999</v>
      </c>
      <c r="H124">
        <v>1334.9527588000001</v>
      </c>
      <c r="I124">
        <v>1326.4573975000001</v>
      </c>
      <c r="J124">
        <v>1324.5655518000001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9.2044720000000009</v>
      </c>
      <c r="B125" s="1">
        <f>DATE(2010,5,10) + TIME(4,54,26)</f>
        <v>40308.204467592594</v>
      </c>
      <c r="C125">
        <v>80</v>
      </c>
      <c r="D125">
        <v>79.622039795000006</v>
      </c>
      <c r="E125">
        <v>50</v>
      </c>
      <c r="F125">
        <v>14.999817847999999</v>
      </c>
      <c r="G125">
        <v>1336.8494873</v>
      </c>
      <c r="H125">
        <v>1334.9495850000001</v>
      </c>
      <c r="I125">
        <v>1326.4580077999999</v>
      </c>
      <c r="J125">
        <v>1324.5657959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9.3807320000000001</v>
      </c>
      <c r="B126" s="1">
        <f>DATE(2010,5,10) + TIME(9,8,15)</f>
        <v>40308.380729166667</v>
      </c>
      <c r="C126">
        <v>80</v>
      </c>
      <c r="D126">
        <v>79.648361206000004</v>
      </c>
      <c r="E126">
        <v>50</v>
      </c>
      <c r="F126">
        <v>14.999818802</v>
      </c>
      <c r="G126">
        <v>1336.8476562000001</v>
      </c>
      <c r="H126">
        <v>1334.9462891000001</v>
      </c>
      <c r="I126">
        <v>1326.4586182</v>
      </c>
      <c r="J126">
        <v>1324.5660399999999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9.5585380000000004</v>
      </c>
      <c r="B127" s="1">
        <f>DATE(2010,5,10) + TIME(13,24,17)</f>
        <v>40308.558530092596</v>
      </c>
      <c r="C127">
        <v>80</v>
      </c>
      <c r="D127">
        <v>79.671615600999999</v>
      </c>
      <c r="E127">
        <v>50</v>
      </c>
      <c r="F127">
        <v>14.999819756000001</v>
      </c>
      <c r="G127">
        <v>1336.8455810999999</v>
      </c>
      <c r="H127">
        <v>1334.942749</v>
      </c>
      <c r="I127">
        <v>1326.4592285000001</v>
      </c>
      <c r="J127">
        <v>1324.5662841999999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9.738175</v>
      </c>
      <c r="B128" s="1">
        <f>DATE(2010,5,10) + TIME(17,42,58)</f>
        <v>40308.738171296296</v>
      </c>
      <c r="C128">
        <v>80</v>
      </c>
      <c r="D128">
        <v>79.692169188999998</v>
      </c>
      <c r="E128">
        <v>50</v>
      </c>
      <c r="F128">
        <v>14.999821663000001</v>
      </c>
      <c r="G128">
        <v>1336.8431396000001</v>
      </c>
      <c r="H128">
        <v>1334.9389647999999</v>
      </c>
      <c r="I128">
        <v>1326.4598389</v>
      </c>
      <c r="J128">
        <v>1324.5664062000001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9.9199310000000001</v>
      </c>
      <c r="B129" s="1">
        <f>DATE(2010,5,10) + TIME(22,4,42)</f>
        <v>40308.919930555552</v>
      </c>
      <c r="C129">
        <v>80</v>
      </c>
      <c r="D129">
        <v>79.710365295000003</v>
      </c>
      <c r="E129">
        <v>50</v>
      </c>
      <c r="F129">
        <v>14.999822617</v>
      </c>
      <c r="G129">
        <v>1336.8404541</v>
      </c>
      <c r="H129">
        <v>1334.9350586</v>
      </c>
      <c r="I129">
        <v>1326.4603271000001</v>
      </c>
      <c r="J129">
        <v>1324.5666504000001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10.104105000000001</v>
      </c>
      <c r="B130" s="1">
        <f>DATE(2010,5,11) + TIME(2,29,54)</f>
        <v>40309.104097222225</v>
      </c>
      <c r="C130">
        <v>80</v>
      </c>
      <c r="D130">
        <v>79.726486206000004</v>
      </c>
      <c r="E130">
        <v>50</v>
      </c>
      <c r="F130">
        <v>14.99982357</v>
      </c>
      <c r="G130">
        <v>1336.8372803</v>
      </c>
      <c r="H130">
        <v>1334.9310303</v>
      </c>
      <c r="I130">
        <v>1326.4609375</v>
      </c>
      <c r="J130">
        <v>1324.5668945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10.291003999999999</v>
      </c>
      <c r="B131" s="1">
        <f>DATE(2010,5,11) + TIME(6,59,2)</f>
        <v>40309.290995370371</v>
      </c>
      <c r="C131">
        <v>80</v>
      </c>
      <c r="D131">
        <v>79.740768433</v>
      </c>
      <c r="E131">
        <v>50</v>
      </c>
      <c r="F131">
        <v>14.999824523999999</v>
      </c>
      <c r="G131">
        <v>1336.8339844</v>
      </c>
      <c r="H131">
        <v>1334.9267577999999</v>
      </c>
      <c r="I131">
        <v>1326.4615478999999</v>
      </c>
      <c r="J131">
        <v>1324.5671387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10.480950999999999</v>
      </c>
      <c r="B132" s="1">
        <f>DATE(2010,5,11) + TIME(11,32,34)</f>
        <v>40309.480949074074</v>
      </c>
      <c r="C132">
        <v>80</v>
      </c>
      <c r="D132">
        <v>79.753448485999996</v>
      </c>
      <c r="E132">
        <v>50</v>
      </c>
      <c r="F132">
        <v>14.999825478</v>
      </c>
      <c r="G132">
        <v>1336.8303223</v>
      </c>
      <c r="H132">
        <v>1334.9223632999999</v>
      </c>
      <c r="I132">
        <v>1326.4621582</v>
      </c>
      <c r="J132">
        <v>1324.5673827999999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10.674284</v>
      </c>
      <c r="B133" s="1">
        <f>DATE(2010,5,11) + TIME(16,10,58)</f>
        <v>40309.67428240741</v>
      </c>
      <c r="C133">
        <v>80</v>
      </c>
      <c r="D133">
        <v>79.764694214000002</v>
      </c>
      <c r="E133">
        <v>50</v>
      </c>
      <c r="F133">
        <v>14.999826431000001</v>
      </c>
      <c r="G133">
        <v>1336.8264160000001</v>
      </c>
      <c r="H133">
        <v>1334.9178466999999</v>
      </c>
      <c r="I133">
        <v>1326.4627685999999</v>
      </c>
      <c r="J133">
        <v>1324.5675048999999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10.871373</v>
      </c>
      <c r="B134" s="1">
        <f>DATE(2010,5,11) + TIME(20,54,46)</f>
        <v>40309.871365740742</v>
      </c>
      <c r="C134">
        <v>80</v>
      </c>
      <c r="D134">
        <v>79.774688721000004</v>
      </c>
      <c r="E134">
        <v>50</v>
      </c>
      <c r="F134">
        <v>14.999827385</v>
      </c>
      <c r="G134">
        <v>1336.8221435999999</v>
      </c>
      <c r="H134">
        <v>1334.9132079999999</v>
      </c>
      <c r="I134">
        <v>1326.4633789</v>
      </c>
      <c r="J134">
        <v>1324.567749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11.07268</v>
      </c>
      <c r="B135" s="1">
        <f>DATE(2010,5,12) + TIME(1,44,39)</f>
        <v>40310.07267361111</v>
      </c>
      <c r="C135">
        <v>80</v>
      </c>
      <c r="D135">
        <v>79.783576964999995</v>
      </c>
      <c r="E135">
        <v>50</v>
      </c>
      <c r="F135">
        <v>14.999829291999999</v>
      </c>
      <c r="G135">
        <v>1336.817749</v>
      </c>
      <c r="H135">
        <v>1334.9083252</v>
      </c>
      <c r="I135">
        <v>1326.4638672000001</v>
      </c>
      <c r="J135">
        <v>1324.5679932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11.278543000000001</v>
      </c>
      <c r="B136" s="1">
        <f>DATE(2010,5,12) + TIME(6,41,6)</f>
        <v>40310.278541666667</v>
      </c>
      <c r="C136">
        <v>80</v>
      </c>
      <c r="D136">
        <v>79.791473389000004</v>
      </c>
      <c r="E136">
        <v>50</v>
      </c>
      <c r="F136">
        <v>14.999830246</v>
      </c>
      <c r="G136">
        <v>1336.8129882999999</v>
      </c>
      <c r="H136">
        <v>1334.9033202999999</v>
      </c>
      <c r="I136">
        <v>1326.4644774999999</v>
      </c>
      <c r="J136">
        <v>1324.5682373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11.489419</v>
      </c>
      <c r="B137" s="1">
        <f>DATE(2010,5,12) + TIME(11,44,45)</f>
        <v>40310.48940972222</v>
      </c>
      <c r="C137">
        <v>80</v>
      </c>
      <c r="D137">
        <v>79.798500060999999</v>
      </c>
      <c r="E137">
        <v>50</v>
      </c>
      <c r="F137">
        <v>14.999831199999999</v>
      </c>
      <c r="G137">
        <v>1336.8081055</v>
      </c>
      <c r="H137">
        <v>1334.8983154</v>
      </c>
      <c r="I137">
        <v>1326.4652100000001</v>
      </c>
      <c r="J137">
        <v>1324.5684814000001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11.7058</v>
      </c>
      <c r="B138" s="1">
        <f>DATE(2010,5,12) + TIME(16,56,21)</f>
        <v>40310.70579861111</v>
      </c>
      <c r="C138">
        <v>80</v>
      </c>
      <c r="D138">
        <v>79.804756165000001</v>
      </c>
      <c r="E138">
        <v>50</v>
      </c>
      <c r="F138">
        <v>14.999832153</v>
      </c>
      <c r="G138">
        <v>1336.8028564000001</v>
      </c>
      <c r="H138">
        <v>1334.8930664</v>
      </c>
      <c r="I138">
        <v>1326.4658202999999</v>
      </c>
      <c r="J138">
        <v>1324.5687256000001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11.928228000000001</v>
      </c>
      <c r="B139" s="1">
        <f>DATE(2010,5,12) + TIME(22,16,38)</f>
        <v>40310.928217592591</v>
      </c>
      <c r="C139">
        <v>80</v>
      </c>
      <c r="D139">
        <v>79.810317992999998</v>
      </c>
      <c r="E139">
        <v>50</v>
      </c>
      <c r="F139">
        <v>14.999833107000001</v>
      </c>
      <c r="G139">
        <v>1336.7973632999999</v>
      </c>
      <c r="H139">
        <v>1334.8876952999999</v>
      </c>
      <c r="I139">
        <v>1326.4664307</v>
      </c>
      <c r="J139">
        <v>1324.5689697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12.156772999999999</v>
      </c>
      <c r="B140" s="1">
        <f>DATE(2010,5,13) + TIME(3,45,45)</f>
        <v>40311.156770833331</v>
      </c>
      <c r="C140">
        <v>80</v>
      </c>
      <c r="D140">
        <v>79.815269470000004</v>
      </c>
      <c r="E140">
        <v>50</v>
      </c>
      <c r="F140">
        <v>14.999834061</v>
      </c>
      <c r="G140">
        <v>1336.791626</v>
      </c>
      <c r="H140">
        <v>1334.8822021000001</v>
      </c>
      <c r="I140">
        <v>1326.4670410000001</v>
      </c>
      <c r="J140">
        <v>1324.5692139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12.391317000000001</v>
      </c>
      <c r="B141" s="1">
        <f>DATE(2010,5,13) + TIME(9,23,29)</f>
        <v>40311.39130787037</v>
      </c>
      <c r="C141">
        <v>80</v>
      </c>
      <c r="D141">
        <v>79.819656371999997</v>
      </c>
      <c r="E141">
        <v>50</v>
      </c>
      <c r="F141">
        <v>14.999835967999999</v>
      </c>
      <c r="G141">
        <v>1336.7856445</v>
      </c>
      <c r="H141">
        <v>1334.8764647999999</v>
      </c>
      <c r="I141">
        <v>1326.4677733999999</v>
      </c>
      <c r="J141">
        <v>1324.5695800999999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12.632467</v>
      </c>
      <c r="B142" s="1">
        <f>DATE(2010,5,13) + TIME(15,10,45)</f>
        <v>40311.632465277777</v>
      </c>
      <c r="C142">
        <v>80</v>
      </c>
      <c r="D142">
        <v>79.823554993000002</v>
      </c>
      <c r="E142">
        <v>50</v>
      </c>
      <c r="F142">
        <v>14.999836922</v>
      </c>
      <c r="G142">
        <v>1336.7795410000001</v>
      </c>
      <c r="H142">
        <v>1334.8706055</v>
      </c>
      <c r="I142">
        <v>1326.4683838000001</v>
      </c>
      <c r="J142">
        <v>1324.5698242000001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12.880875</v>
      </c>
      <c r="B143" s="1">
        <f>DATE(2010,5,13) + TIME(21,8,27)</f>
        <v>40311.880868055552</v>
      </c>
      <c r="C143">
        <v>80</v>
      </c>
      <c r="D143">
        <v>79.827018738000007</v>
      </c>
      <c r="E143">
        <v>50</v>
      </c>
      <c r="F143">
        <v>14.999837875000001</v>
      </c>
      <c r="G143">
        <v>1336.7730713000001</v>
      </c>
      <c r="H143">
        <v>1334.8647461</v>
      </c>
      <c r="I143">
        <v>1326.4691161999999</v>
      </c>
      <c r="J143">
        <v>1324.5700684000001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13.008853999999999</v>
      </c>
      <c r="B144" s="1">
        <f>DATE(2010,5,14) + TIME(0,12,44)</f>
        <v>40312.008842592593</v>
      </c>
      <c r="C144">
        <v>80</v>
      </c>
      <c r="D144">
        <v>79.828666686999995</v>
      </c>
      <c r="E144">
        <v>50</v>
      </c>
      <c r="F144">
        <v>14.999838829</v>
      </c>
      <c r="G144">
        <v>1336.7663574000001</v>
      </c>
      <c r="H144">
        <v>1334.8582764</v>
      </c>
      <c r="I144">
        <v>1326.4698486</v>
      </c>
      <c r="J144">
        <v>1324.5704346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13.136832999999999</v>
      </c>
      <c r="B145" s="1">
        <f>DATE(2010,5,14) + TIME(3,17,2)</f>
        <v>40312.136828703704</v>
      </c>
      <c r="C145">
        <v>80</v>
      </c>
      <c r="D145">
        <v>79.830192565999994</v>
      </c>
      <c r="E145">
        <v>50</v>
      </c>
      <c r="F145">
        <v>14.999838829</v>
      </c>
      <c r="G145">
        <v>1336.7628173999999</v>
      </c>
      <c r="H145">
        <v>1334.8551024999999</v>
      </c>
      <c r="I145">
        <v>1326.4702147999999</v>
      </c>
      <c r="J145">
        <v>1324.5705565999999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13.264811</v>
      </c>
      <c r="B146" s="1">
        <f>DATE(2010,5,14) + TIME(6,21,19)</f>
        <v>40312.264803240738</v>
      </c>
      <c r="C146">
        <v>80</v>
      </c>
      <c r="D146">
        <v>79.831604003999999</v>
      </c>
      <c r="E146">
        <v>50</v>
      </c>
      <c r="F146">
        <v>14.999839783000001</v>
      </c>
      <c r="G146">
        <v>1336.7592772999999</v>
      </c>
      <c r="H146">
        <v>1334.8519286999999</v>
      </c>
      <c r="I146">
        <v>1326.4705810999999</v>
      </c>
      <c r="J146">
        <v>1324.5706786999999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13.39279</v>
      </c>
      <c r="B147" s="1">
        <f>DATE(2010,5,14) + TIME(9,25,37)</f>
        <v>40312.392789351848</v>
      </c>
      <c r="C147">
        <v>80</v>
      </c>
      <c r="D147">
        <v>79.832916260000005</v>
      </c>
      <c r="E147">
        <v>50</v>
      </c>
      <c r="F147">
        <v>14.999839783000001</v>
      </c>
      <c r="G147">
        <v>1336.7558594</v>
      </c>
      <c r="H147">
        <v>1334.8487548999999</v>
      </c>
      <c r="I147">
        <v>1326.4709473</v>
      </c>
      <c r="J147">
        <v>1324.5708007999999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13.520769</v>
      </c>
      <c r="B148" s="1">
        <f>DATE(2010,5,14) + TIME(12,29,54)</f>
        <v>40312.52076388889</v>
      </c>
      <c r="C148">
        <v>80</v>
      </c>
      <c r="D148">
        <v>79.834129333000007</v>
      </c>
      <c r="E148">
        <v>50</v>
      </c>
      <c r="F148">
        <v>14.999840735999999</v>
      </c>
      <c r="G148">
        <v>1336.7523193</v>
      </c>
      <c r="H148">
        <v>1334.8457031</v>
      </c>
      <c r="I148">
        <v>1326.4713135</v>
      </c>
      <c r="J148">
        <v>1324.5709228999999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13.648747999999999</v>
      </c>
      <c r="B149" s="1">
        <f>DATE(2010,5,14) + TIME(15,34,11)</f>
        <v>40312.648738425924</v>
      </c>
      <c r="C149">
        <v>80</v>
      </c>
      <c r="D149">
        <v>79.835258483999993</v>
      </c>
      <c r="E149">
        <v>50</v>
      </c>
      <c r="F149">
        <v>14.99984169</v>
      </c>
      <c r="G149">
        <v>1336.7487793</v>
      </c>
      <c r="H149">
        <v>1334.8425293</v>
      </c>
      <c r="I149">
        <v>1326.4716797000001</v>
      </c>
      <c r="J149">
        <v>1324.5711670000001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13.776726999999999</v>
      </c>
      <c r="B150" s="1">
        <f>DATE(2010,5,14) + TIME(18,38,29)</f>
        <v>40312.776724537034</v>
      </c>
      <c r="C150">
        <v>80</v>
      </c>
      <c r="D150">
        <v>79.836311339999995</v>
      </c>
      <c r="E150">
        <v>50</v>
      </c>
      <c r="F150">
        <v>14.99984169</v>
      </c>
      <c r="G150">
        <v>1336.7452393000001</v>
      </c>
      <c r="H150">
        <v>1334.8394774999999</v>
      </c>
      <c r="I150">
        <v>1326.4719238</v>
      </c>
      <c r="J150">
        <v>1324.5712891000001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13.904705999999999</v>
      </c>
      <c r="B151" s="1">
        <f>DATE(2010,5,14) + TIME(21,42,46)</f>
        <v>40312.904699074075</v>
      </c>
      <c r="C151">
        <v>80</v>
      </c>
      <c r="D151">
        <v>79.837287903000004</v>
      </c>
      <c r="E151">
        <v>50</v>
      </c>
      <c r="F151">
        <v>14.999842643999999</v>
      </c>
      <c r="G151">
        <v>1336.7416992000001</v>
      </c>
      <c r="H151">
        <v>1334.8363036999999</v>
      </c>
      <c r="I151">
        <v>1326.4722899999999</v>
      </c>
      <c r="J151">
        <v>1324.5714111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14.032685000000001</v>
      </c>
      <c r="B152" s="1">
        <f>DATE(2010,5,15) + TIME(0,47,3)</f>
        <v>40313.032673611109</v>
      </c>
      <c r="C152">
        <v>80</v>
      </c>
      <c r="D152">
        <v>79.838195800999998</v>
      </c>
      <c r="E152">
        <v>50</v>
      </c>
      <c r="F152">
        <v>14.999842643999999</v>
      </c>
      <c r="G152">
        <v>1336.7381591999999</v>
      </c>
      <c r="H152">
        <v>1334.8332519999999</v>
      </c>
      <c r="I152">
        <v>1326.4726562000001</v>
      </c>
      <c r="J152">
        <v>1324.5715332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14.160664000000001</v>
      </c>
      <c r="B153" s="1">
        <f>DATE(2010,5,15) + TIME(3,51,21)</f>
        <v>40313.16065972222</v>
      </c>
      <c r="C153">
        <v>80</v>
      </c>
      <c r="D153">
        <v>79.839042664000004</v>
      </c>
      <c r="E153">
        <v>50</v>
      </c>
      <c r="F153">
        <v>14.999843597</v>
      </c>
      <c r="G153">
        <v>1336.7346190999999</v>
      </c>
      <c r="H153">
        <v>1334.8302002</v>
      </c>
      <c r="I153">
        <v>1326.4730225000001</v>
      </c>
      <c r="J153">
        <v>1324.5717772999999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14.288643</v>
      </c>
      <c r="B154" s="1">
        <f>DATE(2010,5,15) + TIME(6,55,38)</f>
        <v>40313.288634259261</v>
      </c>
      <c r="C154">
        <v>80</v>
      </c>
      <c r="D154">
        <v>79.839828491000006</v>
      </c>
      <c r="E154">
        <v>50</v>
      </c>
      <c r="F154">
        <v>14.999844551000001</v>
      </c>
      <c r="G154">
        <v>1336.7310791</v>
      </c>
      <c r="H154">
        <v>1334.8270264</v>
      </c>
      <c r="I154">
        <v>1326.4733887</v>
      </c>
      <c r="J154">
        <v>1324.5718993999999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14.544601</v>
      </c>
      <c r="B155" s="1">
        <f>DATE(2010,5,15) + TIME(13,4,13)</f>
        <v>40313.544594907406</v>
      </c>
      <c r="C155">
        <v>80</v>
      </c>
      <c r="D155">
        <v>79.841232300000001</v>
      </c>
      <c r="E155">
        <v>50</v>
      </c>
      <c r="F155">
        <v>14.999845505</v>
      </c>
      <c r="G155">
        <v>1336.7275391000001</v>
      </c>
      <c r="H155">
        <v>1334.8242187999999</v>
      </c>
      <c r="I155">
        <v>1326.4737548999999</v>
      </c>
      <c r="J155">
        <v>1324.5720214999999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14.800746999999999</v>
      </c>
      <c r="B156" s="1">
        <f>DATE(2010,5,15) + TIME(19,13,4)</f>
        <v>40313.800740740742</v>
      </c>
      <c r="C156">
        <v>80</v>
      </c>
      <c r="D156">
        <v>79.842460631999998</v>
      </c>
      <c r="E156">
        <v>50</v>
      </c>
      <c r="F156">
        <v>14.999846458</v>
      </c>
      <c r="G156">
        <v>1336.7204589999999</v>
      </c>
      <c r="H156">
        <v>1334.8182373</v>
      </c>
      <c r="I156">
        <v>1326.4744873</v>
      </c>
      <c r="J156">
        <v>1324.5723877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15.058581</v>
      </c>
      <c r="B157" s="1">
        <f>DATE(2010,5,16) + TIME(1,24,21)</f>
        <v>40314.058576388888</v>
      </c>
      <c r="C157">
        <v>80</v>
      </c>
      <c r="D157">
        <v>79.843559264999996</v>
      </c>
      <c r="E157">
        <v>50</v>
      </c>
      <c r="F157">
        <v>14.999847411999999</v>
      </c>
      <c r="G157">
        <v>1336.7133789</v>
      </c>
      <c r="H157">
        <v>1334.8122559000001</v>
      </c>
      <c r="I157">
        <v>1326.4752197</v>
      </c>
      <c r="J157">
        <v>1324.5726318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15.318536999999999</v>
      </c>
      <c r="B158" s="1">
        <f>DATE(2010,5,16) + TIME(7,38,41)</f>
        <v>40314.318530092591</v>
      </c>
      <c r="C158">
        <v>80</v>
      </c>
      <c r="D158">
        <v>79.844535828000005</v>
      </c>
      <c r="E158">
        <v>50</v>
      </c>
      <c r="F158">
        <v>14.999848366</v>
      </c>
      <c r="G158">
        <v>1336.7062988</v>
      </c>
      <c r="H158">
        <v>1334.8062743999999</v>
      </c>
      <c r="I158">
        <v>1326.4759521000001</v>
      </c>
      <c r="J158">
        <v>1324.5729980000001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15.581056</v>
      </c>
      <c r="B159" s="1">
        <f>DATE(2010,5,16) + TIME(13,56,43)</f>
        <v>40314.581053240741</v>
      </c>
      <c r="C159">
        <v>80</v>
      </c>
      <c r="D159">
        <v>79.845413207999997</v>
      </c>
      <c r="E159">
        <v>50</v>
      </c>
      <c r="F159">
        <v>14.999849319000001</v>
      </c>
      <c r="G159">
        <v>1336.6992187999999</v>
      </c>
      <c r="H159">
        <v>1334.8004149999999</v>
      </c>
      <c r="I159">
        <v>1326.4765625</v>
      </c>
      <c r="J159">
        <v>1324.5732422000001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15.846584999999999</v>
      </c>
      <c r="B160" s="1">
        <f>DATE(2010,5,16) + TIME(20,19,4)</f>
        <v>40314.846574074072</v>
      </c>
      <c r="C160">
        <v>80</v>
      </c>
      <c r="D160">
        <v>79.846199036000002</v>
      </c>
      <c r="E160">
        <v>50</v>
      </c>
      <c r="F160">
        <v>14.999850273</v>
      </c>
      <c r="G160">
        <v>1336.6920166</v>
      </c>
      <c r="H160">
        <v>1334.7945557</v>
      </c>
      <c r="I160">
        <v>1326.4772949000001</v>
      </c>
      <c r="J160">
        <v>1324.5736084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16.115587000000001</v>
      </c>
      <c r="B161" s="1">
        <f>DATE(2010,5,17) + TIME(2,46,26)</f>
        <v>40315.115578703706</v>
      </c>
      <c r="C161">
        <v>80</v>
      </c>
      <c r="D161">
        <v>79.846900939999998</v>
      </c>
      <c r="E161">
        <v>50</v>
      </c>
      <c r="F161">
        <v>14.999851227000001</v>
      </c>
      <c r="G161">
        <v>1336.6848144999999</v>
      </c>
      <c r="H161">
        <v>1334.7886963000001</v>
      </c>
      <c r="I161">
        <v>1326.4780272999999</v>
      </c>
      <c r="J161">
        <v>1324.5738524999999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16.388542000000001</v>
      </c>
      <c r="B162" s="1">
        <f>DATE(2010,5,17) + TIME(9,19,30)</f>
        <v>40315.388541666667</v>
      </c>
      <c r="C162">
        <v>80</v>
      </c>
      <c r="D162">
        <v>79.847534179999997</v>
      </c>
      <c r="E162">
        <v>50</v>
      </c>
      <c r="F162">
        <v>14.99985218</v>
      </c>
      <c r="G162">
        <v>1336.6776123</v>
      </c>
      <c r="H162">
        <v>1334.7828368999999</v>
      </c>
      <c r="I162">
        <v>1326.4787598</v>
      </c>
      <c r="J162">
        <v>1324.5742187999999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16.665953999999999</v>
      </c>
      <c r="B163" s="1">
        <f>DATE(2010,5,17) + TIME(15,58,58)</f>
        <v>40315.665949074071</v>
      </c>
      <c r="C163">
        <v>80</v>
      </c>
      <c r="D163">
        <v>79.848106384000005</v>
      </c>
      <c r="E163">
        <v>50</v>
      </c>
      <c r="F163">
        <v>14.999853134</v>
      </c>
      <c r="G163">
        <v>1336.6702881000001</v>
      </c>
      <c r="H163">
        <v>1334.7769774999999</v>
      </c>
      <c r="I163">
        <v>1326.4796143000001</v>
      </c>
      <c r="J163">
        <v>1324.5745850000001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16.948353000000001</v>
      </c>
      <c r="B164" s="1">
        <f>DATE(2010,5,17) + TIME(22,45,37)</f>
        <v>40315.948344907411</v>
      </c>
      <c r="C164">
        <v>80</v>
      </c>
      <c r="D164">
        <v>79.848625182999996</v>
      </c>
      <c r="E164">
        <v>50</v>
      </c>
      <c r="F164">
        <v>14.999854087999999</v>
      </c>
      <c r="G164">
        <v>1336.6629639</v>
      </c>
      <c r="H164">
        <v>1334.7711182</v>
      </c>
      <c r="I164">
        <v>1326.4803466999999</v>
      </c>
      <c r="J164">
        <v>1324.5748291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17.236370000000001</v>
      </c>
      <c r="B165" s="1">
        <f>DATE(2010,5,18) + TIME(5,40,22)</f>
        <v>40316.23636574074</v>
      </c>
      <c r="C165">
        <v>80</v>
      </c>
      <c r="D165">
        <v>79.849090575999995</v>
      </c>
      <c r="E165">
        <v>50</v>
      </c>
      <c r="F165">
        <v>14.999855042</v>
      </c>
      <c r="G165">
        <v>1336.6555175999999</v>
      </c>
      <c r="H165">
        <v>1334.7652588000001</v>
      </c>
      <c r="I165">
        <v>1326.4810791</v>
      </c>
      <c r="J165">
        <v>1324.5751952999999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17.530624</v>
      </c>
      <c r="B166" s="1">
        <f>DATE(2010,5,18) + TIME(12,44,5)</f>
        <v>40316.530613425923</v>
      </c>
      <c r="C166">
        <v>80</v>
      </c>
      <c r="D166">
        <v>79.849510193</v>
      </c>
      <c r="E166">
        <v>50</v>
      </c>
      <c r="F166">
        <v>14.999856949</v>
      </c>
      <c r="G166">
        <v>1336.6479492000001</v>
      </c>
      <c r="H166">
        <v>1334.7592772999999</v>
      </c>
      <c r="I166">
        <v>1326.4819336</v>
      </c>
      <c r="J166">
        <v>1324.5755615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17.831710000000001</v>
      </c>
      <c r="B167" s="1">
        <f>DATE(2010,5,18) + TIME(19,57,39)</f>
        <v>40316.831701388888</v>
      </c>
      <c r="C167">
        <v>80</v>
      </c>
      <c r="D167">
        <v>79.849891662999994</v>
      </c>
      <c r="E167">
        <v>50</v>
      </c>
      <c r="F167">
        <v>14.999857903000001</v>
      </c>
      <c r="G167">
        <v>1336.6403809000001</v>
      </c>
      <c r="H167">
        <v>1334.753418</v>
      </c>
      <c r="I167">
        <v>1326.4826660000001</v>
      </c>
      <c r="J167">
        <v>1324.5759277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18.140346999999998</v>
      </c>
      <c r="B168" s="1">
        <f>DATE(2010,5,19) + TIME(3,22,5)</f>
        <v>40317.140335648146</v>
      </c>
      <c r="C168">
        <v>80</v>
      </c>
      <c r="D168">
        <v>79.850234985</v>
      </c>
      <c r="E168">
        <v>50</v>
      </c>
      <c r="F168">
        <v>14.999858855999999</v>
      </c>
      <c r="G168">
        <v>1336.6326904</v>
      </c>
      <c r="H168">
        <v>1334.7474365</v>
      </c>
      <c r="I168">
        <v>1326.4835204999999</v>
      </c>
      <c r="J168">
        <v>1324.5762939000001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18.457326999999999</v>
      </c>
      <c r="B169" s="1">
        <f>DATE(2010,5,19) + TIME(10,58,33)</f>
        <v>40317.457326388889</v>
      </c>
      <c r="C169">
        <v>80</v>
      </c>
      <c r="D169">
        <v>79.850540160999998</v>
      </c>
      <c r="E169">
        <v>50</v>
      </c>
      <c r="F169">
        <v>14.99985981</v>
      </c>
      <c r="G169">
        <v>1336.6248779</v>
      </c>
      <c r="H169">
        <v>1334.7414550999999</v>
      </c>
      <c r="I169">
        <v>1326.484375</v>
      </c>
      <c r="J169">
        <v>1324.5766602000001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18.780522000000001</v>
      </c>
      <c r="B170" s="1">
        <f>DATE(2010,5,19) + TIME(18,43,57)</f>
        <v>40317.78052083333</v>
      </c>
      <c r="C170">
        <v>80</v>
      </c>
      <c r="D170">
        <v>79.850814818999993</v>
      </c>
      <c r="E170">
        <v>50</v>
      </c>
      <c r="F170">
        <v>14.999860763999999</v>
      </c>
      <c r="G170">
        <v>1336.6169434000001</v>
      </c>
      <c r="H170">
        <v>1334.7354736</v>
      </c>
      <c r="I170">
        <v>1326.4853516000001</v>
      </c>
      <c r="J170">
        <v>1324.5770264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19.110751</v>
      </c>
      <c r="B171" s="1">
        <f>DATE(2010,5,20) + TIME(2,39,28)</f>
        <v>40318.11074074074</v>
      </c>
      <c r="C171">
        <v>80</v>
      </c>
      <c r="D171">
        <v>79.851058960000003</v>
      </c>
      <c r="E171">
        <v>50</v>
      </c>
      <c r="F171">
        <v>14.999861717</v>
      </c>
      <c r="G171">
        <v>1336.6088867000001</v>
      </c>
      <c r="H171">
        <v>1334.7293701000001</v>
      </c>
      <c r="I171">
        <v>1326.4862060999999</v>
      </c>
      <c r="J171">
        <v>1324.5773925999999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19.279689000000001</v>
      </c>
      <c r="B172" s="1">
        <f>DATE(2010,5,20) + TIME(6,42,45)</f>
        <v>40318.279687499999</v>
      </c>
      <c r="C172">
        <v>80</v>
      </c>
      <c r="D172">
        <v>79.851158142000003</v>
      </c>
      <c r="E172">
        <v>50</v>
      </c>
      <c r="F172">
        <v>14.999862671000001</v>
      </c>
      <c r="G172">
        <v>1336.6008300999999</v>
      </c>
      <c r="H172">
        <v>1334.7231445</v>
      </c>
      <c r="I172">
        <v>1326.4870605000001</v>
      </c>
      <c r="J172">
        <v>1324.5777588000001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19.448626999999998</v>
      </c>
      <c r="B173" s="1">
        <f>DATE(2010,5,20) + TIME(10,46,1)</f>
        <v>40318.448622685188</v>
      </c>
      <c r="C173">
        <v>80</v>
      </c>
      <c r="D173">
        <v>79.851257324000002</v>
      </c>
      <c r="E173">
        <v>50</v>
      </c>
      <c r="F173">
        <v>14.999863625</v>
      </c>
      <c r="G173">
        <v>1336.5966797000001</v>
      </c>
      <c r="H173">
        <v>1334.7200928</v>
      </c>
      <c r="I173">
        <v>1326.4875488</v>
      </c>
      <c r="J173">
        <v>1324.5780029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19.617564000000002</v>
      </c>
      <c r="B174" s="1">
        <f>DATE(2010,5,20) + TIME(14,49,17)</f>
        <v>40318.61755787037</v>
      </c>
      <c r="C174">
        <v>80</v>
      </c>
      <c r="D174">
        <v>79.851348877000007</v>
      </c>
      <c r="E174">
        <v>50</v>
      </c>
      <c r="F174">
        <v>14.999863625</v>
      </c>
      <c r="G174">
        <v>1336.5926514</v>
      </c>
      <c r="H174">
        <v>1334.7170410000001</v>
      </c>
      <c r="I174">
        <v>1326.4880370999999</v>
      </c>
      <c r="J174">
        <v>1324.5782471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19.786501999999999</v>
      </c>
      <c r="B175" s="1">
        <f>DATE(2010,5,20) + TIME(18,52,33)</f>
        <v>40318.786493055559</v>
      </c>
      <c r="C175">
        <v>80</v>
      </c>
      <c r="D175">
        <v>79.851425171000002</v>
      </c>
      <c r="E175">
        <v>50</v>
      </c>
      <c r="F175">
        <v>14.999864578</v>
      </c>
      <c r="G175">
        <v>1336.5886230000001</v>
      </c>
      <c r="H175">
        <v>1334.7141113</v>
      </c>
      <c r="I175">
        <v>1326.4885254000001</v>
      </c>
      <c r="J175">
        <v>1324.5784911999999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19.955439999999999</v>
      </c>
      <c r="B176" s="1">
        <f>DATE(2010,5,20) + TIME(22,55,49)</f>
        <v>40318.955428240741</v>
      </c>
      <c r="C176">
        <v>80</v>
      </c>
      <c r="D176">
        <v>79.851501464999998</v>
      </c>
      <c r="E176">
        <v>50</v>
      </c>
      <c r="F176">
        <v>14.999864578</v>
      </c>
      <c r="G176">
        <v>1336.5845947</v>
      </c>
      <c r="H176">
        <v>1334.7110596</v>
      </c>
      <c r="I176">
        <v>1326.4890137</v>
      </c>
      <c r="J176">
        <v>1324.5786132999999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20.124376999999999</v>
      </c>
      <c r="B177" s="1">
        <f>DATE(2010,5,21) + TIME(2,59,6)</f>
        <v>40319.124374999999</v>
      </c>
      <c r="C177">
        <v>80</v>
      </c>
      <c r="D177">
        <v>79.851570128999995</v>
      </c>
      <c r="E177">
        <v>50</v>
      </c>
      <c r="F177">
        <v>14.999865531999999</v>
      </c>
      <c r="G177">
        <v>1336.5805664</v>
      </c>
      <c r="H177">
        <v>1334.7081298999999</v>
      </c>
      <c r="I177">
        <v>1326.4895019999999</v>
      </c>
      <c r="J177">
        <v>1324.5788574000001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20.293315</v>
      </c>
      <c r="B178" s="1">
        <f>DATE(2010,5,21) + TIME(7,2,22)</f>
        <v>40319.293310185189</v>
      </c>
      <c r="C178">
        <v>80</v>
      </c>
      <c r="D178">
        <v>79.851638793999996</v>
      </c>
      <c r="E178">
        <v>50</v>
      </c>
      <c r="F178">
        <v>14.999866486</v>
      </c>
      <c r="G178">
        <v>1336.5766602000001</v>
      </c>
      <c r="H178">
        <v>1334.7052002</v>
      </c>
      <c r="I178">
        <v>1326.4899902</v>
      </c>
      <c r="J178">
        <v>1324.5791016000001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20.462251999999999</v>
      </c>
      <c r="B179" s="1">
        <f>DATE(2010,5,21) + TIME(11,5,38)</f>
        <v>40319.462245370371</v>
      </c>
      <c r="C179">
        <v>80</v>
      </c>
      <c r="D179">
        <v>79.851699828999998</v>
      </c>
      <c r="E179">
        <v>50</v>
      </c>
      <c r="F179">
        <v>14.999866486</v>
      </c>
      <c r="G179">
        <v>1336.5726318</v>
      </c>
      <c r="H179">
        <v>1334.7022704999999</v>
      </c>
      <c r="I179">
        <v>1326.4904785000001</v>
      </c>
      <c r="J179">
        <v>1324.5792236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20.63119</v>
      </c>
      <c r="B180" s="1">
        <f>DATE(2010,5,21) + TIME(15,8,54)</f>
        <v>40319.631180555552</v>
      </c>
      <c r="C180">
        <v>80</v>
      </c>
      <c r="D180">
        <v>79.851753235000004</v>
      </c>
      <c r="E180">
        <v>50</v>
      </c>
      <c r="F180">
        <v>14.999867439000001</v>
      </c>
      <c r="G180">
        <v>1336.5687256000001</v>
      </c>
      <c r="H180">
        <v>1334.6994629000001</v>
      </c>
      <c r="I180">
        <v>1326.4909668</v>
      </c>
      <c r="J180">
        <v>1324.5794678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20.800128000000001</v>
      </c>
      <c r="B181" s="1">
        <f>DATE(2010,5,21) + TIME(19,12,11)</f>
        <v>40319.800127314818</v>
      </c>
      <c r="C181">
        <v>80</v>
      </c>
      <c r="D181">
        <v>79.851799010999997</v>
      </c>
      <c r="E181">
        <v>50</v>
      </c>
      <c r="F181">
        <v>14.999868393</v>
      </c>
      <c r="G181">
        <v>1336.5649414</v>
      </c>
      <c r="H181">
        <v>1334.6965332</v>
      </c>
      <c r="I181">
        <v>1326.4913329999999</v>
      </c>
      <c r="J181">
        <v>1324.5797118999999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20.969065000000001</v>
      </c>
      <c r="B182" s="1">
        <f>DATE(2010,5,21) + TIME(23,15,27)</f>
        <v>40319.9690625</v>
      </c>
      <c r="C182">
        <v>80</v>
      </c>
      <c r="D182">
        <v>79.851844787999994</v>
      </c>
      <c r="E182">
        <v>50</v>
      </c>
      <c r="F182">
        <v>14.999868393</v>
      </c>
      <c r="G182">
        <v>1336.5610352000001</v>
      </c>
      <c r="H182">
        <v>1334.6937256000001</v>
      </c>
      <c r="I182">
        <v>1326.4918213000001</v>
      </c>
      <c r="J182">
        <v>1324.5799560999999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21.138003000000001</v>
      </c>
      <c r="B183" s="1">
        <f>DATE(2010,5,22) + TIME(3,18,43)</f>
        <v>40320.137997685182</v>
      </c>
      <c r="C183">
        <v>80</v>
      </c>
      <c r="D183">
        <v>79.851890564000001</v>
      </c>
      <c r="E183">
        <v>50</v>
      </c>
      <c r="F183">
        <v>14.999869347000001</v>
      </c>
      <c r="G183">
        <v>1336.5571289</v>
      </c>
      <c r="H183">
        <v>1334.690918</v>
      </c>
      <c r="I183">
        <v>1326.4923096</v>
      </c>
      <c r="J183">
        <v>1324.5800781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21.475878000000002</v>
      </c>
      <c r="B184" s="1">
        <f>DATE(2010,5,22) + TIME(11,25,15)</f>
        <v>40320.475868055553</v>
      </c>
      <c r="C184">
        <v>80</v>
      </c>
      <c r="D184">
        <v>79.851974487000007</v>
      </c>
      <c r="E184">
        <v>50</v>
      </c>
      <c r="F184">
        <v>14.9998703</v>
      </c>
      <c r="G184">
        <v>1336.5534668</v>
      </c>
      <c r="H184">
        <v>1334.6882324000001</v>
      </c>
      <c r="I184">
        <v>1326.4927978999999</v>
      </c>
      <c r="J184">
        <v>1324.5803223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21.814758999999999</v>
      </c>
      <c r="B185" s="1">
        <f>DATE(2010,5,22) + TIME(19,33,15)</f>
        <v>40320.814756944441</v>
      </c>
      <c r="C185">
        <v>80</v>
      </c>
      <c r="D185">
        <v>79.852050781000003</v>
      </c>
      <c r="E185">
        <v>50</v>
      </c>
      <c r="F185">
        <v>14.999871254</v>
      </c>
      <c r="G185">
        <v>1336.5458983999999</v>
      </c>
      <c r="H185">
        <v>1334.6827393000001</v>
      </c>
      <c r="I185">
        <v>1326.4937743999999</v>
      </c>
      <c r="J185">
        <v>1324.5808105000001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22.156395</v>
      </c>
      <c r="B186" s="1">
        <f>DATE(2010,5,23) + TIME(3,45,12)</f>
        <v>40321.156388888892</v>
      </c>
      <c r="C186">
        <v>80</v>
      </c>
      <c r="D186">
        <v>79.852111816000004</v>
      </c>
      <c r="E186">
        <v>50</v>
      </c>
      <c r="F186">
        <v>14.999873161</v>
      </c>
      <c r="G186">
        <v>1336.5383300999999</v>
      </c>
      <c r="H186">
        <v>1334.6772461</v>
      </c>
      <c r="I186">
        <v>1326.494751</v>
      </c>
      <c r="J186">
        <v>1324.5811768000001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22.501411999999998</v>
      </c>
      <c r="B187" s="1">
        <f>DATE(2010,5,23) + TIME(12,2,1)</f>
        <v>40321.501400462963</v>
      </c>
      <c r="C187">
        <v>80</v>
      </c>
      <c r="D187">
        <v>79.852149963000002</v>
      </c>
      <c r="E187">
        <v>50</v>
      </c>
      <c r="F187">
        <v>14.999874115000001</v>
      </c>
      <c r="G187">
        <v>1336.5308838000001</v>
      </c>
      <c r="H187">
        <v>1334.671875</v>
      </c>
      <c r="I187">
        <v>1326.4957274999999</v>
      </c>
      <c r="J187">
        <v>1324.5816649999999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22.850453999999999</v>
      </c>
      <c r="B188" s="1">
        <f>DATE(2010,5,23) + TIME(20,24,39)</f>
        <v>40321.850451388891</v>
      </c>
      <c r="C188">
        <v>80</v>
      </c>
      <c r="D188">
        <v>79.85218811</v>
      </c>
      <c r="E188">
        <v>50</v>
      </c>
      <c r="F188">
        <v>14.999876022</v>
      </c>
      <c r="G188">
        <v>1336.5234375</v>
      </c>
      <c r="H188">
        <v>1334.666626</v>
      </c>
      <c r="I188">
        <v>1326.4967041</v>
      </c>
      <c r="J188">
        <v>1324.5820312000001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23.204193</v>
      </c>
      <c r="B189" s="1">
        <f>DATE(2010,5,24) + TIME(4,54,2)</f>
        <v>40322.204189814816</v>
      </c>
      <c r="C189">
        <v>80</v>
      </c>
      <c r="D189">
        <v>79.852210998999993</v>
      </c>
      <c r="E189">
        <v>50</v>
      </c>
      <c r="F189">
        <v>14.999876975999999</v>
      </c>
      <c r="G189">
        <v>1336.5159911999999</v>
      </c>
      <c r="H189">
        <v>1334.6612548999999</v>
      </c>
      <c r="I189">
        <v>1326.4978027</v>
      </c>
      <c r="J189">
        <v>1324.5825195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23.563330000000001</v>
      </c>
      <c r="B190" s="1">
        <f>DATE(2010,5,24) + TIME(13,31,11)</f>
        <v>40322.563321759262</v>
      </c>
      <c r="C190">
        <v>80</v>
      </c>
      <c r="D190">
        <v>79.852218628000003</v>
      </c>
      <c r="E190">
        <v>50</v>
      </c>
      <c r="F190">
        <v>14.999878882999999</v>
      </c>
      <c r="G190">
        <v>1336.5085449000001</v>
      </c>
      <c r="H190">
        <v>1334.6558838000001</v>
      </c>
      <c r="I190">
        <v>1326.4987793</v>
      </c>
      <c r="J190">
        <v>1324.5830077999999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23.928602999999999</v>
      </c>
      <c r="B191" s="1">
        <f>DATE(2010,5,24) + TIME(22,17,11)</f>
        <v>40322.928599537037</v>
      </c>
      <c r="C191">
        <v>80</v>
      </c>
      <c r="D191">
        <v>79.852226256999998</v>
      </c>
      <c r="E191">
        <v>50</v>
      </c>
      <c r="F191">
        <v>14.999879837</v>
      </c>
      <c r="G191">
        <v>1336.5010986</v>
      </c>
      <c r="H191">
        <v>1334.6506348</v>
      </c>
      <c r="I191">
        <v>1326.4998779</v>
      </c>
      <c r="J191">
        <v>1324.583374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24.300788000000001</v>
      </c>
      <c r="B192" s="1">
        <f>DATE(2010,5,25) + TIME(7,13,8)</f>
        <v>40323.300787037035</v>
      </c>
      <c r="C192">
        <v>80</v>
      </c>
      <c r="D192">
        <v>79.852218628000003</v>
      </c>
      <c r="E192">
        <v>50</v>
      </c>
      <c r="F192">
        <v>14.999881744</v>
      </c>
      <c r="G192">
        <v>1336.4936522999999</v>
      </c>
      <c r="H192">
        <v>1334.6453856999999</v>
      </c>
      <c r="I192">
        <v>1326.5008545000001</v>
      </c>
      <c r="J192">
        <v>1324.5838623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24.680879999999998</v>
      </c>
      <c r="B193" s="1">
        <f>DATE(2010,5,25) + TIME(16,20,28)</f>
        <v>40323.680879629632</v>
      </c>
      <c r="C193">
        <v>80</v>
      </c>
      <c r="D193">
        <v>79.852210998999993</v>
      </c>
      <c r="E193">
        <v>50</v>
      </c>
      <c r="F193">
        <v>14.999883651999999</v>
      </c>
      <c r="G193">
        <v>1336.4862060999999</v>
      </c>
      <c r="H193">
        <v>1334.6401367000001</v>
      </c>
      <c r="I193">
        <v>1326.5019531</v>
      </c>
      <c r="J193">
        <v>1324.5843506000001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25.069651</v>
      </c>
      <c r="B194" s="1">
        <f>DATE(2010,5,26) + TIME(1,40,17)</f>
        <v>40324.069641203707</v>
      </c>
      <c r="C194">
        <v>80</v>
      </c>
      <c r="D194">
        <v>79.85218811</v>
      </c>
      <c r="E194">
        <v>50</v>
      </c>
      <c r="F194">
        <v>14.999886513</v>
      </c>
      <c r="G194">
        <v>1336.4786377</v>
      </c>
      <c r="H194">
        <v>1334.6348877</v>
      </c>
      <c r="I194">
        <v>1326.5030518000001</v>
      </c>
      <c r="J194">
        <v>1324.5848389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25.468071999999999</v>
      </c>
      <c r="B195" s="1">
        <f>DATE(2010,5,26) + TIME(11,14,1)</f>
        <v>40324.46806712963</v>
      </c>
      <c r="C195">
        <v>80</v>
      </c>
      <c r="D195">
        <v>79.852165221999996</v>
      </c>
      <c r="E195">
        <v>50</v>
      </c>
      <c r="F195">
        <v>14.99988842</v>
      </c>
      <c r="G195">
        <v>1336.4709473</v>
      </c>
      <c r="H195">
        <v>1334.6295166</v>
      </c>
      <c r="I195">
        <v>1326.5042725000001</v>
      </c>
      <c r="J195">
        <v>1324.5853271000001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25.873173999999999</v>
      </c>
      <c r="B196" s="1">
        <f>DATE(2010,5,26) + TIME(20,57,22)</f>
        <v>40324.873171296298</v>
      </c>
      <c r="C196">
        <v>80</v>
      </c>
      <c r="D196">
        <v>79.852127074999999</v>
      </c>
      <c r="E196">
        <v>50</v>
      </c>
      <c r="F196">
        <v>14.999891281</v>
      </c>
      <c r="G196">
        <v>1336.4632568</v>
      </c>
      <c r="H196">
        <v>1334.6242675999999</v>
      </c>
      <c r="I196">
        <v>1326.5054932</v>
      </c>
      <c r="J196">
        <v>1324.5858154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26.285188000000002</v>
      </c>
      <c r="B197" s="1">
        <f>DATE(2010,5,27) + TIME(6,50,40)</f>
        <v>40325.285185185188</v>
      </c>
      <c r="C197">
        <v>80</v>
      </c>
      <c r="D197">
        <v>79.852088928000001</v>
      </c>
      <c r="E197">
        <v>50</v>
      </c>
      <c r="F197">
        <v>14.999895095999999</v>
      </c>
      <c r="G197">
        <v>1336.4555664</v>
      </c>
      <c r="H197">
        <v>1334.6188964999999</v>
      </c>
      <c r="I197">
        <v>1326.5067139</v>
      </c>
      <c r="J197">
        <v>1324.5864257999999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26.49511</v>
      </c>
      <c r="B198" s="1">
        <f>DATE(2010,5,27) + TIME(11,52,57)</f>
        <v>40325.495104166665</v>
      </c>
      <c r="C198">
        <v>80</v>
      </c>
      <c r="D198">
        <v>79.852050781000003</v>
      </c>
      <c r="E198">
        <v>50</v>
      </c>
      <c r="F198">
        <v>14.999897002999999</v>
      </c>
      <c r="G198">
        <v>1336.4477539</v>
      </c>
      <c r="H198">
        <v>1334.6135254000001</v>
      </c>
      <c r="I198">
        <v>1326.5079346</v>
      </c>
      <c r="J198">
        <v>1324.5869141000001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26.705031999999999</v>
      </c>
      <c r="B199" s="1">
        <f>DATE(2010,5,27) + TIME(16,55,14)</f>
        <v>40325.705023148148</v>
      </c>
      <c r="C199">
        <v>80</v>
      </c>
      <c r="D199">
        <v>79.852020264000004</v>
      </c>
      <c r="E199">
        <v>50</v>
      </c>
      <c r="F199">
        <v>14.999898911000001</v>
      </c>
      <c r="G199">
        <v>1336.4438477000001</v>
      </c>
      <c r="H199">
        <v>1334.6108397999999</v>
      </c>
      <c r="I199">
        <v>1326.5085449000001</v>
      </c>
      <c r="J199">
        <v>1324.5871582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26.914954000000002</v>
      </c>
      <c r="B200" s="1">
        <f>DATE(2010,5,27) + TIME(21,57,32)</f>
        <v>40325.914953703701</v>
      </c>
      <c r="C200">
        <v>80</v>
      </c>
      <c r="D200">
        <v>79.851982117000006</v>
      </c>
      <c r="E200">
        <v>50</v>
      </c>
      <c r="F200">
        <v>14.999900818</v>
      </c>
      <c r="G200">
        <v>1336.4400635</v>
      </c>
      <c r="H200">
        <v>1334.6081543</v>
      </c>
      <c r="I200">
        <v>1326.5091553</v>
      </c>
      <c r="J200">
        <v>1324.5875243999999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27.124876</v>
      </c>
      <c r="B201" s="1">
        <f>DATE(2010,5,28) + TIME(2,59,49)</f>
        <v>40326.124872685185</v>
      </c>
      <c r="C201">
        <v>80</v>
      </c>
      <c r="D201">
        <v>79.851951599000003</v>
      </c>
      <c r="E201">
        <v>50</v>
      </c>
      <c r="F201">
        <v>14.999903679000001</v>
      </c>
      <c r="G201">
        <v>1336.4362793</v>
      </c>
      <c r="H201">
        <v>1334.6054687999999</v>
      </c>
      <c r="I201">
        <v>1326.5098877</v>
      </c>
      <c r="J201">
        <v>1324.5877685999999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27.334796999999998</v>
      </c>
      <c r="B202" s="1">
        <f>DATE(2010,5,28) + TIME(8,2,6)</f>
        <v>40326.334791666668</v>
      </c>
      <c r="C202">
        <v>80</v>
      </c>
      <c r="D202">
        <v>79.851913452000005</v>
      </c>
      <c r="E202">
        <v>50</v>
      </c>
      <c r="F202">
        <v>14.99990654</v>
      </c>
      <c r="G202">
        <v>1336.4323730000001</v>
      </c>
      <c r="H202">
        <v>1334.6029053</v>
      </c>
      <c r="I202">
        <v>1326.5104980000001</v>
      </c>
      <c r="J202">
        <v>1324.5880127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27.544719000000001</v>
      </c>
      <c r="B203" s="1">
        <f>DATE(2010,5,28) + TIME(13,4,23)</f>
        <v>40326.544710648152</v>
      </c>
      <c r="C203">
        <v>80</v>
      </c>
      <c r="D203">
        <v>79.851882935000006</v>
      </c>
      <c r="E203">
        <v>50</v>
      </c>
      <c r="F203">
        <v>14.999909401</v>
      </c>
      <c r="G203">
        <v>1336.4287108999999</v>
      </c>
      <c r="H203">
        <v>1334.6003418</v>
      </c>
      <c r="I203">
        <v>1326.5111084</v>
      </c>
      <c r="J203">
        <v>1324.5882568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27.754640999999999</v>
      </c>
      <c r="B204" s="1">
        <f>DATE(2010,5,28) + TIME(18,6,40)</f>
        <v>40326.754629629628</v>
      </c>
      <c r="C204">
        <v>80</v>
      </c>
      <c r="D204">
        <v>79.851844787999994</v>
      </c>
      <c r="E204">
        <v>50</v>
      </c>
      <c r="F204">
        <v>14.999912262</v>
      </c>
      <c r="G204">
        <v>1336.4249268000001</v>
      </c>
      <c r="H204">
        <v>1334.5977783000001</v>
      </c>
      <c r="I204">
        <v>1326.5117187999999</v>
      </c>
      <c r="J204">
        <v>1324.5886230000001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27.964562999999998</v>
      </c>
      <c r="B205" s="1">
        <f>DATE(2010,5,28) + TIME(23,8,58)</f>
        <v>40326.964560185188</v>
      </c>
      <c r="C205">
        <v>80</v>
      </c>
      <c r="D205">
        <v>79.851814270000006</v>
      </c>
      <c r="E205">
        <v>50</v>
      </c>
      <c r="F205">
        <v>14.999915122999999</v>
      </c>
      <c r="G205">
        <v>1336.4212646000001</v>
      </c>
      <c r="H205">
        <v>1334.5953368999999</v>
      </c>
      <c r="I205">
        <v>1326.5124512</v>
      </c>
      <c r="J205">
        <v>1324.5888672000001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28.174485000000001</v>
      </c>
      <c r="B206" s="1">
        <f>DATE(2010,5,29) + TIME(4,11,15)</f>
        <v>40327.174479166664</v>
      </c>
      <c r="C206">
        <v>80</v>
      </c>
      <c r="D206">
        <v>79.851783752000003</v>
      </c>
      <c r="E206">
        <v>50</v>
      </c>
      <c r="F206">
        <v>14.999918938</v>
      </c>
      <c r="G206">
        <v>1336.4174805</v>
      </c>
      <c r="H206">
        <v>1334.5927733999999</v>
      </c>
      <c r="I206">
        <v>1326.5130615</v>
      </c>
      <c r="J206">
        <v>1324.5891113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28.384406999999999</v>
      </c>
      <c r="B207" s="1">
        <f>DATE(2010,5,29) + TIME(9,13,32)</f>
        <v>40327.384398148148</v>
      </c>
      <c r="C207">
        <v>80</v>
      </c>
      <c r="D207">
        <v>79.851745605000005</v>
      </c>
      <c r="E207">
        <v>50</v>
      </c>
      <c r="F207">
        <v>14.999921798999999</v>
      </c>
      <c r="G207">
        <v>1336.4138184000001</v>
      </c>
      <c r="H207">
        <v>1334.590332</v>
      </c>
      <c r="I207">
        <v>1326.5137939000001</v>
      </c>
      <c r="J207">
        <v>1324.5894774999999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28.594328000000001</v>
      </c>
      <c r="B208" s="1">
        <f>DATE(2010,5,29) + TIME(14,15,49)</f>
        <v>40327.594317129631</v>
      </c>
      <c r="C208">
        <v>80</v>
      </c>
      <c r="D208">
        <v>79.851715088000006</v>
      </c>
      <c r="E208">
        <v>50</v>
      </c>
      <c r="F208">
        <v>14.999926566999999</v>
      </c>
      <c r="G208">
        <v>1336.4102783000001</v>
      </c>
      <c r="H208">
        <v>1334.5878906</v>
      </c>
      <c r="I208">
        <v>1326.5144043</v>
      </c>
      <c r="J208">
        <v>1324.5897216999999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28.80425</v>
      </c>
      <c r="B209" s="1">
        <f>DATE(2010,5,29) + TIME(19,18,7)</f>
        <v>40327.804247685184</v>
      </c>
      <c r="C209">
        <v>80</v>
      </c>
      <c r="D209">
        <v>79.851676940999994</v>
      </c>
      <c r="E209">
        <v>50</v>
      </c>
      <c r="F209">
        <v>14.999930382000001</v>
      </c>
      <c r="G209">
        <v>1336.4066161999999</v>
      </c>
      <c r="H209">
        <v>1334.5854492000001</v>
      </c>
      <c r="I209">
        <v>1326.5150146000001</v>
      </c>
      <c r="J209">
        <v>1324.5899658000001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29.014171999999999</v>
      </c>
      <c r="B210" s="1">
        <f>DATE(2010,5,30) + TIME(0,20,24)</f>
        <v>40328.014166666668</v>
      </c>
      <c r="C210">
        <v>80</v>
      </c>
      <c r="D210">
        <v>79.851646423000005</v>
      </c>
      <c r="E210">
        <v>50</v>
      </c>
      <c r="F210">
        <v>14.999935150000001</v>
      </c>
      <c r="G210">
        <v>1336.4030762</v>
      </c>
      <c r="H210">
        <v>1334.5830077999999</v>
      </c>
      <c r="I210">
        <v>1326.5157471</v>
      </c>
      <c r="J210">
        <v>1324.590332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29.434016</v>
      </c>
      <c r="B211" s="1">
        <f>DATE(2010,5,30) + TIME(10,24,58)</f>
        <v>40328.434004629627</v>
      </c>
      <c r="C211">
        <v>80</v>
      </c>
      <c r="D211">
        <v>79.851608275999993</v>
      </c>
      <c r="E211">
        <v>50</v>
      </c>
      <c r="F211">
        <v>14.999944686999999</v>
      </c>
      <c r="G211">
        <v>1336.3996582</v>
      </c>
      <c r="H211">
        <v>1334.5808105000001</v>
      </c>
      <c r="I211">
        <v>1326.5163574000001</v>
      </c>
      <c r="J211">
        <v>1324.5905762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29.854309000000001</v>
      </c>
      <c r="B212" s="1">
        <f>DATE(2010,5,30) + TIME(20,30,12)</f>
        <v>40328.854305555556</v>
      </c>
      <c r="C212">
        <v>80</v>
      </c>
      <c r="D212">
        <v>79.851554871000005</v>
      </c>
      <c r="E212">
        <v>50</v>
      </c>
      <c r="F212">
        <v>14.999955177</v>
      </c>
      <c r="G212">
        <v>1336.3925781</v>
      </c>
      <c r="H212">
        <v>1334.5760498</v>
      </c>
      <c r="I212">
        <v>1326.5177002</v>
      </c>
      <c r="J212">
        <v>1324.5911865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30.278485</v>
      </c>
      <c r="B213" s="1">
        <f>DATE(2010,5,31) + TIME(6,41,1)</f>
        <v>40329.278483796297</v>
      </c>
      <c r="C213">
        <v>80</v>
      </c>
      <c r="D213">
        <v>79.851501464999998</v>
      </c>
      <c r="E213">
        <v>50</v>
      </c>
      <c r="F213">
        <v>14.999968529</v>
      </c>
      <c r="G213">
        <v>1336.3856201000001</v>
      </c>
      <c r="H213">
        <v>1334.5714111</v>
      </c>
      <c r="I213">
        <v>1326.519043</v>
      </c>
      <c r="J213">
        <v>1324.5917969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30.707433999999999</v>
      </c>
      <c r="B214" s="1">
        <f>DATE(2010,5,31) + TIME(16,58,42)</f>
        <v>40329.707430555558</v>
      </c>
      <c r="C214">
        <v>80</v>
      </c>
      <c r="D214">
        <v>79.851440429999997</v>
      </c>
      <c r="E214">
        <v>50</v>
      </c>
      <c r="F214">
        <v>14.999983788</v>
      </c>
      <c r="G214">
        <v>1336.3787841999999</v>
      </c>
      <c r="H214">
        <v>1334.5668945</v>
      </c>
      <c r="I214">
        <v>1326.5203856999999</v>
      </c>
      <c r="J214">
        <v>1324.5922852000001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31</v>
      </c>
      <c r="B215" s="1">
        <f>DATE(2010,6,1) + TIME(0,0,0)</f>
        <v>40330</v>
      </c>
      <c r="C215">
        <v>80</v>
      </c>
      <c r="D215">
        <v>79.851387024000005</v>
      </c>
      <c r="E215">
        <v>50</v>
      </c>
      <c r="F215">
        <v>14.999996185000001</v>
      </c>
      <c r="G215">
        <v>1336.3719481999999</v>
      </c>
      <c r="H215">
        <v>1334.5622559000001</v>
      </c>
      <c r="I215">
        <v>1326.5218506000001</v>
      </c>
      <c r="J215">
        <v>1324.5928954999999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31.434632000000001</v>
      </c>
      <c r="B216" s="1">
        <f>DATE(2010,6,1) + TIME(10,25,52)</f>
        <v>40330.434629629628</v>
      </c>
      <c r="C216">
        <v>80</v>
      </c>
      <c r="D216">
        <v>79.851325989000003</v>
      </c>
      <c r="E216">
        <v>50</v>
      </c>
      <c r="F216">
        <v>15.000015259</v>
      </c>
      <c r="G216">
        <v>1336.3673096</v>
      </c>
      <c r="H216">
        <v>1334.5592041</v>
      </c>
      <c r="I216">
        <v>1326.5228271000001</v>
      </c>
      <c r="J216">
        <v>1324.5933838000001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31.880983000000001</v>
      </c>
      <c r="B217" s="1">
        <f>DATE(2010,6,1) + TIME(21,8,36)</f>
        <v>40330.880972222221</v>
      </c>
      <c r="C217">
        <v>80</v>
      </c>
      <c r="D217">
        <v>79.851264954000001</v>
      </c>
      <c r="E217">
        <v>50</v>
      </c>
      <c r="F217">
        <v>15.000039101</v>
      </c>
      <c r="G217">
        <v>1336.3604736</v>
      </c>
      <c r="H217">
        <v>1334.5546875</v>
      </c>
      <c r="I217">
        <v>1326.5241699000001</v>
      </c>
      <c r="J217">
        <v>1324.5939940999999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32.335588999999999</v>
      </c>
      <c r="B218" s="1">
        <f>DATE(2010,6,2) + TIME(8,3,14)</f>
        <v>40331.335578703707</v>
      </c>
      <c r="C218">
        <v>80</v>
      </c>
      <c r="D218">
        <v>79.851196289000001</v>
      </c>
      <c r="E218">
        <v>50</v>
      </c>
      <c r="F218">
        <v>15.000066757000001</v>
      </c>
      <c r="G218">
        <v>1336.3536377</v>
      </c>
      <c r="H218">
        <v>1334.5501709</v>
      </c>
      <c r="I218">
        <v>1326.5257568</v>
      </c>
      <c r="J218">
        <v>1324.5946045000001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32.799728999999999</v>
      </c>
      <c r="B219" s="1">
        <f>DATE(2010,6,2) + TIME(19,11,36)</f>
        <v>40331.799722222226</v>
      </c>
      <c r="C219">
        <v>80</v>
      </c>
      <c r="D219">
        <v>79.851127625000004</v>
      </c>
      <c r="E219">
        <v>50</v>
      </c>
      <c r="F219">
        <v>15.000099182</v>
      </c>
      <c r="G219">
        <v>1336.3468018000001</v>
      </c>
      <c r="H219">
        <v>1334.5456543</v>
      </c>
      <c r="I219">
        <v>1326.5272216999999</v>
      </c>
      <c r="J219">
        <v>1324.5952147999999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33.274619000000001</v>
      </c>
      <c r="B220" s="1">
        <f>DATE(2010,6,3) + TIME(6,35,27)</f>
        <v>40332.274618055555</v>
      </c>
      <c r="C220">
        <v>80</v>
      </c>
      <c r="D220">
        <v>79.851058960000003</v>
      </c>
      <c r="E220">
        <v>50</v>
      </c>
      <c r="F220">
        <v>15.000138283</v>
      </c>
      <c r="G220">
        <v>1336.3398437999999</v>
      </c>
      <c r="H220">
        <v>1334.5411377</v>
      </c>
      <c r="I220">
        <v>1326.5288086</v>
      </c>
      <c r="J220">
        <v>1324.5958252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33.761456000000003</v>
      </c>
      <c r="B221" s="1">
        <f>DATE(2010,6,3) + TIME(18,16,29)</f>
        <v>40332.761446759258</v>
      </c>
      <c r="C221">
        <v>80</v>
      </c>
      <c r="D221">
        <v>79.850990295000003</v>
      </c>
      <c r="E221">
        <v>50</v>
      </c>
      <c r="F221">
        <v>15.000185012999999</v>
      </c>
      <c r="G221">
        <v>1336.3328856999999</v>
      </c>
      <c r="H221">
        <v>1334.536499</v>
      </c>
      <c r="I221">
        <v>1326.5303954999999</v>
      </c>
      <c r="J221">
        <v>1324.5965576000001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34.259455000000003</v>
      </c>
      <c r="B222" s="1">
        <f>DATE(2010,6,4) + TIME(6,13,36)</f>
        <v>40333.259444444448</v>
      </c>
      <c r="C222">
        <v>80</v>
      </c>
      <c r="D222">
        <v>79.850914001000007</v>
      </c>
      <c r="E222">
        <v>50</v>
      </c>
      <c r="F222">
        <v>15.000241279999999</v>
      </c>
      <c r="G222">
        <v>1336.3258057</v>
      </c>
      <c r="H222">
        <v>1334.5319824000001</v>
      </c>
      <c r="I222">
        <v>1326.5321045000001</v>
      </c>
      <c r="J222">
        <v>1324.5972899999999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34.763021999999999</v>
      </c>
      <c r="B223" s="1">
        <f>DATE(2010,6,4) + TIME(18,18,45)</f>
        <v>40333.763020833336</v>
      </c>
      <c r="C223">
        <v>80</v>
      </c>
      <c r="D223">
        <v>79.850837708</v>
      </c>
      <c r="E223">
        <v>50</v>
      </c>
      <c r="F223">
        <v>15.000308037</v>
      </c>
      <c r="G223">
        <v>1336.3187256000001</v>
      </c>
      <c r="H223">
        <v>1334.5273437999999</v>
      </c>
      <c r="I223">
        <v>1326.5338135</v>
      </c>
      <c r="J223">
        <v>1324.5980225000001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35.015028999999998</v>
      </c>
      <c r="B224" s="1">
        <f>DATE(2010,6,5) + TIME(0,21,38)</f>
        <v>40334.015023148146</v>
      </c>
      <c r="C224">
        <v>80</v>
      </c>
      <c r="D224">
        <v>79.850784301999994</v>
      </c>
      <c r="E224">
        <v>50</v>
      </c>
      <c r="F224">
        <v>15.000349045</v>
      </c>
      <c r="G224">
        <v>1336.3115233999999</v>
      </c>
      <c r="H224">
        <v>1334.5225829999999</v>
      </c>
      <c r="I224">
        <v>1326.5355225000001</v>
      </c>
      <c r="J224">
        <v>1324.5987548999999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35.267035999999997</v>
      </c>
      <c r="B225" s="1">
        <f>DATE(2010,6,5) + TIME(6,24,31)</f>
        <v>40334.267025462963</v>
      </c>
      <c r="C225">
        <v>80</v>
      </c>
      <c r="D225">
        <v>79.850730896000002</v>
      </c>
      <c r="E225">
        <v>50</v>
      </c>
      <c r="F225">
        <v>15.000393867</v>
      </c>
      <c r="G225">
        <v>1336.3079834</v>
      </c>
      <c r="H225">
        <v>1334.5202637</v>
      </c>
      <c r="I225">
        <v>1326.5363769999999</v>
      </c>
      <c r="J225">
        <v>1324.5991211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35.519041999999999</v>
      </c>
      <c r="B226" s="1">
        <f>DATE(2010,6,5) + TIME(12,27,25)</f>
        <v>40334.51903935185</v>
      </c>
      <c r="C226">
        <v>80</v>
      </c>
      <c r="D226">
        <v>79.850677489999995</v>
      </c>
      <c r="E226">
        <v>50</v>
      </c>
      <c r="F226">
        <v>15.000442505000001</v>
      </c>
      <c r="G226">
        <v>1336.3045654</v>
      </c>
      <c r="H226">
        <v>1334.5179443</v>
      </c>
      <c r="I226">
        <v>1326.5373535000001</v>
      </c>
      <c r="J226">
        <v>1324.5994873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35.771048999999998</v>
      </c>
      <c r="B227" s="1">
        <f>DATE(2010,6,5) + TIME(18,30,18)</f>
        <v>40334.771041666667</v>
      </c>
      <c r="C227">
        <v>80</v>
      </c>
      <c r="D227">
        <v>79.850631714000002</v>
      </c>
      <c r="E227">
        <v>50</v>
      </c>
      <c r="F227">
        <v>15.000494957000001</v>
      </c>
      <c r="G227">
        <v>1336.3011475000001</v>
      </c>
      <c r="H227">
        <v>1334.5157471</v>
      </c>
      <c r="I227">
        <v>1326.5382079999999</v>
      </c>
      <c r="J227">
        <v>1324.5998535000001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36.023037000000002</v>
      </c>
      <c r="B228" s="1">
        <f>DATE(2010,6,6) + TIME(0,33,10)</f>
        <v>40335.023032407407</v>
      </c>
      <c r="C228">
        <v>80</v>
      </c>
      <c r="D228">
        <v>79.850585937999995</v>
      </c>
      <c r="E228">
        <v>50</v>
      </c>
      <c r="F228">
        <v>15.000551224000001</v>
      </c>
      <c r="G228">
        <v>1336.2977295000001</v>
      </c>
      <c r="H228">
        <v>1334.5134277</v>
      </c>
      <c r="I228">
        <v>1326.5390625</v>
      </c>
      <c r="J228">
        <v>1324.6002197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36.275024000000002</v>
      </c>
      <c r="B229" s="1">
        <f>DATE(2010,6,6) + TIME(6,36,2)</f>
        <v>40335.275023148148</v>
      </c>
      <c r="C229">
        <v>80</v>
      </c>
      <c r="D229">
        <v>79.850547790999997</v>
      </c>
      <c r="E229">
        <v>50</v>
      </c>
      <c r="F229">
        <v>15.000611305</v>
      </c>
      <c r="G229">
        <v>1336.2943115</v>
      </c>
      <c r="H229">
        <v>1334.5112305</v>
      </c>
      <c r="I229">
        <v>1326.5400391000001</v>
      </c>
      <c r="J229">
        <v>1324.6005858999999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36.527011999999999</v>
      </c>
      <c r="B230" s="1">
        <f>DATE(2010,6,6) + TIME(12,38,53)</f>
        <v>40335.527002314811</v>
      </c>
      <c r="C230">
        <v>80</v>
      </c>
      <c r="D230">
        <v>79.850502014</v>
      </c>
      <c r="E230">
        <v>50</v>
      </c>
      <c r="F230">
        <v>15.000677109</v>
      </c>
      <c r="G230">
        <v>1336.2908935999999</v>
      </c>
      <c r="H230">
        <v>1334.5090332</v>
      </c>
      <c r="I230">
        <v>1326.5408935999999</v>
      </c>
      <c r="J230">
        <v>1324.6009521000001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36.778998999999999</v>
      </c>
      <c r="B231" s="1">
        <f>DATE(2010,6,6) + TIME(18,41,45)</f>
        <v>40335.778993055559</v>
      </c>
      <c r="C231">
        <v>80</v>
      </c>
      <c r="D231">
        <v>79.850463867000002</v>
      </c>
      <c r="E231">
        <v>50</v>
      </c>
      <c r="F231">
        <v>15.000748634000001</v>
      </c>
      <c r="G231">
        <v>1336.2875977000001</v>
      </c>
      <c r="H231">
        <v>1334.5068358999999</v>
      </c>
      <c r="I231">
        <v>1326.5418701000001</v>
      </c>
      <c r="J231">
        <v>1324.6013184000001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37.030987000000003</v>
      </c>
      <c r="B232" s="1">
        <f>DATE(2010,6,7) + TIME(0,44,37)</f>
        <v>40336.0309837963</v>
      </c>
      <c r="C232">
        <v>80</v>
      </c>
      <c r="D232">
        <v>79.850425720000004</v>
      </c>
      <c r="E232">
        <v>50</v>
      </c>
      <c r="F232">
        <v>15.000823974999999</v>
      </c>
      <c r="G232">
        <v>1336.2843018000001</v>
      </c>
      <c r="H232">
        <v>1334.5047606999999</v>
      </c>
      <c r="I232">
        <v>1326.5427245999999</v>
      </c>
      <c r="J232">
        <v>1324.6016846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37.282974000000003</v>
      </c>
      <c r="B233" s="1">
        <f>DATE(2010,6,7) + TIME(6,47,28)</f>
        <v>40336.282962962963</v>
      </c>
      <c r="C233">
        <v>80</v>
      </c>
      <c r="D233">
        <v>79.850387573000006</v>
      </c>
      <c r="E233">
        <v>50</v>
      </c>
      <c r="F233">
        <v>15.000906944</v>
      </c>
      <c r="G233">
        <v>1336.2810059000001</v>
      </c>
      <c r="H233">
        <v>1334.5025635</v>
      </c>
      <c r="I233">
        <v>1326.5437012</v>
      </c>
      <c r="J233">
        <v>1324.6020507999999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37.534962</v>
      </c>
      <c r="B234" s="1">
        <f>DATE(2010,6,7) + TIME(12,50,20)</f>
        <v>40336.534953703704</v>
      </c>
      <c r="C234">
        <v>80</v>
      </c>
      <c r="D234">
        <v>79.850349425999994</v>
      </c>
      <c r="E234">
        <v>50</v>
      </c>
      <c r="F234">
        <v>15.000994682</v>
      </c>
      <c r="G234">
        <v>1336.2777100000001</v>
      </c>
      <c r="H234">
        <v>1334.5004882999999</v>
      </c>
      <c r="I234">
        <v>1326.5446777</v>
      </c>
      <c r="J234">
        <v>1324.6025391000001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38.038936999999997</v>
      </c>
      <c r="B235" s="1">
        <f>DATE(2010,6,8) + TIME(0,56,4)</f>
        <v>40337.038935185185</v>
      </c>
      <c r="C235">
        <v>80</v>
      </c>
      <c r="D235">
        <v>79.850311278999996</v>
      </c>
      <c r="E235">
        <v>50</v>
      </c>
      <c r="F235">
        <v>15.001173973</v>
      </c>
      <c r="G235">
        <v>1336.2745361</v>
      </c>
      <c r="H235">
        <v>1334.4985352000001</v>
      </c>
      <c r="I235">
        <v>1326.5455322</v>
      </c>
      <c r="J235">
        <v>1324.6029053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38.543574999999997</v>
      </c>
      <c r="B236" s="1">
        <f>DATE(2010,6,8) + TIME(13,2,44)</f>
        <v>40337.543564814812</v>
      </c>
      <c r="C236">
        <v>80</v>
      </c>
      <c r="D236">
        <v>79.850265503000003</v>
      </c>
      <c r="E236">
        <v>50</v>
      </c>
      <c r="F236">
        <v>15.001380920000001</v>
      </c>
      <c r="G236">
        <v>1336.2681885</v>
      </c>
      <c r="H236">
        <v>1334.4943848</v>
      </c>
      <c r="I236">
        <v>1326.5474853999999</v>
      </c>
      <c r="J236">
        <v>1324.6036377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39.052771</v>
      </c>
      <c r="B237" s="1">
        <f>DATE(2010,6,9) + TIME(1,15,59)</f>
        <v>40338.052766203706</v>
      </c>
      <c r="C237">
        <v>80</v>
      </c>
      <c r="D237">
        <v>79.850212096999996</v>
      </c>
      <c r="E237">
        <v>50</v>
      </c>
      <c r="F237">
        <v>15.0016222</v>
      </c>
      <c r="G237">
        <v>1336.2618408000001</v>
      </c>
      <c r="H237">
        <v>1334.4903564000001</v>
      </c>
      <c r="I237">
        <v>1326.5493164</v>
      </c>
      <c r="J237">
        <v>1324.6044922000001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39.567525000000003</v>
      </c>
      <c r="B238" s="1">
        <f>DATE(2010,6,9) + TIME(13,37,14)</f>
        <v>40338.567523148151</v>
      </c>
      <c r="C238">
        <v>80</v>
      </c>
      <c r="D238">
        <v>79.850158691000004</v>
      </c>
      <c r="E238">
        <v>50</v>
      </c>
      <c r="F238">
        <v>15.001903534</v>
      </c>
      <c r="G238">
        <v>1336.2554932</v>
      </c>
      <c r="H238">
        <v>1334.4863281</v>
      </c>
      <c r="I238">
        <v>1326.5512695</v>
      </c>
      <c r="J238">
        <v>1324.6052245999999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40.088878999999999</v>
      </c>
      <c r="B239" s="1">
        <f>DATE(2010,6,10) + TIME(2,7,59)</f>
        <v>40339.088877314818</v>
      </c>
      <c r="C239">
        <v>80</v>
      </c>
      <c r="D239">
        <v>79.850097656000003</v>
      </c>
      <c r="E239">
        <v>50</v>
      </c>
      <c r="F239">
        <v>15.002231598</v>
      </c>
      <c r="G239">
        <v>1336.2492675999999</v>
      </c>
      <c r="H239">
        <v>1334.4822998</v>
      </c>
      <c r="I239">
        <v>1326.5533447</v>
      </c>
      <c r="J239">
        <v>1324.6060791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40.617925999999997</v>
      </c>
      <c r="B240" s="1">
        <f>DATE(2010,6,10) + TIME(14,49,48)</f>
        <v>40339.61791666667</v>
      </c>
      <c r="C240">
        <v>80</v>
      </c>
      <c r="D240">
        <v>79.850044249999996</v>
      </c>
      <c r="E240">
        <v>50</v>
      </c>
      <c r="F240">
        <v>15.002613068</v>
      </c>
      <c r="G240">
        <v>1336.2429199000001</v>
      </c>
      <c r="H240">
        <v>1334.4782714999999</v>
      </c>
      <c r="I240">
        <v>1326.5552978999999</v>
      </c>
      <c r="J240">
        <v>1324.6069336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41.155890999999997</v>
      </c>
      <c r="B241" s="1">
        <f>DATE(2010,6,11) + TIME(3,44,28)</f>
        <v>40340.15587962963</v>
      </c>
      <c r="C241">
        <v>80</v>
      </c>
      <c r="D241">
        <v>79.849983214999995</v>
      </c>
      <c r="E241">
        <v>50</v>
      </c>
      <c r="F241">
        <v>15.003058434</v>
      </c>
      <c r="G241">
        <v>1336.2366943</v>
      </c>
      <c r="H241">
        <v>1334.4742432</v>
      </c>
      <c r="I241">
        <v>1326.5573730000001</v>
      </c>
      <c r="J241">
        <v>1324.6077881000001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41.704177000000001</v>
      </c>
      <c r="B242" s="1">
        <f>DATE(2010,6,11) + TIME(16,54,0)</f>
        <v>40340.70416666667</v>
      </c>
      <c r="C242">
        <v>80</v>
      </c>
      <c r="D242">
        <v>79.849922179999993</v>
      </c>
      <c r="E242">
        <v>50</v>
      </c>
      <c r="F242">
        <v>15.003579139999999</v>
      </c>
      <c r="G242">
        <v>1336.2304687999999</v>
      </c>
      <c r="H242">
        <v>1334.4702147999999</v>
      </c>
      <c r="I242">
        <v>1326.5595702999999</v>
      </c>
      <c r="J242">
        <v>1324.6086425999999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42.264392000000001</v>
      </c>
      <c r="B243" s="1">
        <f>DATE(2010,6,12) + TIME(6,20,43)</f>
        <v>40341.264386574076</v>
      </c>
      <c r="C243">
        <v>80</v>
      </c>
      <c r="D243">
        <v>79.849868774000001</v>
      </c>
      <c r="E243">
        <v>50</v>
      </c>
      <c r="F243">
        <v>15.004190445000001</v>
      </c>
      <c r="G243">
        <v>1336.2241211</v>
      </c>
      <c r="H243">
        <v>1334.4661865</v>
      </c>
      <c r="I243">
        <v>1326.5617675999999</v>
      </c>
      <c r="J243">
        <v>1324.6096190999999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42.838251</v>
      </c>
      <c r="B244" s="1">
        <f>DATE(2010,6,12) + TIME(20,7,4)</f>
        <v>40341.838240740741</v>
      </c>
      <c r="C244">
        <v>80</v>
      </c>
      <c r="D244">
        <v>79.849807738999999</v>
      </c>
      <c r="E244">
        <v>50</v>
      </c>
      <c r="F244">
        <v>15.004907608</v>
      </c>
      <c r="G244">
        <v>1336.2177733999999</v>
      </c>
      <c r="H244">
        <v>1334.4621582</v>
      </c>
      <c r="I244">
        <v>1326.5640868999999</v>
      </c>
      <c r="J244">
        <v>1324.6104736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43.423839999999998</v>
      </c>
      <c r="B245" s="1">
        <f>DATE(2010,6,13) + TIME(10,10,19)</f>
        <v>40342.423831018517</v>
      </c>
      <c r="C245">
        <v>80</v>
      </c>
      <c r="D245">
        <v>79.849754333000007</v>
      </c>
      <c r="E245">
        <v>50</v>
      </c>
      <c r="F245">
        <v>15.005747795</v>
      </c>
      <c r="G245">
        <v>1336.2113036999999</v>
      </c>
      <c r="H245">
        <v>1334.4580077999999</v>
      </c>
      <c r="I245">
        <v>1326.5665283000001</v>
      </c>
      <c r="J245">
        <v>1324.6114502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43.716956000000003</v>
      </c>
      <c r="B246" s="1">
        <f>DATE(2010,6,13) + TIME(17,12,24)</f>
        <v>40342.716944444444</v>
      </c>
      <c r="C246">
        <v>80</v>
      </c>
      <c r="D246">
        <v>79.849700928000004</v>
      </c>
      <c r="E246">
        <v>50</v>
      </c>
      <c r="F246">
        <v>15.006270409000001</v>
      </c>
      <c r="G246">
        <v>1336.2048339999999</v>
      </c>
      <c r="H246">
        <v>1334.4538574000001</v>
      </c>
      <c r="I246">
        <v>1326.5689697</v>
      </c>
      <c r="J246">
        <v>1324.6124268000001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44.010071000000003</v>
      </c>
      <c r="B247" s="1">
        <f>DATE(2010,6,14) + TIME(0,14,30)</f>
        <v>40343.010069444441</v>
      </c>
      <c r="C247">
        <v>80</v>
      </c>
      <c r="D247">
        <v>79.849655150999993</v>
      </c>
      <c r="E247">
        <v>50</v>
      </c>
      <c r="F247">
        <v>15.006828307999999</v>
      </c>
      <c r="G247">
        <v>1336.2015381000001</v>
      </c>
      <c r="H247">
        <v>1334.4517822</v>
      </c>
      <c r="I247">
        <v>1326.5701904</v>
      </c>
      <c r="J247">
        <v>1324.6130370999999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44.303185999999997</v>
      </c>
      <c r="B248" s="1">
        <f>DATE(2010,6,14) + TIME(7,16,35)</f>
        <v>40343.303182870368</v>
      </c>
      <c r="C248">
        <v>80</v>
      </c>
      <c r="D248">
        <v>79.849617003999995</v>
      </c>
      <c r="E248">
        <v>50</v>
      </c>
      <c r="F248">
        <v>15.007425308</v>
      </c>
      <c r="G248">
        <v>1336.1983643000001</v>
      </c>
      <c r="H248">
        <v>1334.449707</v>
      </c>
      <c r="I248">
        <v>1326.5714111</v>
      </c>
      <c r="J248">
        <v>1324.6135254000001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44.596300999999997</v>
      </c>
      <c r="B249" s="1">
        <f>DATE(2010,6,14) + TIME(14,18,40)</f>
        <v>40343.596296296295</v>
      </c>
      <c r="C249">
        <v>80</v>
      </c>
      <c r="D249">
        <v>79.849578856999997</v>
      </c>
      <c r="E249">
        <v>50</v>
      </c>
      <c r="F249">
        <v>15.008063315999999</v>
      </c>
      <c r="G249">
        <v>1336.1953125</v>
      </c>
      <c r="H249">
        <v>1334.4477539</v>
      </c>
      <c r="I249">
        <v>1326.5727539</v>
      </c>
      <c r="J249">
        <v>1324.6140137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44.889417000000002</v>
      </c>
      <c r="B250" s="1">
        <f>DATE(2010,6,14) + TIME(21,20,45)</f>
        <v>40343.889409722222</v>
      </c>
      <c r="C250">
        <v>80</v>
      </c>
      <c r="D250">
        <v>79.849548339999998</v>
      </c>
      <c r="E250">
        <v>50</v>
      </c>
      <c r="F250">
        <v>15.008745192999999</v>
      </c>
      <c r="G250">
        <v>1336.1921387</v>
      </c>
      <c r="H250">
        <v>1334.4458007999999</v>
      </c>
      <c r="I250">
        <v>1326.5739745999999</v>
      </c>
      <c r="J250">
        <v>1324.6145019999999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45.182532000000002</v>
      </c>
      <c r="B251" s="1">
        <f>DATE(2010,6,15) + TIME(4,22,50)</f>
        <v>40344.182523148149</v>
      </c>
      <c r="C251">
        <v>80</v>
      </c>
      <c r="D251">
        <v>79.849510193</v>
      </c>
      <c r="E251">
        <v>50</v>
      </c>
      <c r="F251">
        <v>15.009473801</v>
      </c>
      <c r="G251">
        <v>1336.1889647999999</v>
      </c>
      <c r="H251">
        <v>1334.4437256000001</v>
      </c>
      <c r="I251">
        <v>1326.5753173999999</v>
      </c>
      <c r="J251">
        <v>1324.6151123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45.475647000000002</v>
      </c>
      <c r="B252" s="1">
        <f>DATE(2010,6,15) + TIME(11,24,55)</f>
        <v>40344.475636574076</v>
      </c>
      <c r="C252">
        <v>80</v>
      </c>
      <c r="D252">
        <v>79.849479674999998</v>
      </c>
      <c r="E252">
        <v>50</v>
      </c>
      <c r="F252">
        <v>15.010251998999999</v>
      </c>
      <c r="G252">
        <v>1336.1859131000001</v>
      </c>
      <c r="H252">
        <v>1334.4417725000001</v>
      </c>
      <c r="I252">
        <v>1326.5766602000001</v>
      </c>
      <c r="J252">
        <v>1324.6156006000001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45.768762000000002</v>
      </c>
      <c r="B253" s="1">
        <f>DATE(2010,6,15) + TIME(18,27,1)</f>
        <v>40344.768761574072</v>
      </c>
      <c r="C253">
        <v>80</v>
      </c>
      <c r="D253">
        <v>79.849456786999994</v>
      </c>
      <c r="E253">
        <v>50</v>
      </c>
      <c r="F253">
        <v>15.011083602999999</v>
      </c>
      <c r="G253">
        <v>1336.1828613</v>
      </c>
      <c r="H253">
        <v>1334.4398193</v>
      </c>
      <c r="I253">
        <v>1326.5778809000001</v>
      </c>
      <c r="J253">
        <v>1324.6160889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46.061878</v>
      </c>
      <c r="B254" s="1">
        <f>DATE(2010,6,16) + TIME(1,29,6)</f>
        <v>40345.061874999999</v>
      </c>
      <c r="C254">
        <v>80</v>
      </c>
      <c r="D254">
        <v>79.849426269999995</v>
      </c>
      <c r="E254">
        <v>50</v>
      </c>
      <c r="F254">
        <v>15.011971473999999</v>
      </c>
      <c r="G254">
        <v>1336.1798096</v>
      </c>
      <c r="H254">
        <v>1334.4378661999999</v>
      </c>
      <c r="I254">
        <v>1326.5792236</v>
      </c>
      <c r="J254">
        <v>1324.6166992000001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46.354993</v>
      </c>
      <c r="B255" s="1">
        <f>DATE(2010,6,16) + TIME(8,31,11)</f>
        <v>40345.354988425926</v>
      </c>
      <c r="C255">
        <v>80</v>
      </c>
      <c r="D255">
        <v>79.849395752000007</v>
      </c>
      <c r="E255">
        <v>50</v>
      </c>
      <c r="F255">
        <v>15.012918472000001</v>
      </c>
      <c r="G255">
        <v>1336.1767577999999</v>
      </c>
      <c r="H255">
        <v>1334.4360352000001</v>
      </c>
      <c r="I255">
        <v>1326.5805664</v>
      </c>
      <c r="J255">
        <v>1324.6171875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46.648108000000001</v>
      </c>
      <c r="B256" s="1">
        <f>DATE(2010,6,16) + TIME(15,33,16)</f>
        <v>40345.648101851853</v>
      </c>
      <c r="C256">
        <v>80</v>
      </c>
      <c r="D256">
        <v>79.849372864000003</v>
      </c>
      <c r="E256">
        <v>50</v>
      </c>
      <c r="F256">
        <v>15.013928413</v>
      </c>
      <c r="G256">
        <v>1336.1737060999999</v>
      </c>
      <c r="H256">
        <v>1334.434082</v>
      </c>
      <c r="I256">
        <v>1326.5819091999999</v>
      </c>
      <c r="J256">
        <v>1324.6177978999999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46.941223000000001</v>
      </c>
      <c r="B257" s="1">
        <f>DATE(2010,6,16) + TIME(22,35,21)</f>
        <v>40345.94121527778</v>
      </c>
      <c r="C257">
        <v>80</v>
      </c>
      <c r="D257">
        <v>79.849349975999999</v>
      </c>
      <c r="E257">
        <v>50</v>
      </c>
      <c r="F257">
        <v>15.015006065</v>
      </c>
      <c r="G257">
        <v>1336.1707764</v>
      </c>
      <c r="H257">
        <v>1334.4321289</v>
      </c>
      <c r="I257">
        <v>1326.5832519999999</v>
      </c>
      <c r="J257">
        <v>1324.6182861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47.234338000000001</v>
      </c>
      <c r="B258" s="1">
        <f>DATE(2010,6,17) + TIME(5,37,26)</f>
        <v>40346.2343287037</v>
      </c>
      <c r="C258">
        <v>80</v>
      </c>
      <c r="D258">
        <v>79.849327087000006</v>
      </c>
      <c r="E258">
        <v>50</v>
      </c>
      <c r="F258">
        <v>15.016154288999999</v>
      </c>
      <c r="G258">
        <v>1336.1678466999999</v>
      </c>
      <c r="H258">
        <v>1334.4302978999999</v>
      </c>
      <c r="I258">
        <v>1326.5845947</v>
      </c>
      <c r="J258">
        <v>1324.6188964999999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47.820568999999999</v>
      </c>
      <c r="B259" s="1">
        <f>DATE(2010,6,17) + TIME(19,41,37)</f>
        <v>40346.820567129631</v>
      </c>
      <c r="C259">
        <v>80</v>
      </c>
      <c r="D259">
        <v>79.849311829000001</v>
      </c>
      <c r="E259">
        <v>50</v>
      </c>
      <c r="F259">
        <v>15.018425941</v>
      </c>
      <c r="G259">
        <v>1336.1649170000001</v>
      </c>
      <c r="H259">
        <v>1334.4284668</v>
      </c>
      <c r="I259">
        <v>1326.5860596</v>
      </c>
      <c r="J259">
        <v>1324.6195068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48.409118999999997</v>
      </c>
      <c r="B260" s="1">
        <f>DATE(2010,6,18) + TIME(9,49,7)</f>
        <v>40347.409108796295</v>
      </c>
      <c r="C260">
        <v>80</v>
      </c>
      <c r="D260">
        <v>79.849288939999994</v>
      </c>
      <c r="E260">
        <v>50</v>
      </c>
      <c r="F260">
        <v>15.021027565000001</v>
      </c>
      <c r="G260">
        <v>1336.1590576000001</v>
      </c>
      <c r="H260">
        <v>1334.4248047000001</v>
      </c>
      <c r="I260">
        <v>1326.5887451000001</v>
      </c>
      <c r="J260">
        <v>1324.6206055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49.004274000000002</v>
      </c>
      <c r="B261" s="1">
        <f>DATE(2010,6,19) + TIME(0,6,9)</f>
        <v>40348.004270833335</v>
      </c>
      <c r="C261">
        <v>80</v>
      </c>
      <c r="D261">
        <v>79.849266052000004</v>
      </c>
      <c r="E261">
        <v>50</v>
      </c>
      <c r="F261">
        <v>15.024012566</v>
      </c>
      <c r="G261">
        <v>1336.1533202999999</v>
      </c>
      <c r="H261">
        <v>1334.4211425999999</v>
      </c>
      <c r="I261">
        <v>1326.5916748</v>
      </c>
      <c r="J261">
        <v>1324.6217041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49.607300000000002</v>
      </c>
      <c r="B262" s="1">
        <f>DATE(2010,6,19) + TIME(14,34,30)</f>
        <v>40348.607291666667</v>
      </c>
      <c r="C262">
        <v>80</v>
      </c>
      <c r="D262">
        <v>79.849235535000005</v>
      </c>
      <c r="E262">
        <v>50</v>
      </c>
      <c r="F262">
        <v>15.027438163999999</v>
      </c>
      <c r="G262">
        <v>1336.1474608999999</v>
      </c>
      <c r="H262">
        <v>1334.4173584</v>
      </c>
      <c r="I262">
        <v>1326.5944824000001</v>
      </c>
      <c r="J262">
        <v>1324.6229248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50.219529000000001</v>
      </c>
      <c r="B263" s="1">
        <f>DATE(2010,6,20) + TIME(5,16,7)</f>
        <v>40349.219525462962</v>
      </c>
      <c r="C263">
        <v>80</v>
      </c>
      <c r="D263">
        <v>79.849205017000003</v>
      </c>
      <c r="E263">
        <v>50</v>
      </c>
      <c r="F263">
        <v>15.031371117000001</v>
      </c>
      <c r="G263">
        <v>1336.1417236</v>
      </c>
      <c r="H263">
        <v>1334.4136963000001</v>
      </c>
      <c r="I263">
        <v>1326.5975341999999</v>
      </c>
      <c r="J263">
        <v>1324.6241454999999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50.842395000000003</v>
      </c>
      <c r="B264" s="1">
        <f>DATE(2010,6,20) + TIME(20,13,2)</f>
        <v>40349.84238425926</v>
      </c>
      <c r="C264">
        <v>80</v>
      </c>
      <c r="D264">
        <v>79.849182128999999</v>
      </c>
      <c r="E264">
        <v>50</v>
      </c>
      <c r="F264">
        <v>15.035890579</v>
      </c>
      <c r="G264">
        <v>1336.1358643000001</v>
      </c>
      <c r="H264">
        <v>1334.4100341999999</v>
      </c>
      <c r="I264">
        <v>1326.6005858999999</v>
      </c>
      <c r="J264">
        <v>1324.6254882999999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51.477421</v>
      </c>
      <c r="B265" s="1">
        <f>DATE(2010,6,21) + TIME(11,27,29)</f>
        <v>40350.477418981478</v>
      </c>
      <c r="C265">
        <v>80</v>
      </c>
      <c r="D265">
        <v>79.849151610999996</v>
      </c>
      <c r="E265">
        <v>50</v>
      </c>
      <c r="F265">
        <v>15.041090012</v>
      </c>
      <c r="G265">
        <v>1336.1301269999999</v>
      </c>
      <c r="H265">
        <v>1334.4063721</v>
      </c>
      <c r="I265">
        <v>1326.6038818</v>
      </c>
      <c r="J265">
        <v>1324.6267089999999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52.126252000000001</v>
      </c>
      <c r="B266" s="1">
        <f>DATE(2010,6,22) + TIME(3,1,48)</f>
        <v>40351.126250000001</v>
      </c>
      <c r="C266">
        <v>80</v>
      </c>
      <c r="D266">
        <v>79.849128723000007</v>
      </c>
      <c r="E266">
        <v>50</v>
      </c>
      <c r="F266">
        <v>15.047083855</v>
      </c>
      <c r="G266">
        <v>1336.1242675999999</v>
      </c>
      <c r="H266">
        <v>1334.4025879000001</v>
      </c>
      <c r="I266">
        <v>1326.6071777</v>
      </c>
      <c r="J266">
        <v>1324.6281738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52.789141999999998</v>
      </c>
      <c r="B267" s="1">
        <f>DATE(2010,6,22) + TIME(18,56,21)</f>
        <v>40351.789131944446</v>
      </c>
      <c r="C267">
        <v>80</v>
      </c>
      <c r="D267">
        <v>79.849105835000003</v>
      </c>
      <c r="E267">
        <v>50</v>
      </c>
      <c r="F267">
        <v>15.053994179</v>
      </c>
      <c r="G267">
        <v>1336.1182861</v>
      </c>
      <c r="H267">
        <v>1334.3988036999999</v>
      </c>
      <c r="I267">
        <v>1326.6105957</v>
      </c>
      <c r="J267">
        <v>1324.6295166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53.126102000000003</v>
      </c>
      <c r="B268" s="1">
        <f>DATE(2010,6,23) + TIME(3,1,35)</f>
        <v>40352.126099537039</v>
      </c>
      <c r="C268">
        <v>80</v>
      </c>
      <c r="D268">
        <v>79.849067688000005</v>
      </c>
      <c r="E268">
        <v>50</v>
      </c>
      <c r="F268">
        <v>15.05831337</v>
      </c>
      <c r="G268">
        <v>1336.1123047000001</v>
      </c>
      <c r="H268">
        <v>1334.3948975000001</v>
      </c>
      <c r="I268">
        <v>1326.6142577999999</v>
      </c>
      <c r="J268">
        <v>1324.6309814000001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53.463061000000003</v>
      </c>
      <c r="B269" s="1">
        <f>DATE(2010,6,23) + TIME(11,6,48)</f>
        <v>40352.463055555556</v>
      </c>
      <c r="C269">
        <v>80</v>
      </c>
      <c r="D269">
        <v>79.849044800000001</v>
      </c>
      <c r="E269">
        <v>50</v>
      </c>
      <c r="F269">
        <v>15.062887192</v>
      </c>
      <c r="G269">
        <v>1336.109375</v>
      </c>
      <c r="H269">
        <v>1334.3929443</v>
      </c>
      <c r="I269">
        <v>1326.6160889</v>
      </c>
      <c r="J269">
        <v>1324.6318358999999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53.800021000000001</v>
      </c>
      <c r="B270" s="1">
        <f>DATE(2010,6,23) + TIME(19,12,1)</f>
        <v>40352.800011574072</v>
      </c>
      <c r="C270">
        <v>80</v>
      </c>
      <c r="D270">
        <v>79.849021911999998</v>
      </c>
      <c r="E270">
        <v>50</v>
      </c>
      <c r="F270">
        <v>15.067730903999999</v>
      </c>
      <c r="G270">
        <v>1336.1063231999999</v>
      </c>
      <c r="H270">
        <v>1334.3909911999999</v>
      </c>
      <c r="I270">
        <v>1326.6180420000001</v>
      </c>
      <c r="J270">
        <v>1324.6325684000001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54.136980000000001</v>
      </c>
      <c r="B271" s="1">
        <f>DATE(2010,6,24) + TIME(3,17,15)</f>
        <v>40353.136979166666</v>
      </c>
      <c r="C271">
        <v>80</v>
      </c>
      <c r="D271">
        <v>79.848999023000005</v>
      </c>
      <c r="E271">
        <v>50</v>
      </c>
      <c r="F271">
        <v>15.072862625000001</v>
      </c>
      <c r="G271">
        <v>1336.1033935999999</v>
      </c>
      <c r="H271">
        <v>1334.3890381000001</v>
      </c>
      <c r="I271">
        <v>1326.6198730000001</v>
      </c>
      <c r="J271">
        <v>1324.6334228999999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54.473939000000001</v>
      </c>
      <c r="B272" s="1">
        <f>DATE(2010,6,24) + TIME(11,22,28)</f>
        <v>40353.473935185182</v>
      </c>
      <c r="C272">
        <v>80</v>
      </c>
      <c r="D272">
        <v>79.848983765</v>
      </c>
      <c r="E272">
        <v>50</v>
      </c>
      <c r="F272">
        <v>15.078297615</v>
      </c>
      <c r="G272">
        <v>1336.1004639</v>
      </c>
      <c r="H272">
        <v>1334.387207</v>
      </c>
      <c r="I272">
        <v>1326.6218262</v>
      </c>
      <c r="J272">
        <v>1324.6341553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54.810898999999999</v>
      </c>
      <c r="B273" s="1">
        <f>DATE(2010,6,24) + TIME(19,27,41)</f>
        <v>40353.810891203706</v>
      </c>
      <c r="C273">
        <v>80</v>
      </c>
      <c r="D273">
        <v>79.848968506000006</v>
      </c>
      <c r="E273">
        <v>50</v>
      </c>
      <c r="F273">
        <v>15.084053992999999</v>
      </c>
      <c r="G273">
        <v>1336.0975341999999</v>
      </c>
      <c r="H273">
        <v>1334.3852539</v>
      </c>
      <c r="I273">
        <v>1326.6237793</v>
      </c>
      <c r="J273">
        <v>1324.6350098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55.147857999999999</v>
      </c>
      <c r="B274" s="1">
        <f>DATE(2010,6,25) + TIME(3,32,54)</f>
        <v>40354.147847222222</v>
      </c>
      <c r="C274">
        <v>80</v>
      </c>
      <c r="D274">
        <v>79.848953246999997</v>
      </c>
      <c r="E274">
        <v>50</v>
      </c>
      <c r="F274">
        <v>15.090149879</v>
      </c>
      <c r="G274">
        <v>1336.0947266000001</v>
      </c>
      <c r="H274">
        <v>1334.3834228999999</v>
      </c>
      <c r="I274">
        <v>1326.6257324000001</v>
      </c>
      <c r="J274">
        <v>1324.6358643000001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55.484817999999997</v>
      </c>
      <c r="B275" s="1">
        <f>DATE(2010,6,25) + TIME(11,38,8)</f>
        <v>40354.484814814816</v>
      </c>
      <c r="C275">
        <v>80</v>
      </c>
      <c r="D275">
        <v>79.848945618000002</v>
      </c>
      <c r="E275">
        <v>50</v>
      </c>
      <c r="F275">
        <v>15.096604347</v>
      </c>
      <c r="G275">
        <v>1336.0917969</v>
      </c>
      <c r="H275">
        <v>1334.3815918</v>
      </c>
      <c r="I275">
        <v>1326.6276855000001</v>
      </c>
      <c r="J275">
        <v>1324.6367187999999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55.821776999999997</v>
      </c>
      <c r="B276" s="1">
        <f>DATE(2010,6,25) + TIME(19,43,21)</f>
        <v>40354.821770833332</v>
      </c>
      <c r="C276">
        <v>80</v>
      </c>
      <c r="D276">
        <v>79.848937988000003</v>
      </c>
      <c r="E276">
        <v>50</v>
      </c>
      <c r="F276">
        <v>15.103437423999999</v>
      </c>
      <c r="G276">
        <v>1336.0889893000001</v>
      </c>
      <c r="H276">
        <v>1334.3796387</v>
      </c>
      <c r="I276">
        <v>1326.6296387</v>
      </c>
      <c r="J276">
        <v>1324.6375731999999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56.158737000000002</v>
      </c>
      <c r="B277" s="1">
        <f>DATE(2010,6,26) + TIME(3,48,34)</f>
        <v>40355.158726851849</v>
      </c>
      <c r="C277">
        <v>80</v>
      </c>
      <c r="D277">
        <v>79.848930358999993</v>
      </c>
      <c r="E277">
        <v>50</v>
      </c>
      <c r="F277">
        <v>15.110667229000001</v>
      </c>
      <c r="G277">
        <v>1336.0861815999999</v>
      </c>
      <c r="H277">
        <v>1334.3778076000001</v>
      </c>
      <c r="I277">
        <v>1326.6317139</v>
      </c>
      <c r="J277">
        <v>1324.6384277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56.495696000000002</v>
      </c>
      <c r="B278" s="1">
        <f>DATE(2010,6,26) + TIME(11,53,48)</f>
        <v>40355.495694444442</v>
      </c>
      <c r="C278">
        <v>80</v>
      </c>
      <c r="D278">
        <v>79.848922728999995</v>
      </c>
      <c r="E278">
        <v>50</v>
      </c>
      <c r="F278">
        <v>15.118315697</v>
      </c>
      <c r="G278">
        <v>1336.0832519999999</v>
      </c>
      <c r="H278">
        <v>1334.3759766000001</v>
      </c>
      <c r="I278">
        <v>1326.6336670000001</v>
      </c>
      <c r="J278">
        <v>1324.6392822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56.832655000000003</v>
      </c>
      <c r="B279" s="1">
        <f>DATE(2010,6,26) + TIME(19,59,1)</f>
        <v>40355.832650462966</v>
      </c>
      <c r="C279">
        <v>80</v>
      </c>
      <c r="D279">
        <v>79.848915099999999</v>
      </c>
      <c r="E279">
        <v>50</v>
      </c>
      <c r="F279">
        <v>15.126404762</v>
      </c>
      <c r="G279">
        <v>1336.0804443</v>
      </c>
      <c r="H279">
        <v>1334.3741454999999</v>
      </c>
      <c r="I279">
        <v>1326.6357422000001</v>
      </c>
      <c r="J279">
        <v>1324.6402588000001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57.169615</v>
      </c>
      <c r="B280" s="1">
        <f>DATE(2010,6,27) + TIME(4,4,14)</f>
        <v>40356.169606481482</v>
      </c>
      <c r="C280">
        <v>80</v>
      </c>
      <c r="D280">
        <v>79.848915099999999</v>
      </c>
      <c r="E280">
        <v>50</v>
      </c>
      <c r="F280">
        <v>15.13495636</v>
      </c>
      <c r="G280">
        <v>1336.0777588000001</v>
      </c>
      <c r="H280">
        <v>1334.3723144999999</v>
      </c>
      <c r="I280">
        <v>1326.6378173999999</v>
      </c>
      <c r="J280">
        <v>1324.6411132999999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57.506574000000001</v>
      </c>
      <c r="B281" s="1">
        <f>DATE(2010,6,27) + TIME(12,9,28)</f>
        <v>40356.506574074076</v>
      </c>
      <c r="C281">
        <v>80</v>
      </c>
      <c r="D281">
        <v>79.848907471000004</v>
      </c>
      <c r="E281">
        <v>50</v>
      </c>
      <c r="F281">
        <v>15.143992424</v>
      </c>
      <c r="G281">
        <v>1336.0749512</v>
      </c>
      <c r="H281">
        <v>1334.3706055</v>
      </c>
      <c r="I281">
        <v>1326.6398925999999</v>
      </c>
      <c r="J281">
        <v>1324.6420897999999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58.180492999999998</v>
      </c>
      <c r="B282" s="1">
        <f>DATE(2010,6,28) + TIME(4,19,54)</f>
        <v>40357.180486111109</v>
      </c>
      <c r="C282">
        <v>80</v>
      </c>
      <c r="D282">
        <v>79.848937988000003</v>
      </c>
      <c r="E282">
        <v>50</v>
      </c>
      <c r="F282">
        <v>15.161518097</v>
      </c>
      <c r="G282">
        <v>1336.0722656</v>
      </c>
      <c r="H282">
        <v>1334.3688964999999</v>
      </c>
      <c r="I282">
        <v>1326.6418457</v>
      </c>
      <c r="J282">
        <v>1324.6430664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58.855426000000001</v>
      </c>
      <c r="B283" s="1">
        <f>DATE(2010,6,28) + TIME(20,31,48)</f>
        <v>40357.855416666665</v>
      </c>
      <c r="C283">
        <v>80</v>
      </c>
      <c r="D283">
        <v>79.848953246999997</v>
      </c>
      <c r="E283">
        <v>50</v>
      </c>
      <c r="F283">
        <v>15.181289673</v>
      </c>
      <c r="G283">
        <v>1336.0667725000001</v>
      </c>
      <c r="H283">
        <v>1334.3653564000001</v>
      </c>
      <c r="I283">
        <v>1326.6461182</v>
      </c>
      <c r="J283">
        <v>1324.6450195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59.538379999999997</v>
      </c>
      <c r="B284" s="1">
        <f>DATE(2010,6,29) + TIME(12,55,16)</f>
        <v>40358.53837962963</v>
      </c>
      <c r="C284">
        <v>80</v>
      </c>
      <c r="D284">
        <v>79.848960876000007</v>
      </c>
      <c r="E284">
        <v>50</v>
      </c>
      <c r="F284">
        <v>15.203684807</v>
      </c>
      <c r="G284">
        <v>1336.0614014</v>
      </c>
      <c r="H284">
        <v>1334.3618164</v>
      </c>
      <c r="I284">
        <v>1326.6505127</v>
      </c>
      <c r="J284">
        <v>1324.6469727000001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60.230902999999998</v>
      </c>
      <c r="B285" s="1">
        <f>DATE(2010,6,30) + TIME(5,32,30)</f>
        <v>40359.230902777781</v>
      </c>
      <c r="C285">
        <v>80</v>
      </c>
      <c r="D285">
        <v>79.848968506000006</v>
      </c>
      <c r="E285">
        <v>50</v>
      </c>
      <c r="F285">
        <v>15.229033469999999</v>
      </c>
      <c r="G285">
        <v>1336.0560303</v>
      </c>
      <c r="H285">
        <v>1334.3583983999999</v>
      </c>
      <c r="I285">
        <v>1326.6550293</v>
      </c>
      <c r="J285">
        <v>1324.6490478999999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60.934666</v>
      </c>
      <c r="B286" s="1">
        <f>DATE(2010,6,30) + TIME(22,25,55)</f>
        <v>40359.934664351851</v>
      </c>
      <c r="C286">
        <v>80</v>
      </c>
      <c r="D286">
        <v>79.848976135000001</v>
      </c>
      <c r="E286">
        <v>50</v>
      </c>
      <c r="F286">
        <v>15.257730484</v>
      </c>
      <c r="G286">
        <v>1336.0506591999999</v>
      </c>
      <c r="H286">
        <v>1334.3549805</v>
      </c>
      <c r="I286">
        <v>1326.659668</v>
      </c>
      <c r="J286">
        <v>1324.6512451000001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61</v>
      </c>
      <c r="B287" s="1">
        <f>DATE(2010,7,1) + TIME(0,0,0)</f>
        <v>40360</v>
      </c>
      <c r="C287">
        <v>80</v>
      </c>
      <c r="D287">
        <v>79.848968506000006</v>
      </c>
      <c r="E287">
        <v>50</v>
      </c>
      <c r="F287">
        <v>15.26125145</v>
      </c>
      <c r="G287">
        <v>1336.0452881000001</v>
      </c>
      <c r="H287">
        <v>1334.3514404</v>
      </c>
      <c r="I287">
        <v>1326.6651611</v>
      </c>
      <c r="J287">
        <v>1324.6531981999999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61.716768000000002</v>
      </c>
      <c r="B288" s="1">
        <f>DATE(2010,7,1) + TIME(17,12,8)</f>
        <v>40360.71675925926</v>
      </c>
      <c r="C288">
        <v>80</v>
      </c>
      <c r="D288">
        <v>79.848983765</v>
      </c>
      <c r="E288">
        <v>50</v>
      </c>
      <c r="F288">
        <v>15.294000626000001</v>
      </c>
      <c r="G288">
        <v>1336.0446777</v>
      </c>
      <c r="H288">
        <v>1334.3510742000001</v>
      </c>
      <c r="I288">
        <v>1326.6649170000001</v>
      </c>
      <c r="J288">
        <v>1324.6536865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62.449955000000003</v>
      </c>
      <c r="B289" s="1">
        <f>DATE(2010,7,2) + TIME(10,47,56)</f>
        <v>40361.449953703705</v>
      </c>
      <c r="C289">
        <v>80</v>
      </c>
      <c r="D289">
        <v>79.848991393999995</v>
      </c>
      <c r="E289">
        <v>50</v>
      </c>
      <c r="F289">
        <v>15.331226349</v>
      </c>
      <c r="G289">
        <v>1336.0393065999999</v>
      </c>
      <c r="H289">
        <v>1334.3475341999999</v>
      </c>
      <c r="I289">
        <v>1326.6699219</v>
      </c>
      <c r="J289">
        <v>1324.6561279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63.196480000000001</v>
      </c>
      <c r="B290" s="1">
        <f>DATE(2010,7,3) + TIME(4,42,55)</f>
        <v>40362.196469907409</v>
      </c>
      <c r="C290">
        <v>80</v>
      </c>
      <c r="D290">
        <v>79.849006653000004</v>
      </c>
      <c r="E290">
        <v>50</v>
      </c>
      <c r="F290">
        <v>15.373373985000001</v>
      </c>
      <c r="G290">
        <v>1336.0336914</v>
      </c>
      <c r="H290">
        <v>1334.3439940999999</v>
      </c>
      <c r="I290">
        <v>1326.6751709</v>
      </c>
      <c r="J290">
        <v>1324.6586914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63.953817000000001</v>
      </c>
      <c r="B291" s="1">
        <f>DATE(2010,7,3) + TIME(22,53,29)</f>
        <v>40362.95380787037</v>
      </c>
      <c r="C291">
        <v>80</v>
      </c>
      <c r="D291">
        <v>79.849014281999999</v>
      </c>
      <c r="E291">
        <v>50</v>
      </c>
      <c r="F291">
        <v>15.420919418</v>
      </c>
      <c r="G291">
        <v>1336.0281981999999</v>
      </c>
      <c r="H291">
        <v>1334.3404541</v>
      </c>
      <c r="I291">
        <v>1326.6805420000001</v>
      </c>
      <c r="J291">
        <v>1324.6613769999999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64.336367999999993</v>
      </c>
      <c r="B292" s="1">
        <f>DATE(2010,7,4) + TIME(8,4,22)</f>
        <v>40363.336365740739</v>
      </c>
      <c r="C292">
        <v>80</v>
      </c>
      <c r="D292">
        <v>79.848999023000005</v>
      </c>
      <c r="E292">
        <v>50</v>
      </c>
      <c r="F292">
        <v>15.450343132</v>
      </c>
      <c r="G292">
        <v>1336.0225829999999</v>
      </c>
      <c r="H292">
        <v>1334.3367920000001</v>
      </c>
      <c r="I292">
        <v>1326.6866454999999</v>
      </c>
      <c r="J292">
        <v>1324.6641846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64.718919</v>
      </c>
      <c r="B293" s="1">
        <f>DATE(2010,7,4) + TIME(17,15,14)</f>
        <v>40363.718912037039</v>
      </c>
      <c r="C293">
        <v>80</v>
      </c>
      <c r="D293">
        <v>79.848991393999995</v>
      </c>
      <c r="E293">
        <v>50</v>
      </c>
      <c r="F293">
        <v>15.481129645999999</v>
      </c>
      <c r="G293">
        <v>1336.0197754000001</v>
      </c>
      <c r="H293">
        <v>1334.3349608999999</v>
      </c>
      <c r="I293">
        <v>1326.6895752</v>
      </c>
      <c r="J293">
        <v>1324.6656493999999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65.101468999999994</v>
      </c>
      <c r="B294" s="1">
        <f>DATE(2010,7,5) + TIME(2,26,6)</f>
        <v>40364.101458333331</v>
      </c>
      <c r="C294">
        <v>80</v>
      </c>
      <c r="D294">
        <v>79.848983765</v>
      </c>
      <c r="E294">
        <v>50</v>
      </c>
      <c r="F294">
        <v>15.513358115999999</v>
      </c>
      <c r="G294">
        <v>1336.0169678</v>
      </c>
      <c r="H294">
        <v>1334.3331298999999</v>
      </c>
      <c r="I294">
        <v>1326.6925048999999</v>
      </c>
      <c r="J294">
        <v>1324.6672363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65.484020000000001</v>
      </c>
      <c r="B295" s="1">
        <f>DATE(2010,7,5) + TIME(11,36,59)</f>
        <v>40364.484016203707</v>
      </c>
      <c r="C295">
        <v>80</v>
      </c>
      <c r="D295">
        <v>79.848983765</v>
      </c>
      <c r="E295">
        <v>50</v>
      </c>
      <c r="F295">
        <v>15.547105789</v>
      </c>
      <c r="G295">
        <v>1336.0142822</v>
      </c>
      <c r="H295">
        <v>1334.3314209</v>
      </c>
      <c r="I295">
        <v>1326.6953125</v>
      </c>
      <c r="J295">
        <v>1324.6688231999999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65.866570999999993</v>
      </c>
      <c r="B296" s="1">
        <f>DATE(2010,7,5) + TIME(20,47,51)</f>
        <v>40364.866562499999</v>
      </c>
      <c r="C296">
        <v>80</v>
      </c>
      <c r="D296">
        <v>79.848983765</v>
      </c>
      <c r="E296">
        <v>50</v>
      </c>
      <c r="F296">
        <v>15.582451819999999</v>
      </c>
      <c r="G296">
        <v>1336.0114745999999</v>
      </c>
      <c r="H296">
        <v>1334.3295897999999</v>
      </c>
      <c r="I296">
        <v>1326.6983643000001</v>
      </c>
      <c r="J296">
        <v>1324.6705322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66.249122</v>
      </c>
      <c r="B297" s="1">
        <f>DATE(2010,7,6) + TIME(5,58,44)</f>
        <v>40365.249120370368</v>
      </c>
      <c r="C297">
        <v>80</v>
      </c>
      <c r="D297">
        <v>79.848983765</v>
      </c>
      <c r="E297">
        <v>50</v>
      </c>
      <c r="F297">
        <v>15.619472504000001</v>
      </c>
      <c r="G297">
        <v>1336.0087891000001</v>
      </c>
      <c r="H297">
        <v>1334.3278809000001</v>
      </c>
      <c r="I297">
        <v>1326.7012939000001</v>
      </c>
      <c r="J297">
        <v>1324.6722411999999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66.631673000000006</v>
      </c>
      <c r="B298" s="1">
        <f>DATE(2010,7,6) + TIME(15,9,36)</f>
        <v>40365.631666666668</v>
      </c>
      <c r="C298">
        <v>80</v>
      </c>
      <c r="D298">
        <v>79.848991393999995</v>
      </c>
      <c r="E298">
        <v>50</v>
      </c>
      <c r="F298">
        <v>15.658247948</v>
      </c>
      <c r="G298">
        <v>1336.0061035000001</v>
      </c>
      <c r="H298">
        <v>1334.3260498</v>
      </c>
      <c r="I298">
        <v>1326.7042236</v>
      </c>
      <c r="J298">
        <v>1324.6739502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67.014223999999999</v>
      </c>
      <c r="B299" s="1">
        <f>DATE(2010,7,7) + TIME(0,20,28)</f>
        <v>40366.01421296296</v>
      </c>
      <c r="C299">
        <v>80</v>
      </c>
      <c r="D299">
        <v>79.848999023000005</v>
      </c>
      <c r="E299">
        <v>50</v>
      </c>
      <c r="F299">
        <v>15.698857307000001</v>
      </c>
      <c r="G299">
        <v>1336.003418</v>
      </c>
      <c r="H299">
        <v>1334.3243408000001</v>
      </c>
      <c r="I299">
        <v>1326.7072754000001</v>
      </c>
      <c r="J299">
        <v>1324.6756591999999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67.396775000000005</v>
      </c>
      <c r="B300" s="1">
        <f>DATE(2010,7,7) + TIME(9,31,21)</f>
        <v>40366.396770833337</v>
      </c>
      <c r="C300">
        <v>80</v>
      </c>
      <c r="D300">
        <v>79.849006653000004</v>
      </c>
      <c r="E300">
        <v>50</v>
      </c>
      <c r="F300">
        <v>15.741378784</v>
      </c>
      <c r="G300">
        <v>1336.0007324000001</v>
      </c>
      <c r="H300">
        <v>1334.3226318</v>
      </c>
      <c r="I300">
        <v>1326.7103271000001</v>
      </c>
      <c r="J300">
        <v>1324.6774902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67.779325</v>
      </c>
      <c r="B301" s="1">
        <f>DATE(2010,7,7) + TIME(18,42,13)</f>
        <v>40366.779317129629</v>
      </c>
      <c r="C301">
        <v>80</v>
      </c>
      <c r="D301">
        <v>79.849014281999999</v>
      </c>
      <c r="E301">
        <v>50</v>
      </c>
      <c r="F301">
        <v>15.785891532999999</v>
      </c>
      <c r="G301">
        <v>1335.9980469</v>
      </c>
      <c r="H301">
        <v>1334.3208007999999</v>
      </c>
      <c r="I301">
        <v>1326.7133789</v>
      </c>
      <c r="J301">
        <v>1324.6793213000001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68.161876000000007</v>
      </c>
      <c r="B302" s="1">
        <f>DATE(2010,7,8) + TIME(3,53,6)</f>
        <v>40367.161874999998</v>
      </c>
      <c r="C302">
        <v>80</v>
      </c>
      <c r="D302">
        <v>79.849021911999998</v>
      </c>
      <c r="E302">
        <v>50</v>
      </c>
      <c r="F302">
        <v>15.832476615999999</v>
      </c>
      <c r="G302">
        <v>1335.9953613</v>
      </c>
      <c r="H302">
        <v>1334.3190918</v>
      </c>
      <c r="I302">
        <v>1326.7164307</v>
      </c>
      <c r="J302">
        <v>1324.6811522999999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68.926978000000005</v>
      </c>
      <c r="B303" s="1">
        <f>DATE(2010,7,8) + TIME(22,14,50)</f>
        <v>40367.92696759259</v>
      </c>
      <c r="C303">
        <v>80</v>
      </c>
      <c r="D303">
        <v>79.849082946999999</v>
      </c>
      <c r="E303">
        <v>50</v>
      </c>
      <c r="F303">
        <v>15.920775414</v>
      </c>
      <c r="G303">
        <v>1335.9927978999999</v>
      </c>
      <c r="H303">
        <v>1334.3173827999999</v>
      </c>
      <c r="I303">
        <v>1326.7186279</v>
      </c>
      <c r="J303">
        <v>1324.6833495999999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69.692335999999997</v>
      </c>
      <c r="B304" s="1">
        <f>DATE(2010,7,9) + TIME(16,36,57)</f>
        <v>40368.692326388889</v>
      </c>
      <c r="C304">
        <v>80</v>
      </c>
      <c r="D304">
        <v>79.849128723000007</v>
      </c>
      <c r="E304">
        <v>50</v>
      </c>
      <c r="F304">
        <v>16.018962859999998</v>
      </c>
      <c r="G304">
        <v>1335.9875488</v>
      </c>
      <c r="H304">
        <v>1334.3139647999999</v>
      </c>
      <c r="I304">
        <v>1326.7249756000001</v>
      </c>
      <c r="J304">
        <v>1324.6872559000001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70.465486999999996</v>
      </c>
      <c r="B305" s="1">
        <f>DATE(2010,7,10) + TIME(11,10,18)</f>
        <v>40369.465486111112</v>
      </c>
      <c r="C305">
        <v>80</v>
      </c>
      <c r="D305">
        <v>79.849166870000005</v>
      </c>
      <c r="E305">
        <v>50</v>
      </c>
      <c r="F305">
        <v>16.128349304</v>
      </c>
      <c r="G305">
        <v>1335.9824219</v>
      </c>
      <c r="H305">
        <v>1334.3104248</v>
      </c>
      <c r="I305">
        <v>1326.7312012</v>
      </c>
      <c r="J305">
        <v>1324.6912841999999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71.248278999999997</v>
      </c>
      <c r="B306" s="1">
        <f>DATE(2010,7,11) + TIME(5,57,31)</f>
        <v>40370.24827546296</v>
      </c>
      <c r="C306">
        <v>80</v>
      </c>
      <c r="D306">
        <v>79.849212645999998</v>
      </c>
      <c r="E306">
        <v>50</v>
      </c>
      <c r="F306">
        <v>16.249975203999998</v>
      </c>
      <c r="G306">
        <v>1335.9771728999999</v>
      </c>
      <c r="H306">
        <v>1334.3070068</v>
      </c>
      <c r="I306">
        <v>1326.7376709</v>
      </c>
      <c r="J306">
        <v>1324.6956786999999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72.042696000000007</v>
      </c>
      <c r="B307" s="1">
        <f>DATE(2010,7,12) + TIME(1,1,28)</f>
        <v>40371.042685185188</v>
      </c>
      <c r="C307">
        <v>80</v>
      </c>
      <c r="D307">
        <v>79.849250792999996</v>
      </c>
      <c r="E307">
        <v>50</v>
      </c>
      <c r="F307">
        <v>16.385066985999998</v>
      </c>
      <c r="G307">
        <v>1335.9719238</v>
      </c>
      <c r="H307">
        <v>1334.3034668</v>
      </c>
      <c r="I307">
        <v>1326.7441406</v>
      </c>
      <c r="J307">
        <v>1324.7001952999999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72.850818000000004</v>
      </c>
      <c r="B308" s="1">
        <f>DATE(2010,7,12) + TIME(20,25,10)</f>
        <v>40371.850810185184</v>
      </c>
      <c r="C308">
        <v>80</v>
      </c>
      <c r="D308">
        <v>79.849296570000007</v>
      </c>
      <c r="E308">
        <v>50</v>
      </c>
      <c r="F308">
        <v>16.535049438000001</v>
      </c>
      <c r="G308">
        <v>1335.9666748</v>
      </c>
      <c r="H308">
        <v>1334.2999268000001</v>
      </c>
      <c r="I308">
        <v>1326.7507324000001</v>
      </c>
      <c r="J308">
        <v>1324.7052002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73.671520999999998</v>
      </c>
      <c r="B309" s="1">
        <f>DATE(2010,7,13) + TIME(16,6,59)</f>
        <v>40372.671516203707</v>
      </c>
      <c r="C309">
        <v>80</v>
      </c>
      <c r="D309">
        <v>79.849342346</v>
      </c>
      <c r="E309">
        <v>50</v>
      </c>
      <c r="F309">
        <v>16.701013565</v>
      </c>
      <c r="G309">
        <v>1335.9614257999999</v>
      </c>
      <c r="H309">
        <v>1334.2963867000001</v>
      </c>
      <c r="I309">
        <v>1326.7575684000001</v>
      </c>
      <c r="J309">
        <v>1324.7103271000001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74.496548000000004</v>
      </c>
      <c r="B310" s="1">
        <f>DATE(2010,7,14) + TIME(11,55,1)</f>
        <v>40373.496539351851</v>
      </c>
      <c r="C310">
        <v>80</v>
      </c>
      <c r="D310">
        <v>79.849395752000007</v>
      </c>
      <c r="E310">
        <v>50</v>
      </c>
      <c r="F310">
        <v>16.882810592999999</v>
      </c>
      <c r="G310">
        <v>1335.9560547000001</v>
      </c>
      <c r="H310">
        <v>1334.2927245999999</v>
      </c>
      <c r="I310">
        <v>1326.7645264</v>
      </c>
      <c r="J310">
        <v>1324.7159423999999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75.326367000000005</v>
      </c>
      <c r="B311" s="1">
        <f>DATE(2010,7,15) + TIME(7,49,58)</f>
        <v>40374.326365740744</v>
      </c>
      <c r="C311">
        <v>80</v>
      </c>
      <c r="D311">
        <v>79.849441528</v>
      </c>
      <c r="E311">
        <v>50</v>
      </c>
      <c r="F311">
        <v>17.081424713000001</v>
      </c>
      <c r="G311">
        <v>1335.9508057</v>
      </c>
      <c r="H311">
        <v>1334.2891846</v>
      </c>
      <c r="I311">
        <v>1326.7714844</v>
      </c>
      <c r="J311">
        <v>1324.7218018000001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76.163131000000007</v>
      </c>
      <c r="B312" s="1">
        <f>DATE(2010,7,16) + TIME(3,54,54)</f>
        <v>40375.163124999999</v>
      </c>
      <c r="C312">
        <v>80</v>
      </c>
      <c r="D312">
        <v>79.849494934000006</v>
      </c>
      <c r="E312">
        <v>50</v>
      </c>
      <c r="F312">
        <v>17.298219680999999</v>
      </c>
      <c r="G312">
        <v>1335.9455565999999</v>
      </c>
      <c r="H312">
        <v>1334.2855225000001</v>
      </c>
      <c r="I312">
        <v>1326.7784423999999</v>
      </c>
      <c r="J312">
        <v>1324.7280272999999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77.009063999999995</v>
      </c>
      <c r="B313" s="1">
        <f>DATE(2010,7,17) + TIME(0,13,3)</f>
        <v>40376.009062500001</v>
      </c>
      <c r="C313">
        <v>80</v>
      </c>
      <c r="D313">
        <v>79.849548339999998</v>
      </c>
      <c r="E313">
        <v>50</v>
      </c>
      <c r="F313">
        <v>17.534730911</v>
      </c>
      <c r="G313">
        <v>1335.9403076000001</v>
      </c>
      <c r="H313">
        <v>1334.2818603999999</v>
      </c>
      <c r="I313">
        <v>1326.7854004000001</v>
      </c>
      <c r="J313">
        <v>1324.7346190999999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77.866373999999993</v>
      </c>
      <c r="B314" s="1">
        <f>DATE(2010,7,17) + TIME(20,47,34)</f>
        <v>40376.866365740738</v>
      </c>
      <c r="C314">
        <v>80</v>
      </c>
      <c r="D314">
        <v>79.849609375</v>
      </c>
      <c r="E314">
        <v>50</v>
      </c>
      <c r="F314">
        <v>17.79265213</v>
      </c>
      <c r="G314">
        <v>1335.9349365</v>
      </c>
      <c r="H314">
        <v>1334.2783202999999</v>
      </c>
      <c r="I314">
        <v>1326.7924805</v>
      </c>
      <c r="J314">
        <v>1324.7416992000001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78.729676999999995</v>
      </c>
      <c r="B315" s="1">
        <f>DATE(2010,7,18) + TIME(17,30,44)</f>
        <v>40377.729675925926</v>
      </c>
      <c r="C315">
        <v>80</v>
      </c>
      <c r="D315">
        <v>79.849670410000002</v>
      </c>
      <c r="E315">
        <v>50</v>
      </c>
      <c r="F315">
        <v>18.071912766000001</v>
      </c>
      <c r="G315">
        <v>1335.9296875</v>
      </c>
      <c r="H315">
        <v>1334.2746582</v>
      </c>
      <c r="I315">
        <v>1326.7995605000001</v>
      </c>
      <c r="J315">
        <v>1324.7490233999999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79.593316999999999</v>
      </c>
      <c r="B316" s="1">
        <f>DATE(2010,7,19) + TIME(14,14,22)</f>
        <v>40378.593310185184</v>
      </c>
      <c r="C316">
        <v>80</v>
      </c>
      <c r="D316">
        <v>79.849731445000003</v>
      </c>
      <c r="E316">
        <v>50</v>
      </c>
      <c r="F316">
        <v>18.371826171999999</v>
      </c>
      <c r="G316">
        <v>1335.9244385</v>
      </c>
      <c r="H316">
        <v>1334.2709961</v>
      </c>
      <c r="I316">
        <v>1326.8066406</v>
      </c>
      <c r="J316">
        <v>1324.7568358999999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80.459445000000002</v>
      </c>
      <c r="B317" s="1">
        <f>DATE(2010,7,20) + TIME(11,1,36)</f>
        <v>40379.459444444445</v>
      </c>
      <c r="C317">
        <v>80</v>
      </c>
      <c r="D317">
        <v>79.849800110000004</v>
      </c>
      <c r="E317">
        <v>50</v>
      </c>
      <c r="F317">
        <v>18.693311691000002</v>
      </c>
      <c r="G317">
        <v>1335.9191894999999</v>
      </c>
      <c r="H317">
        <v>1334.2673339999999</v>
      </c>
      <c r="I317">
        <v>1326.8135986</v>
      </c>
      <c r="J317">
        <v>1324.7651367000001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81.330138000000005</v>
      </c>
      <c r="B318" s="1">
        <f>DATE(2010,7,21) + TIME(7,55,23)</f>
        <v>40380.330127314817</v>
      </c>
      <c r="C318">
        <v>80</v>
      </c>
      <c r="D318">
        <v>79.849861145000006</v>
      </c>
      <c r="E318">
        <v>50</v>
      </c>
      <c r="F318">
        <v>19.037294387999999</v>
      </c>
      <c r="G318">
        <v>1335.9140625</v>
      </c>
      <c r="H318">
        <v>1334.2637939000001</v>
      </c>
      <c r="I318">
        <v>1326.8205565999999</v>
      </c>
      <c r="J318">
        <v>1324.7736815999999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82.207746</v>
      </c>
      <c r="B319" s="1">
        <f>DATE(2010,7,22) + TIME(4,59,9)</f>
        <v>40381.207743055558</v>
      </c>
      <c r="C319">
        <v>80</v>
      </c>
      <c r="D319">
        <v>79.849937439000001</v>
      </c>
      <c r="E319">
        <v>50</v>
      </c>
      <c r="F319">
        <v>19.4049263</v>
      </c>
      <c r="G319">
        <v>1335.9088135</v>
      </c>
      <c r="H319">
        <v>1334.2601318</v>
      </c>
      <c r="I319">
        <v>1326.8273925999999</v>
      </c>
      <c r="J319">
        <v>1324.7828368999999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83.089393000000001</v>
      </c>
      <c r="B320" s="1">
        <f>DATE(2010,7,23) + TIME(2,8,43)</f>
        <v>40382.089386574073</v>
      </c>
      <c r="C320">
        <v>80</v>
      </c>
      <c r="D320">
        <v>79.850006104000002</v>
      </c>
      <c r="E320">
        <v>50</v>
      </c>
      <c r="F320">
        <v>19.795646667</v>
      </c>
      <c r="G320">
        <v>1335.9036865</v>
      </c>
      <c r="H320">
        <v>1334.2565918</v>
      </c>
      <c r="I320">
        <v>1326.8342285000001</v>
      </c>
      <c r="J320">
        <v>1324.7922363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83.974200999999994</v>
      </c>
      <c r="B321" s="1">
        <f>DATE(2010,7,23) + TIME(23,22,50)</f>
        <v>40382.974189814813</v>
      </c>
      <c r="C321">
        <v>80</v>
      </c>
      <c r="D321">
        <v>79.850082396999994</v>
      </c>
      <c r="E321">
        <v>50</v>
      </c>
      <c r="F321">
        <v>20.209365845000001</v>
      </c>
      <c r="G321">
        <v>1335.8985596</v>
      </c>
      <c r="H321">
        <v>1334.2530518000001</v>
      </c>
      <c r="I321">
        <v>1326.8409423999999</v>
      </c>
      <c r="J321">
        <v>1324.8022461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84.864797999999993</v>
      </c>
      <c r="B322" s="1">
        <f>DATE(2010,7,24) + TIME(20,45,18)</f>
        <v>40383.864791666667</v>
      </c>
      <c r="C322">
        <v>80</v>
      </c>
      <c r="D322">
        <v>79.850151061999995</v>
      </c>
      <c r="E322">
        <v>50</v>
      </c>
      <c r="F322">
        <v>20.646860123</v>
      </c>
      <c r="G322">
        <v>1335.8935547000001</v>
      </c>
      <c r="H322">
        <v>1334.2495117000001</v>
      </c>
      <c r="I322">
        <v>1326.8475341999999</v>
      </c>
      <c r="J322">
        <v>1324.8126221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85.7637</v>
      </c>
      <c r="B323" s="1">
        <f>DATE(2010,7,25) + TIME(18,19,43)</f>
        <v>40384.763692129629</v>
      </c>
      <c r="C323">
        <v>80</v>
      </c>
      <c r="D323">
        <v>79.850234985</v>
      </c>
      <c r="E323">
        <v>50</v>
      </c>
      <c r="F323">
        <v>21.108655930000001</v>
      </c>
      <c r="G323">
        <v>1335.8884277</v>
      </c>
      <c r="H323">
        <v>1334.2458495999999</v>
      </c>
      <c r="I323">
        <v>1326.8540039</v>
      </c>
      <c r="J323">
        <v>1324.8234863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86.673564999999996</v>
      </c>
      <c r="B324" s="1">
        <f>DATE(2010,7,26) + TIME(16,9,56)</f>
        <v>40385.673564814817</v>
      </c>
      <c r="C324">
        <v>80</v>
      </c>
      <c r="D324">
        <v>79.850311278999996</v>
      </c>
      <c r="E324">
        <v>50</v>
      </c>
      <c r="F324">
        <v>21.595520019999999</v>
      </c>
      <c r="G324">
        <v>1335.8834228999999</v>
      </c>
      <c r="H324">
        <v>1334.2423096</v>
      </c>
      <c r="I324">
        <v>1326.8604736</v>
      </c>
      <c r="J324">
        <v>1324.8348389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87.597271000000006</v>
      </c>
      <c r="B325" s="1">
        <f>DATE(2010,7,27) + TIME(14,20,4)</f>
        <v>40386.597268518519</v>
      </c>
      <c r="C325">
        <v>80</v>
      </c>
      <c r="D325">
        <v>79.850402832</v>
      </c>
      <c r="E325">
        <v>50</v>
      </c>
      <c r="F325">
        <v>22.108345031999999</v>
      </c>
      <c r="G325">
        <v>1335.8782959</v>
      </c>
      <c r="H325">
        <v>1334.2387695</v>
      </c>
      <c r="I325">
        <v>1326.8668213000001</v>
      </c>
      <c r="J325">
        <v>1324.8466797000001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88.537679999999995</v>
      </c>
      <c r="B326" s="1">
        <f>DATE(2010,7,28) + TIME(12,54,15)</f>
        <v>40387.537673611114</v>
      </c>
      <c r="C326">
        <v>80</v>
      </c>
      <c r="D326">
        <v>79.850486755000006</v>
      </c>
      <c r="E326">
        <v>50</v>
      </c>
      <c r="F326">
        <v>22.648015976</v>
      </c>
      <c r="G326">
        <v>1335.8732910000001</v>
      </c>
      <c r="H326">
        <v>1334.2352295000001</v>
      </c>
      <c r="I326">
        <v>1326.8732910000001</v>
      </c>
      <c r="J326">
        <v>1324.8591309000001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89.497805</v>
      </c>
      <c r="B327" s="1">
        <f>DATE(2010,7,29) + TIME(11,56,50)</f>
        <v>40388.497800925928</v>
      </c>
      <c r="C327">
        <v>80</v>
      </c>
      <c r="D327">
        <v>79.850585937999995</v>
      </c>
      <c r="E327">
        <v>50</v>
      </c>
      <c r="F327">
        <v>23.215423584</v>
      </c>
      <c r="G327">
        <v>1335.8681641000001</v>
      </c>
      <c r="H327">
        <v>1334.2315673999999</v>
      </c>
      <c r="I327">
        <v>1326.8796387</v>
      </c>
      <c r="J327">
        <v>1324.8720702999999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89.987660000000005</v>
      </c>
      <c r="B328" s="1">
        <f>DATE(2010,7,29) + TIME(23,42,13)</f>
        <v>40388.987650462965</v>
      </c>
      <c r="C328">
        <v>80</v>
      </c>
      <c r="D328">
        <v>79.850608825999998</v>
      </c>
      <c r="E328">
        <v>50</v>
      </c>
      <c r="F328">
        <v>23.557893752999998</v>
      </c>
      <c r="G328">
        <v>1335.8630370999999</v>
      </c>
      <c r="H328">
        <v>1334.2279053</v>
      </c>
      <c r="I328">
        <v>1326.8909911999999</v>
      </c>
      <c r="J328">
        <v>1324.8839111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90.477515999999994</v>
      </c>
      <c r="B329" s="1">
        <f>DATE(2010,7,30) + TIME(11,27,37)</f>
        <v>40389.477511574078</v>
      </c>
      <c r="C329">
        <v>80</v>
      </c>
      <c r="D329">
        <v>79.850646972999996</v>
      </c>
      <c r="E329">
        <v>50</v>
      </c>
      <c r="F329">
        <v>23.898525238000001</v>
      </c>
      <c r="G329">
        <v>1335.8604736</v>
      </c>
      <c r="H329">
        <v>1334.2260742000001</v>
      </c>
      <c r="I329">
        <v>1326.8937988</v>
      </c>
      <c r="J329">
        <v>1324.8914795000001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90.966646999999995</v>
      </c>
      <c r="B330" s="1">
        <f>DATE(2010,7,30) + TIME(23,11,58)</f>
        <v>40389.966643518521</v>
      </c>
      <c r="C330">
        <v>80</v>
      </c>
      <c r="D330">
        <v>79.850685119999994</v>
      </c>
      <c r="E330">
        <v>50</v>
      </c>
      <c r="F330">
        <v>24.237390518000002</v>
      </c>
      <c r="G330">
        <v>1335.8579102000001</v>
      </c>
      <c r="H330">
        <v>1334.2242432</v>
      </c>
      <c r="I330">
        <v>1326.8967285000001</v>
      </c>
      <c r="J330">
        <v>1324.8991699000001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91.455361999999994</v>
      </c>
      <c r="B331" s="1">
        <f>DATE(2010,7,31) + TIME(10,55,43)</f>
        <v>40390.455358796295</v>
      </c>
      <c r="C331">
        <v>80</v>
      </c>
      <c r="D331">
        <v>79.850730896000002</v>
      </c>
      <c r="E331">
        <v>50</v>
      </c>
      <c r="F331">
        <v>24.575044632000001</v>
      </c>
      <c r="G331">
        <v>1335.8553466999999</v>
      </c>
      <c r="H331">
        <v>1334.2224120999999</v>
      </c>
      <c r="I331">
        <v>1326.8996582</v>
      </c>
      <c r="J331">
        <v>1324.9068603999999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92</v>
      </c>
      <c r="B332" s="1">
        <f>DATE(2010,8,1) + TIME(0,0,0)</f>
        <v>40391</v>
      </c>
      <c r="C332">
        <v>80</v>
      </c>
      <c r="D332">
        <v>79.850784301999994</v>
      </c>
      <c r="E332">
        <v>50</v>
      </c>
      <c r="F332">
        <v>24.944036484000002</v>
      </c>
      <c r="G332">
        <v>1335.8527832</v>
      </c>
      <c r="H332">
        <v>1334.2205810999999</v>
      </c>
      <c r="I332">
        <v>1326.9019774999999</v>
      </c>
      <c r="J332">
        <v>1324.9147949000001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92.977305000000001</v>
      </c>
      <c r="B333" s="1">
        <f>DATE(2010,8,1) + TIME(23,27,19)</f>
        <v>40391.977303240739</v>
      </c>
      <c r="C333">
        <v>80</v>
      </c>
      <c r="D333">
        <v>79.850906371999997</v>
      </c>
      <c r="E333">
        <v>50</v>
      </c>
      <c r="F333">
        <v>25.528350830000001</v>
      </c>
      <c r="G333">
        <v>1335.8498535000001</v>
      </c>
      <c r="H333">
        <v>1334.2185059000001</v>
      </c>
      <c r="I333">
        <v>1326.9014893000001</v>
      </c>
      <c r="J333">
        <v>1324.9249268000001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93.954892000000001</v>
      </c>
      <c r="B334" s="1">
        <f>DATE(2010,8,2) + TIME(22,55,2)</f>
        <v>40392.954884259256</v>
      </c>
      <c r="C334">
        <v>80</v>
      </c>
      <c r="D334">
        <v>79.851028442</v>
      </c>
      <c r="E334">
        <v>50</v>
      </c>
      <c r="F334">
        <v>26.135448455999999</v>
      </c>
      <c r="G334">
        <v>1335.8449707</v>
      </c>
      <c r="H334">
        <v>1334.2149658000001</v>
      </c>
      <c r="I334">
        <v>1326.9085693</v>
      </c>
      <c r="J334">
        <v>1324.9394531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94.938754000000003</v>
      </c>
      <c r="B335" s="1">
        <f>DATE(2010,8,3) + TIME(22,31,48)</f>
        <v>40393.938750000001</v>
      </c>
      <c r="C335">
        <v>80</v>
      </c>
      <c r="D335">
        <v>79.851142882999994</v>
      </c>
      <c r="E335">
        <v>50</v>
      </c>
      <c r="F335">
        <v>26.762228012000001</v>
      </c>
      <c r="G335">
        <v>1335.8399658000001</v>
      </c>
      <c r="H335">
        <v>1334.2114257999999</v>
      </c>
      <c r="I335">
        <v>1326.9155272999999</v>
      </c>
      <c r="J335">
        <v>1324.9543457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95.930181000000005</v>
      </c>
      <c r="B336" s="1">
        <f>DATE(2010,8,4) + TIME(22,19,27)</f>
        <v>40394.930173611108</v>
      </c>
      <c r="C336">
        <v>80</v>
      </c>
      <c r="D336">
        <v>79.851249695000007</v>
      </c>
      <c r="E336">
        <v>50</v>
      </c>
      <c r="F336">
        <v>27.404832840000001</v>
      </c>
      <c r="G336">
        <v>1335.8350829999999</v>
      </c>
      <c r="H336">
        <v>1334.2080077999999</v>
      </c>
      <c r="I336">
        <v>1326.9224853999999</v>
      </c>
      <c r="J336">
        <v>1324.9696045000001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96.931101999999996</v>
      </c>
      <c r="B337" s="1">
        <f>DATE(2010,8,5) + TIME(22,20,47)</f>
        <v>40395.93109953704</v>
      </c>
      <c r="C337">
        <v>80</v>
      </c>
      <c r="D337">
        <v>79.851364136000001</v>
      </c>
      <c r="E337">
        <v>50</v>
      </c>
      <c r="F337">
        <v>28.060306549</v>
      </c>
      <c r="G337">
        <v>1335.8303223</v>
      </c>
      <c r="H337">
        <v>1334.2044678</v>
      </c>
      <c r="I337">
        <v>1326.9294434000001</v>
      </c>
      <c r="J337">
        <v>1324.9853516000001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97.944522000000006</v>
      </c>
      <c r="B338" s="1">
        <f>DATE(2010,8,6) + TIME(22,40,6)</f>
        <v>40396.944513888891</v>
      </c>
      <c r="C338">
        <v>80</v>
      </c>
      <c r="D338">
        <v>79.851478576999995</v>
      </c>
      <c r="E338">
        <v>50</v>
      </c>
      <c r="F338">
        <v>28.726655959999999</v>
      </c>
      <c r="G338">
        <v>1335.8255615</v>
      </c>
      <c r="H338">
        <v>1334.2010498</v>
      </c>
      <c r="I338">
        <v>1326.9365233999999</v>
      </c>
      <c r="J338">
        <v>1325.0014647999999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98.973331000000002</v>
      </c>
      <c r="B339" s="1">
        <f>DATE(2010,8,7) + TIME(23,21,35)</f>
        <v>40397.973321759258</v>
      </c>
      <c r="C339">
        <v>80</v>
      </c>
      <c r="D339">
        <v>79.851600646999998</v>
      </c>
      <c r="E339">
        <v>50</v>
      </c>
      <c r="F339">
        <v>29.402349472000001</v>
      </c>
      <c r="G339">
        <v>1335.8206786999999</v>
      </c>
      <c r="H339">
        <v>1334.1977539</v>
      </c>
      <c r="I339">
        <v>1326.9437256000001</v>
      </c>
      <c r="J339">
        <v>1325.0180664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100.02058</v>
      </c>
      <c r="B340" s="1">
        <f>DATE(2010,8,9) + TIME(0,29,38)</f>
        <v>40399.020578703705</v>
      </c>
      <c r="C340">
        <v>80</v>
      </c>
      <c r="D340">
        <v>79.851722717000001</v>
      </c>
      <c r="E340">
        <v>50</v>
      </c>
      <c r="F340">
        <v>30.086122512999999</v>
      </c>
      <c r="G340">
        <v>1335.815918</v>
      </c>
      <c r="H340">
        <v>1334.1943358999999</v>
      </c>
      <c r="I340">
        <v>1326.9510498</v>
      </c>
      <c r="J340">
        <v>1325.0349120999999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101.08958199999999</v>
      </c>
      <c r="B341" s="1">
        <f>DATE(2010,8,10) + TIME(2,8,59)</f>
        <v>40400.089571759258</v>
      </c>
      <c r="C341">
        <v>80</v>
      </c>
      <c r="D341">
        <v>79.851844787999994</v>
      </c>
      <c r="E341">
        <v>50</v>
      </c>
      <c r="F341">
        <v>30.777164459000002</v>
      </c>
      <c r="G341">
        <v>1335.8111572</v>
      </c>
      <c r="H341">
        <v>1334.190918</v>
      </c>
      <c r="I341">
        <v>1326.9586182</v>
      </c>
      <c r="J341">
        <v>1325.0522461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102.183898</v>
      </c>
      <c r="B342" s="1">
        <f>DATE(2010,8,11) + TIME(4,24,48)</f>
        <v>40401.183888888889</v>
      </c>
      <c r="C342">
        <v>80</v>
      </c>
      <c r="D342">
        <v>79.851974487000007</v>
      </c>
      <c r="E342">
        <v>50</v>
      </c>
      <c r="F342">
        <v>31.474184036</v>
      </c>
      <c r="G342">
        <v>1335.8063964999999</v>
      </c>
      <c r="H342">
        <v>1334.1875</v>
      </c>
      <c r="I342">
        <v>1326.9664307</v>
      </c>
      <c r="J342">
        <v>1325.0700684000001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102.743876</v>
      </c>
      <c r="B343" s="1">
        <f>DATE(2010,8,11) + TIME(17,51,10)</f>
        <v>40401.74386574074</v>
      </c>
      <c r="C343">
        <v>80</v>
      </c>
      <c r="D343">
        <v>79.852020264000004</v>
      </c>
      <c r="E343">
        <v>50</v>
      </c>
      <c r="F343">
        <v>31.890989304000001</v>
      </c>
      <c r="G343">
        <v>1335.8016356999999</v>
      </c>
      <c r="H343">
        <v>1334.1842041</v>
      </c>
      <c r="I343">
        <v>1326.9792480000001</v>
      </c>
      <c r="J343">
        <v>1325.0861815999999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103.303855</v>
      </c>
      <c r="B344" s="1">
        <f>DATE(2010,8,12) + TIME(7,17,33)</f>
        <v>40402.303854166668</v>
      </c>
      <c r="C344">
        <v>80</v>
      </c>
      <c r="D344">
        <v>79.852073669000006</v>
      </c>
      <c r="E344">
        <v>50</v>
      </c>
      <c r="F344">
        <v>32.292411803999997</v>
      </c>
      <c r="G344">
        <v>1335.7993164</v>
      </c>
      <c r="H344">
        <v>1334.1824951000001</v>
      </c>
      <c r="I344">
        <v>1326.9830322</v>
      </c>
      <c r="J344">
        <v>1325.0964355000001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103.863833</v>
      </c>
      <c r="B345" s="1">
        <f>DATE(2010,8,12) + TIME(20,43,55)</f>
        <v>40402.86383101852</v>
      </c>
      <c r="C345">
        <v>80</v>
      </c>
      <c r="D345">
        <v>79.852134704999997</v>
      </c>
      <c r="E345">
        <v>50</v>
      </c>
      <c r="F345">
        <v>32.680431366000001</v>
      </c>
      <c r="G345">
        <v>1335.796875</v>
      </c>
      <c r="H345">
        <v>1334.1807861</v>
      </c>
      <c r="I345">
        <v>1326.9869385</v>
      </c>
      <c r="J345">
        <v>1325.1065673999999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104.423811</v>
      </c>
      <c r="B346" s="1">
        <f>DATE(2010,8,13) + TIME(10,10,17)</f>
        <v>40403.423807870371</v>
      </c>
      <c r="C346">
        <v>80</v>
      </c>
      <c r="D346">
        <v>79.852195739999999</v>
      </c>
      <c r="E346">
        <v>50</v>
      </c>
      <c r="F346">
        <v>33.056690216</v>
      </c>
      <c r="G346">
        <v>1335.7944336</v>
      </c>
      <c r="H346">
        <v>1334.1790771000001</v>
      </c>
      <c r="I346">
        <v>1326.9910889</v>
      </c>
      <c r="J346">
        <v>1325.1166992000001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104.98379</v>
      </c>
      <c r="B347" s="1">
        <f>DATE(2010,8,13) + TIME(23,36,39)</f>
        <v>40403.983784722222</v>
      </c>
      <c r="C347">
        <v>80</v>
      </c>
      <c r="D347">
        <v>79.852256775000001</v>
      </c>
      <c r="E347">
        <v>50</v>
      </c>
      <c r="F347">
        <v>33.422557830999999</v>
      </c>
      <c r="G347">
        <v>1335.7921143000001</v>
      </c>
      <c r="H347">
        <v>1334.1773682</v>
      </c>
      <c r="I347">
        <v>1326.9952393000001</v>
      </c>
      <c r="J347">
        <v>1325.1265868999999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105.543768</v>
      </c>
      <c r="B348" s="1">
        <f>DATE(2010,8,14) + TIME(13,3,1)</f>
        <v>40404.543761574074</v>
      </c>
      <c r="C348">
        <v>80</v>
      </c>
      <c r="D348">
        <v>79.852325438999998</v>
      </c>
      <c r="E348">
        <v>50</v>
      </c>
      <c r="F348">
        <v>33.779159546000002</v>
      </c>
      <c r="G348">
        <v>1335.7897949000001</v>
      </c>
      <c r="H348">
        <v>1334.1757812000001</v>
      </c>
      <c r="I348">
        <v>1326.9996338000001</v>
      </c>
      <c r="J348">
        <v>1325.1364745999999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106.103746</v>
      </c>
      <c r="B349" s="1">
        <f>DATE(2010,8,15) + TIME(2,29,23)</f>
        <v>40405.103738425925</v>
      </c>
      <c r="C349">
        <v>80</v>
      </c>
      <c r="D349">
        <v>79.852394103999998</v>
      </c>
      <c r="E349">
        <v>50</v>
      </c>
      <c r="F349">
        <v>34.127456664999997</v>
      </c>
      <c r="G349">
        <v>1335.7874756000001</v>
      </c>
      <c r="H349">
        <v>1334.1740723</v>
      </c>
      <c r="I349">
        <v>1327.0040283000001</v>
      </c>
      <c r="J349">
        <v>1325.1463623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106.663725</v>
      </c>
      <c r="B350" s="1">
        <f>DATE(2010,8,15) + TIME(15,55,45)</f>
        <v>40405.663715277777</v>
      </c>
      <c r="C350">
        <v>80</v>
      </c>
      <c r="D350">
        <v>79.852462768999999</v>
      </c>
      <c r="E350">
        <v>50</v>
      </c>
      <c r="F350">
        <v>34.468250275000003</v>
      </c>
      <c r="G350">
        <v>1335.7852783000001</v>
      </c>
      <c r="H350">
        <v>1334.1724853999999</v>
      </c>
      <c r="I350">
        <v>1327.0085449000001</v>
      </c>
      <c r="J350">
        <v>1325.1561279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107.223703</v>
      </c>
      <c r="B351" s="1">
        <f>DATE(2010,8,16) + TIME(5,22,7)</f>
        <v>40406.223692129628</v>
      </c>
      <c r="C351">
        <v>80</v>
      </c>
      <c r="D351">
        <v>79.852531432999996</v>
      </c>
      <c r="E351">
        <v>50</v>
      </c>
      <c r="F351">
        <v>34.801937103</v>
      </c>
      <c r="G351">
        <v>1335.7829589999999</v>
      </c>
      <c r="H351">
        <v>1334.1708983999999</v>
      </c>
      <c r="I351">
        <v>1327.0131836</v>
      </c>
      <c r="J351">
        <v>1325.1658935999999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107.783682</v>
      </c>
      <c r="B352" s="1">
        <f>DATE(2010,8,16) + TIME(18,48,30)</f>
        <v>40406.783680555556</v>
      </c>
      <c r="C352">
        <v>80</v>
      </c>
      <c r="D352">
        <v>79.852600097999996</v>
      </c>
      <c r="E352">
        <v>50</v>
      </c>
      <c r="F352">
        <v>35.129138947000001</v>
      </c>
      <c r="G352">
        <v>1335.7807617000001</v>
      </c>
      <c r="H352">
        <v>1334.1693115</v>
      </c>
      <c r="I352">
        <v>1327.0178223</v>
      </c>
      <c r="J352">
        <v>1325.1755370999999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108.34366</v>
      </c>
      <c r="B353" s="1">
        <f>DATE(2010,8,17) + TIME(8,14,52)</f>
        <v>40407.343657407408</v>
      </c>
      <c r="C353">
        <v>80</v>
      </c>
      <c r="D353">
        <v>79.852668761999993</v>
      </c>
      <c r="E353">
        <v>50</v>
      </c>
      <c r="F353">
        <v>35.450378418</v>
      </c>
      <c r="G353">
        <v>1335.7785644999999</v>
      </c>
      <c r="H353">
        <v>1334.1678466999999</v>
      </c>
      <c r="I353">
        <v>1327.0225829999999</v>
      </c>
      <c r="J353">
        <v>1325.1851807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108.903638</v>
      </c>
      <c r="B354" s="1">
        <f>DATE(2010,8,17) + TIME(21,41,14)</f>
        <v>40407.903634259259</v>
      </c>
      <c r="C354">
        <v>80</v>
      </c>
      <c r="D354">
        <v>79.852737426999994</v>
      </c>
      <c r="E354">
        <v>50</v>
      </c>
      <c r="F354">
        <v>35.766124724999997</v>
      </c>
      <c r="G354">
        <v>1335.7763672000001</v>
      </c>
      <c r="H354">
        <v>1334.1662598</v>
      </c>
      <c r="I354">
        <v>1327.0273437999999</v>
      </c>
      <c r="J354">
        <v>1325.1949463000001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109.463617</v>
      </c>
      <c r="B355" s="1">
        <f>DATE(2010,8,18) + TIME(11,7,36)</f>
        <v>40408.46361111111</v>
      </c>
      <c r="C355">
        <v>80</v>
      </c>
      <c r="D355">
        <v>79.852806091000005</v>
      </c>
      <c r="E355">
        <v>50</v>
      </c>
      <c r="F355">
        <v>36.076763153000002</v>
      </c>
      <c r="G355">
        <v>1335.7741699000001</v>
      </c>
      <c r="H355">
        <v>1334.1647949000001</v>
      </c>
      <c r="I355">
        <v>1327.0322266000001</v>
      </c>
      <c r="J355">
        <v>1325.2045897999999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110.023595</v>
      </c>
      <c r="B356" s="1">
        <f>DATE(2010,8,19) + TIME(0,33,58)</f>
        <v>40409.023587962962</v>
      </c>
      <c r="C356">
        <v>80</v>
      </c>
      <c r="D356">
        <v>79.852882385000001</v>
      </c>
      <c r="E356">
        <v>50</v>
      </c>
      <c r="F356">
        <v>36.382610321000001</v>
      </c>
      <c r="G356">
        <v>1335.7720947</v>
      </c>
      <c r="H356">
        <v>1334.1632079999999</v>
      </c>
      <c r="I356">
        <v>1327.0372314000001</v>
      </c>
      <c r="J356">
        <v>1325.2142334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110.583574</v>
      </c>
      <c r="B357" s="1">
        <f>DATE(2010,8,19) + TIME(14,0,20)</f>
        <v>40409.583564814813</v>
      </c>
      <c r="C357">
        <v>80</v>
      </c>
      <c r="D357">
        <v>79.852951050000001</v>
      </c>
      <c r="E357">
        <v>50</v>
      </c>
      <c r="F357">
        <v>36.683944701999998</v>
      </c>
      <c r="G357">
        <v>1335.7698975000001</v>
      </c>
      <c r="H357">
        <v>1334.1617432</v>
      </c>
      <c r="I357">
        <v>1327.0421143000001</v>
      </c>
      <c r="J357">
        <v>1325.2237548999999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111.70353</v>
      </c>
      <c r="B358" s="1">
        <f>DATE(2010,8,20) + TIME(16,53,5)</f>
        <v>40410.703530092593</v>
      </c>
      <c r="C358">
        <v>80</v>
      </c>
      <c r="D358">
        <v>79.853126525999997</v>
      </c>
      <c r="E358">
        <v>50</v>
      </c>
      <c r="F358">
        <v>37.177848816000001</v>
      </c>
      <c r="G358">
        <v>1335.7677002</v>
      </c>
      <c r="H358">
        <v>1334.1601562000001</v>
      </c>
      <c r="I358">
        <v>1327.0443115</v>
      </c>
      <c r="J358">
        <v>1325.2352295000001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112.823824</v>
      </c>
      <c r="B359" s="1">
        <f>DATE(2010,8,21) + TIME(19,46,18)</f>
        <v>40411.823819444442</v>
      </c>
      <c r="C359">
        <v>80</v>
      </c>
      <c r="D359">
        <v>79.853279114000003</v>
      </c>
      <c r="E359">
        <v>50</v>
      </c>
      <c r="F359">
        <v>37.691665649000001</v>
      </c>
      <c r="G359">
        <v>1335.7636719</v>
      </c>
      <c r="H359">
        <v>1334.1573486</v>
      </c>
      <c r="I359">
        <v>1327.0549315999999</v>
      </c>
      <c r="J359">
        <v>1325.2526855000001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113.962045</v>
      </c>
      <c r="B360" s="1">
        <f>DATE(2010,8,22) + TIME(23,5,20)</f>
        <v>40412.962037037039</v>
      </c>
      <c r="C360">
        <v>80</v>
      </c>
      <c r="D360">
        <v>79.853439331000004</v>
      </c>
      <c r="E360">
        <v>50</v>
      </c>
      <c r="F360">
        <v>38.220077515</v>
      </c>
      <c r="G360">
        <v>1335.7595214999999</v>
      </c>
      <c r="H360">
        <v>1334.1545410000001</v>
      </c>
      <c r="I360">
        <v>1327.0654297000001</v>
      </c>
      <c r="J360">
        <v>1325.2706298999999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115.12255500000001</v>
      </c>
      <c r="B361" s="1">
        <f>DATE(2010,8,24) + TIME(2,56,28)</f>
        <v>40414.122546296298</v>
      </c>
      <c r="C361">
        <v>80</v>
      </c>
      <c r="D361">
        <v>79.853591918999996</v>
      </c>
      <c r="E361">
        <v>50</v>
      </c>
      <c r="F361">
        <v>38.758338928000001</v>
      </c>
      <c r="G361">
        <v>1335.7554932</v>
      </c>
      <c r="H361">
        <v>1334.1517334</v>
      </c>
      <c r="I361">
        <v>1327.0760498</v>
      </c>
      <c r="J361">
        <v>1325.2893065999999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116.308836</v>
      </c>
      <c r="B362" s="1">
        <f>DATE(2010,8,25) + TIME(7,24,43)</f>
        <v>40415.308831018519</v>
      </c>
      <c r="C362">
        <v>80</v>
      </c>
      <c r="D362">
        <v>79.853752135999997</v>
      </c>
      <c r="E362">
        <v>50</v>
      </c>
      <c r="F362">
        <v>39.303436279000003</v>
      </c>
      <c r="G362">
        <v>1335.7514647999999</v>
      </c>
      <c r="H362">
        <v>1334.1489257999999</v>
      </c>
      <c r="I362">
        <v>1327.0869141000001</v>
      </c>
      <c r="J362">
        <v>1325.3083495999999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117.5247</v>
      </c>
      <c r="B363" s="1">
        <f>DATE(2010,8,26) + TIME(12,35,34)</f>
        <v>40416.524699074071</v>
      </c>
      <c r="C363">
        <v>80</v>
      </c>
      <c r="D363">
        <v>79.853912354000002</v>
      </c>
      <c r="E363">
        <v>50</v>
      </c>
      <c r="F363">
        <v>39.853664397999999</v>
      </c>
      <c r="G363">
        <v>1335.7474365</v>
      </c>
      <c r="H363">
        <v>1334.1461182</v>
      </c>
      <c r="I363">
        <v>1327.0981445</v>
      </c>
      <c r="J363">
        <v>1325.328125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118.774412</v>
      </c>
      <c r="B364" s="1">
        <f>DATE(2010,8,27) + TIME(18,35,9)</f>
        <v>40417.774409722224</v>
      </c>
      <c r="C364">
        <v>80</v>
      </c>
      <c r="D364">
        <v>79.854080199999999</v>
      </c>
      <c r="E364">
        <v>50</v>
      </c>
      <c r="F364">
        <v>40.408340453999998</v>
      </c>
      <c r="G364">
        <v>1335.7434082</v>
      </c>
      <c r="H364">
        <v>1334.1434326000001</v>
      </c>
      <c r="I364">
        <v>1327.1096190999999</v>
      </c>
      <c r="J364">
        <v>1325.3482666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120.062682</v>
      </c>
      <c r="B365" s="1">
        <f>DATE(2010,8,29) + TIME(1,30,15)</f>
        <v>40419.062673611108</v>
      </c>
      <c r="C365">
        <v>80</v>
      </c>
      <c r="D365">
        <v>79.854255675999994</v>
      </c>
      <c r="E365">
        <v>50</v>
      </c>
      <c r="F365">
        <v>40.967243195000002</v>
      </c>
      <c r="G365">
        <v>1335.7392577999999</v>
      </c>
      <c r="H365">
        <v>1334.140625</v>
      </c>
      <c r="I365">
        <v>1327.1213379000001</v>
      </c>
      <c r="J365">
        <v>1325.3690185999999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120.7111</v>
      </c>
      <c r="B366" s="1">
        <f>DATE(2010,8,29) + TIME(17,3,59)</f>
        <v>40419.711099537039</v>
      </c>
      <c r="C366">
        <v>80</v>
      </c>
      <c r="D366">
        <v>79.854324340999995</v>
      </c>
      <c r="E366">
        <v>50</v>
      </c>
      <c r="F366">
        <v>41.309803008999999</v>
      </c>
      <c r="G366">
        <v>1335.7352295000001</v>
      </c>
      <c r="H366">
        <v>1334.1379394999999</v>
      </c>
      <c r="I366">
        <v>1327.1363524999999</v>
      </c>
      <c r="J366">
        <v>1325.3881836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121.35776</v>
      </c>
      <c r="B367" s="1">
        <f>DATE(2010,8,30) + TIME(8,35,10)</f>
        <v>40420.357754629629</v>
      </c>
      <c r="C367">
        <v>80</v>
      </c>
      <c r="D367">
        <v>79.854393005000006</v>
      </c>
      <c r="E367">
        <v>50</v>
      </c>
      <c r="F367">
        <v>41.633598327999998</v>
      </c>
      <c r="G367">
        <v>1335.7332764</v>
      </c>
      <c r="H367">
        <v>1334.1364745999999</v>
      </c>
      <c r="I367">
        <v>1327.1424560999999</v>
      </c>
      <c r="J367">
        <v>1325.4002685999999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122.004125</v>
      </c>
      <c r="B368" s="1">
        <f>DATE(2010,8,31) + TIME(0,5,56)</f>
        <v>40421.004120370373</v>
      </c>
      <c r="C368">
        <v>80</v>
      </c>
      <c r="D368">
        <v>79.854476929</v>
      </c>
      <c r="E368">
        <v>50</v>
      </c>
      <c r="F368">
        <v>41.942623138000002</v>
      </c>
      <c r="G368">
        <v>1335.7312012</v>
      </c>
      <c r="H368">
        <v>1334.1351318</v>
      </c>
      <c r="I368">
        <v>1327.1485596</v>
      </c>
      <c r="J368">
        <v>1325.4119873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123</v>
      </c>
      <c r="B369" s="1">
        <f>DATE(2010,9,1) + TIME(0,0,0)</f>
        <v>40422</v>
      </c>
      <c r="C369">
        <v>80</v>
      </c>
      <c r="D369">
        <v>79.854614257999998</v>
      </c>
      <c r="E369">
        <v>50</v>
      </c>
      <c r="F369">
        <v>42.348205565999997</v>
      </c>
      <c r="G369">
        <v>1335.7292480000001</v>
      </c>
      <c r="H369">
        <v>1334.1337891000001</v>
      </c>
      <c r="I369">
        <v>1327.1533202999999</v>
      </c>
      <c r="J369">
        <v>1325.4245605000001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123.646365</v>
      </c>
      <c r="B370" s="1">
        <f>DATE(2010,9,1) + TIME(15,30,45)</f>
        <v>40422.646354166667</v>
      </c>
      <c r="C370">
        <v>80</v>
      </c>
      <c r="D370">
        <v>79.854690551999994</v>
      </c>
      <c r="E370">
        <v>50</v>
      </c>
      <c r="F370">
        <v>42.641921996999997</v>
      </c>
      <c r="G370">
        <v>1335.7263184000001</v>
      </c>
      <c r="H370">
        <v>1334.1318358999999</v>
      </c>
      <c r="I370">
        <v>1327.1641846</v>
      </c>
      <c r="J370">
        <v>1325.4396973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124.29273000000001</v>
      </c>
      <c r="B371" s="1">
        <f>DATE(2010,9,2) + TIME(7,1,31)</f>
        <v>40423.292719907404</v>
      </c>
      <c r="C371">
        <v>80</v>
      </c>
      <c r="D371">
        <v>79.854774474999999</v>
      </c>
      <c r="E371">
        <v>50</v>
      </c>
      <c r="F371">
        <v>42.925075530999997</v>
      </c>
      <c r="G371">
        <v>1335.7243652</v>
      </c>
      <c r="H371">
        <v>1334.1304932</v>
      </c>
      <c r="I371">
        <v>1327.1704102000001</v>
      </c>
      <c r="J371">
        <v>1325.4509277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124.93909499999999</v>
      </c>
      <c r="B372" s="1">
        <f>DATE(2010,9,2) + TIME(22,32,17)</f>
        <v>40423.939085648148</v>
      </c>
      <c r="C372">
        <v>80</v>
      </c>
      <c r="D372">
        <v>79.854858398000005</v>
      </c>
      <c r="E372">
        <v>50</v>
      </c>
      <c r="F372">
        <v>43.199340820000003</v>
      </c>
      <c r="G372">
        <v>1335.7224120999999</v>
      </c>
      <c r="H372">
        <v>1334.1292725000001</v>
      </c>
      <c r="I372">
        <v>1327.1765137</v>
      </c>
      <c r="J372">
        <v>1325.4620361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126.231825</v>
      </c>
      <c r="B373" s="1">
        <f>DATE(2010,9,4) + TIME(5,33,49)</f>
        <v>40425.231817129628</v>
      </c>
      <c r="C373">
        <v>80</v>
      </c>
      <c r="D373">
        <v>79.855064392000003</v>
      </c>
      <c r="E373">
        <v>50</v>
      </c>
      <c r="F373">
        <v>43.629909515000001</v>
      </c>
      <c r="G373">
        <v>1335.7204589999999</v>
      </c>
      <c r="H373">
        <v>1334.1279297000001</v>
      </c>
      <c r="I373">
        <v>1327.1807861</v>
      </c>
      <c r="J373">
        <v>1325.4747314000001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127.526033</v>
      </c>
      <c r="B374" s="1">
        <f>DATE(2010,9,5) + TIME(12,37,29)</f>
        <v>40426.526030092595</v>
      </c>
      <c r="C374">
        <v>80</v>
      </c>
      <c r="D374">
        <v>79.855255127000007</v>
      </c>
      <c r="E374">
        <v>50</v>
      </c>
      <c r="F374">
        <v>44.078559875000003</v>
      </c>
      <c r="G374">
        <v>1335.7167969</v>
      </c>
      <c r="H374">
        <v>1334.1254882999999</v>
      </c>
      <c r="I374">
        <v>1327.1929932</v>
      </c>
      <c r="J374">
        <v>1325.4937743999999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128.832942</v>
      </c>
      <c r="B375" s="1">
        <f>DATE(2010,9,6) + TIME(19,59,26)</f>
        <v>40427.832939814813</v>
      </c>
      <c r="C375">
        <v>80</v>
      </c>
      <c r="D375">
        <v>79.855438231999997</v>
      </c>
      <c r="E375">
        <v>50</v>
      </c>
      <c r="F375">
        <v>44.535964966000002</v>
      </c>
      <c r="G375">
        <v>1335.7132568</v>
      </c>
      <c r="H375">
        <v>1334.1230469</v>
      </c>
      <c r="I375">
        <v>1327.2052002</v>
      </c>
      <c r="J375">
        <v>1325.5133057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130.15620699999999</v>
      </c>
      <c r="B376" s="1">
        <f>DATE(2010,9,8) + TIME(3,44,56)</f>
        <v>40429.1562037037</v>
      </c>
      <c r="C376">
        <v>80</v>
      </c>
      <c r="D376">
        <v>79.855628967000001</v>
      </c>
      <c r="E376">
        <v>50</v>
      </c>
      <c r="F376">
        <v>44.996269226000003</v>
      </c>
      <c r="G376">
        <v>1335.7097168</v>
      </c>
      <c r="H376">
        <v>1334.1207274999999</v>
      </c>
      <c r="I376">
        <v>1327.2174072</v>
      </c>
      <c r="J376">
        <v>1325.5330810999999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131.500021</v>
      </c>
      <c r="B377" s="1">
        <f>DATE(2010,9,9) + TIME(12,0,1)</f>
        <v>40430.500011574077</v>
      </c>
      <c r="C377">
        <v>80</v>
      </c>
      <c r="D377">
        <v>79.855812072999996</v>
      </c>
      <c r="E377">
        <v>50</v>
      </c>
      <c r="F377">
        <v>45.456329345999997</v>
      </c>
      <c r="G377">
        <v>1335.7061768000001</v>
      </c>
      <c r="H377">
        <v>1334.1184082</v>
      </c>
      <c r="I377">
        <v>1327.2296143000001</v>
      </c>
      <c r="J377">
        <v>1325.5531006000001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132.86861099999999</v>
      </c>
      <c r="B378" s="1">
        <f>DATE(2010,9,10) + TIME(20,50,47)</f>
        <v>40431.86859953704</v>
      </c>
      <c r="C378">
        <v>80</v>
      </c>
      <c r="D378">
        <v>79.856010436999995</v>
      </c>
      <c r="E378">
        <v>50</v>
      </c>
      <c r="F378">
        <v>45.914592743</v>
      </c>
      <c r="G378">
        <v>1335.7026367000001</v>
      </c>
      <c r="H378">
        <v>1334.1160889</v>
      </c>
      <c r="I378">
        <v>1327.2420654</v>
      </c>
      <c r="J378">
        <v>1325.5732422000001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134.26649900000001</v>
      </c>
      <c r="B379" s="1">
        <f>DATE(2010,9,12) + TIME(6,23,45)</f>
        <v>40433.266493055555</v>
      </c>
      <c r="C379">
        <v>80</v>
      </c>
      <c r="D379">
        <v>79.856201171999999</v>
      </c>
      <c r="E379">
        <v>50</v>
      </c>
      <c r="F379">
        <v>46.370536803999997</v>
      </c>
      <c r="G379">
        <v>1335.6992187999999</v>
      </c>
      <c r="H379">
        <v>1334.1138916</v>
      </c>
      <c r="I379">
        <v>1327.2545166</v>
      </c>
      <c r="J379">
        <v>1325.5935059000001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135.69376399999999</v>
      </c>
      <c r="B380" s="1">
        <f>DATE(2010,9,13) + TIME(16,39,1)</f>
        <v>40434.693761574075</v>
      </c>
      <c r="C380">
        <v>80</v>
      </c>
      <c r="D380">
        <v>79.856407165999997</v>
      </c>
      <c r="E380">
        <v>50</v>
      </c>
      <c r="F380">
        <v>46.823322296000001</v>
      </c>
      <c r="G380">
        <v>1335.6958007999999</v>
      </c>
      <c r="H380">
        <v>1334.1115723</v>
      </c>
      <c r="I380">
        <v>1327.2672118999999</v>
      </c>
      <c r="J380">
        <v>1325.6140137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137.146737</v>
      </c>
      <c r="B381" s="1">
        <f>DATE(2010,9,15) + TIME(3,31,18)</f>
        <v>40436.146736111114</v>
      </c>
      <c r="C381">
        <v>80</v>
      </c>
      <c r="D381">
        <v>79.856613159000005</v>
      </c>
      <c r="E381">
        <v>50</v>
      </c>
      <c r="F381">
        <v>47.271736144999998</v>
      </c>
      <c r="G381">
        <v>1335.6922606999999</v>
      </c>
      <c r="H381">
        <v>1334.109375</v>
      </c>
      <c r="I381">
        <v>1327.2800293</v>
      </c>
      <c r="J381">
        <v>1325.6346435999999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138.62633500000001</v>
      </c>
      <c r="B382" s="1">
        <f>DATE(2010,9,16) + TIME(15,1,55)</f>
        <v>40437.626331018517</v>
      </c>
      <c r="C382">
        <v>80</v>
      </c>
      <c r="D382">
        <v>79.856819153000004</v>
      </c>
      <c r="E382">
        <v>50</v>
      </c>
      <c r="F382">
        <v>47.715122223000002</v>
      </c>
      <c r="G382">
        <v>1335.6889647999999</v>
      </c>
      <c r="H382">
        <v>1334.1071777</v>
      </c>
      <c r="I382">
        <v>1327.2929687999999</v>
      </c>
      <c r="J382">
        <v>1325.6553954999999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139.377982</v>
      </c>
      <c r="B383" s="1">
        <f>DATE(2010,9,17) + TIME(9,4,17)</f>
        <v>40438.377974537034</v>
      </c>
      <c r="C383">
        <v>80</v>
      </c>
      <c r="D383">
        <v>79.856903075999995</v>
      </c>
      <c r="E383">
        <v>50</v>
      </c>
      <c r="F383">
        <v>47.993793488000001</v>
      </c>
      <c r="G383">
        <v>1335.6855469</v>
      </c>
      <c r="H383">
        <v>1334.1051024999999</v>
      </c>
      <c r="I383">
        <v>1327.3076172000001</v>
      </c>
      <c r="J383">
        <v>1325.6744385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140.12570400000001</v>
      </c>
      <c r="B384" s="1">
        <f>DATE(2010,9,18) + TIME(3,1,0)</f>
        <v>40439.125694444447</v>
      </c>
      <c r="C384">
        <v>80</v>
      </c>
      <c r="D384">
        <v>79.856994628999999</v>
      </c>
      <c r="E384">
        <v>50</v>
      </c>
      <c r="F384">
        <v>48.251918793000002</v>
      </c>
      <c r="G384">
        <v>1335.6839600000001</v>
      </c>
      <c r="H384">
        <v>1334.104126</v>
      </c>
      <c r="I384">
        <v>1327.3143310999999</v>
      </c>
      <c r="J384">
        <v>1325.6864014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140.872681</v>
      </c>
      <c r="B385" s="1">
        <f>DATE(2010,9,18) + TIME(20,56,39)</f>
        <v>40439.872673611113</v>
      </c>
      <c r="C385">
        <v>80</v>
      </c>
      <c r="D385">
        <v>79.857093810999999</v>
      </c>
      <c r="E385">
        <v>50</v>
      </c>
      <c r="F385">
        <v>48.494762420999997</v>
      </c>
      <c r="G385">
        <v>1335.682251</v>
      </c>
      <c r="H385">
        <v>1334.1030272999999</v>
      </c>
      <c r="I385">
        <v>1327.3210449000001</v>
      </c>
      <c r="J385">
        <v>1325.697876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141.619586</v>
      </c>
      <c r="B386" s="1">
        <f>DATE(2010,9,19) + TIME(14,52,12)</f>
        <v>40440.619583333333</v>
      </c>
      <c r="C386">
        <v>80</v>
      </c>
      <c r="D386">
        <v>79.857192992999998</v>
      </c>
      <c r="E386">
        <v>50</v>
      </c>
      <c r="F386">
        <v>48.725719452</v>
      </c>
      <c r="G386">
        <v>1335.6806641000001</v>
      </c>
      <c r="H386">
        <v>1334.1020507999999</v>
      </c>
      <c r="I386">
        <v>1327.3277588000001</v>
      </c>
      <c r="J386">
        <v>1325.7091064000001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142.366491</v>
      </c>
      <c r="B387" s="1">
        <f>DATE(2010,9,20) + TIME(8,47,44)</f>
        <v>40441.366481481484</v>
      </c>
      <c r="C387">
        <v>80</v>
      </c>
      <c r="D387">
        <v>79.857292174999998</v>
      </c>
      <c r="E387">
        <v>50</v>
      </c>
      <c r="F387">
        <v>48.947170258</v>
      </c>
      <c r="G387">
        <v>1335.6790771000001</v>
      </c>
      <c r="H387">
        <v>1334.1010742000001</v>
      </c>
      <c r="I387">
        <v>1327.3343506000001</v>
      </c>
      <c r="J387">
        <v>1325.7199707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143.11339599999999</v>
      </c>
      <c r="B388" s="1">
        <f>DATE(2010,9,21) + TIME(2,43,17)</f>
        <v>40442.113391203704</v>
      </c>
      <c r="C388">
        <v>80</v>
      </c>
      <c r="D388">
        <v>79.857398986999996</v>
      </c>
      <c r="E388">
        <v>50</v>
      </c>
      <c r="F388">
        <v>49.160858154000003</v>
      </c>
      <c r="G388">
        <v>1335.6774902</v>
      </c>
      <c r="H388">
        <v>1334.0999756000001</v>
      </c>
      <c r="I388">
        <v>1327.3409423999999</v>
      </c>
      <c r="J388">
        <v>1325.7305908000001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143.86030099999999</v>
      </c>
      <c r="B389" s="1">
        <f>DATE(2010,9,21) + TIME(20,38,49)</f>
        <v>40442.860289351855</v>
      </c>
      <c r="C389">
        <v>80</v>
      </c>
      <c r="D389">
        <v>79.857505798000005</v>
      </c>
      <c r="E389">
        <v>50</v>
      </c>
      <c r="F389">
        <v>49.368064879999999</v>
      </c>
      <c r="G389">
        <v>1335.6759033000001</v>
      </c>
      <c r="H389">
        <v>1334.098999</v>
      </c>
      <c r="I389">
        <v>1327.3474120999999</v>
      </c>
      <c r="J389">
        <v>1325.7410889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144.60720499999999</v>
      </c>
      <c r="B390" s="1">
        <f>DATE(2010,9,22) + TIME(14,34,22)</f>
        <v>40443.607199074075</v>
      </c>
      <c r="C390">
        <v>80</v>
      </c>
      <c r="D390">
        <v>79.857612610000004</v>
      </c>
      <c r="E390">
        <v>50</v>
      </c>
      <c r="F390">
        <v>49.569747925000001</v>
      </c>
      <c r="G390">
        <v>1335.6743164</v>
      </c>
      <c r="H390">
        <v>1334.0981445</v>
      </c>
      <c r="I390">
        <v>1327.3538818</v>
      </c>
      <c r="J390">
        <v>1325.7513428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146.10101499999999</v>
      </c>
      <c r="B391" s="1">
        <f>DATE(2010,9,24) + TIME(2,25,27)</f>
        <v>40445.101006944446</v>
      </c>
      <c r="C391">
        <v>80</v>
      </c>
      <c r="D391">
        <v>79.857849121000001</v>
      </c>
      <c r="E391">
        <v>50</v>
      </c>
      <c r="F391">
        <v>49.878669739000003</v>
      </c>
      <c r="G391">
        <v>1335.6727295000001</v>
      </c>
      <c r="H391">
        <v>1334.0970459</v>
      </c>
      <c r="I391">
        <v>1327.359375</v>
      </c>
      <c r="J391">
        <v>1325.7629394999999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147.59517</v>
      </c>
      <c r="B392" s="1">
        <f>DATE(2010,9,25) + TIME(14,17,2)</f>
        <v>40446.59516203704</v>
      </c>
      <c r="C392">
        <v>80</v>
      </c>
      <c r="D392">
        <v>79.858078003000003</v>
      </c>
      <c r="E392">
        <v>50</v>
      </c>
      <c r="F392">
        <v>50.209949493000003</v>
      </c>
      <c r="G392">
        <v>1335.6697998</v>
      </c>
      <c r="H392">
        <v>1334.0952147999999</v>
      </c>
      <c r="I392">
        <v>1327.371582</v>
      </c>
      <c r="J392">
        <v>1325.7803954999999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149.10571200000001</v>
      </c>
      <c r="B393" s="1">
        <f>DATE(2010,9,27) + TIME(2,32,13)</f>
        <v>40448.105706018519</v>
      </c>
      <c r="C393">
        <v>80</v>
      </c>
      <c r="D393">
        <v>79.858299255000006</v>
      </c>
      <c r="E393">
        <v>50</v>
      </c>
      <c r="F393">
        <v>50.551395415999998</v>
      </c>
      <c r="G393">
        <v>1335.6668701000001</v>
      </c>
      <c r="H393">
        <v>1334.0935059000001</v>
      </c>
      <c r="I393">
        <v>1327.3837891000001</v>
      </c>
      <c r="J393">
        <v>1325.7984618999999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150.63716099999999</v>
      </c>
      <c r="B394" s="1">
        <f>DATE(2010,9,28) + TIME(15,17,30)</f>
        <v>40449.637152777781</v>
      </c>
      <c r="C394">
        <v>80</v>
      </c>
      <c r="D394">
        <v>79.858520507999998</v>
      </c>
      <c r="E394">
        <v>50</v>
      </c>
      <c r="F394">
        <v>50.896358489999997</v>
      </c>
      <c r="G394">
        <v>1335.6639404</v>
      </c>
      <c r="H394">
        <v>1334.0916748</v>
      </c>
      <c r="I394">
        <v>1327.3959961</v>
      </c>
      <c r="J394">
        <v>1325.8170166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152.194445</v>
      </c>
      <c r="B395" s="1">
        <f>DATE(2010,9,30) + TIME(4,40,0)</f>
        <v>40451.194444444445</v>
      </c>
      <c r="C395">
        <v>80</v>
      </c>
      <c r="D395">
        <v>79.858741760000001</v>
      </c>
      <c r="E395">
        <v>50</v>
      </c>
      <c r="F395">
        <v>51.241439819</v>
      </c>
      <c r="G395">
        <v>1335.6610106999999</v>
      </c>
      <c r="H395">
        <v>1334.0899658000001</v>
      </c>
      <c r="I395">
        <v>1327.4084473</v>
      </c>
      <c r="J395">
        <v>1325.8356934000001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153</v>
      </c>
      <c r="B396" s="1">
        <f>DATE(2010,10,1) + TIME(0,0,0)</f>
        <v>40452</v>
      </c>
      <c r="C396">
        <v>80</v>
      </c>
      <c r="D396">
        <v>79.858840942</v>
      </c>
      <c r="E396">
        <v>50</v>
      </c>
      <c r="F396">
        <v>51.465263366999999</v>
      </c>
      <c r="G396">
        <v>1335.6583252</v>
      </c>
      <c r="H396">
        <v>1334.0883789</v>
      </c>
      <c r="I396">
        <v>1327.421875</v>
      </c>
      <c r="J396">
        <v>1325.8531493999999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154.588583</v>
      </c>
      <c r="B397" s="1">
        <f>DATE(2010,10,2) + TIME(14,7,33)</f>
        <v>40453.588576388887</v>
      </c>
      <c r="C397">
        <v>80</v>
      </c>
      <c r="D397">
        <v>79.859077454000001</v>
      </c>
      <c r="E397">
        <v>50</v>
      </c>
      <c r="F397">
        <v>51.784053802000003</v>
      </c>
      <c r="G397">
        <v>1335.6567382999999</v>
      </c>
      <c r="H397">
        <v>1334.0874022999999</v>
      </c>
      <c r="I397">
        <v>1327.4277344</v>
      </c>
      <c r="J397">
        <v>1325.8657227000001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156.233282</v>
      </c>
      <c r="B398" s="1">
        <f>DATE(2010,10,4) + TIME(5,35,55)</f>
        <v>40455.233275462961</v>
      </c>
      <c r="C398">
        <v>80</v>
      </c>
      <c r="D398">
        <v>79.859321593999994</v>
      </c>
      <c r="E398">
        <v>50</v>
      </c>
      <c r="F398">
        <v>52.111686706999997</v>
      </c>
      <c r="G398">
        <v>1335.6539307</v>
      </c>
      <c r="H398">
        <v>1334.0858154</v>
      </c>
      <c r="I398">
        <v>1327.4401855000001</v>
      </c>
      <c r="J398">
        <v>1325.8841553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157.913791</v>
      </c>
      <c r="B399" s="1">
        <f>DATE(2010,10,5) + TIME(21,55,51)</f>
        <v>40456.913784722223</v>
      </c>
      <c r="C399">
        <v>80</v>
      </c>
      <c r="D399">
        <v>79.859565735000004</v>
      </c>
      <c r="E399">
        <v>50</v>
      </c>
      <c r="F399">
        <v>52.442390441999997</v>
      </c>
      <c r="G399">
        <v>1335.6511230000001</v>
      </c>
      <c r="H399">
        <v>1334.0841064000001</v>
      </c>
      <c r="I399">
        <v>1327.4528809000001</v>
      </c>
      <c r="J399">
        <v>1325.9030762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159.628524</v>
      </c>
      <c r="B400" s="1">
        <f>DATE(2010,10,7) + TIME(15,5,4)</f>
        <v>40458.628518518519</v>
      </c>
      <c r="C400">
        <v>80</v>
      </c>
      <c r="D400">
        <v>79.859809874999996</v>
      </c>
      <c r="E400">
        <v>50</v>
      </c>
      <c r="F400">
        <v>52.772914886000002</v>
      </c>
      <c r="G400">
        <v>1335.6484375</v>
      </c>
      <c r="H400">
        <v>1334.0825195</v>
      </c>
      <c r="I400">
        <v>1327.4658202999999</v>
      </c>
      <c r="J400">
        <v>1325.9222411999999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160.49967799999999</v>
      </c>
      <c r="B401" s="1">
        <f>DATE(2010,10,8) + TIME(11,59,32)</f>
        <v>40459.499675925923</v>
      </c>
      <c r="C401">
        <v>80</v>
      </c>
      <c r="D401">
        <v>79.859916686999995</v>
      </c>
      <c r="E401">
        <v>50</v>
      </c>
      <c r="F401">
        <v>52.987606049</v>
      </c>
      <c r="G401">
        <v>1335.6456298999999</v>
      </c>
      <c r="H401">
        <v>1334.0809326000001</v>
      </c>
      <c r="I401">
        <v>1327.4796143000001</v>
      </c>
      <c r="J401">
        <v>1325.9400635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161.37083200000001</v>
      </c>
      <c r="B402" s="1">
        <f>DATE(2010,10,9) + TIME(8,53,59)</f>
        <v>40460.370821759258</v>
      </c>
      <c r="C402">
        <v>80</v>
      </c>
      <c r="D402">
        <v>79.860031128000003</v>
      </c>
      <c r="E402">
        <v>50</v>
      </c>
      <c r="F402">
        <v>53.184661865000002</v>
      </c>
      <c r="G402">
        <v>1335.6442870999999</v>
      </c>
      <c r="H402">
        <v>1334.0802002</v>
      </c>
      <c r="I402">
        <v>1327.4865723</v>
      </c>
      <c r="J402">
        <v>1325.9514160000001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162.240309</v>
      </c>
      <c r="B403" s="1">
        <f>DATE(2010,10,10) + TIME(5,46,2)</f>
        <v>40461.240300925929</v>
      </c>
      <c r="C403">
        <v>80</v>
      </c>
      <c r="D403">
        <v>79.860145568999997</v>
      </c>
      <c r="E403">
        <v>50</v>
      </c>
      <c r="F403">
        <v>53.368377686000002</v>
      </c>
      <c r="G403">
        <v>1335.6429443</v>
      </c>
      <c r="H403">
        <v>1334.0794678</v>
      </c>
      <c r="I403">
        <v>1327.4934082</v>
      </c>
      <c r="J403">
        <v>1325.9622803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163.10879</v>
      </c>
      <c r="B404" s="1">
        <f>DATE(2010,10,11) + TIME(2,36,39)</f>
        <v>40462.108784722222</v>
      </c>
      <c r="C404">
        <v>80</v>
      </c>
      <c r="D404">
        <v>79.860267639</v>
      </c>
      <c r="E404">
        <v>50</v>
      </c>
      <c r="F404">
        <v>53.541873932000001</v>
      </c>
      <c r="G404">
        <v>1335.6416016000001</v>
      </c>
      <c r="H404">
        <v>1334.0787353999999</v>
      </c>
      <c r="I404">
        <v>1327.5001221</v>
      </c>
      <c r="J404">
        <v>1325.9726562000001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163.97707199999999</v>
      </c>
      <c r="B405" s="1">
        <f>DATE(2010,10,11) + TIME(23,26,59)</f>
        <v>40462.977071759262</v>
      </c>
      <c r="C405">
        <v>80</v>
      </c>
      <c r="D405">
        <v>79.860389709000003</v>
      </c>
      <c r="E405">
        <v>50</v>
      </c>
      <c r="F405">
        <v>53.707317351999997</v>
      </c>
      <c r="G405">
        <v>1335.6402588000001</v>
      </c>
      <c r="H405">
        <v>1334.0778809000001</v>
      </c>
      <c r="I405">
        <v>1327.5067139</v>
      </c>
      <c r="J405">
        <v>1325.9827881000001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164.84535500000001</v>
      </c>
      <c r="B406" s="1">
        <f>DATE(2010,10,12) + TIME(20,17,18)</f>
        <v>40463.845347222225</v>
      </c>
      <c r="C406">
        <v>80</v>
      </c>
      <c r="D406">
        <v>79.860511779999996</v>
      </c>
      <c r="E406">
        <v>50</v>
      </c>
      <c r="F406">
        <v>53.866222381999997</v>
      </c>
      <c r="G406">
        <v>1335.6390381000001</v>
      </c>
      <c r="H406">
        <v>1334.0772704999999</v>
      </c>
      <c r="I406">
        <v>1327.5131836</v>
      </c>
      <c r="J406">
        <v>1325.9926757999999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165.71363700000001</v>
      </c>
      <c r="B407" s="1">
        <f>DATE(2010,10,13) + TIME(17,7,38)</f>
        <v>40464.713634259257</v>
      </c>
      <c r="C407">
        <v>80</v>
      </c>
      <c r="D407">
        <v>79.860633849999999</v>
      </c>
      <c r="E407">
        <v>50</v>
      </c>
      <c r="F407">
        <v>54.019653320000003</v>
      </c>
      <c r="G407">
        <v>1335.6376952999999</v>
      </c>
      <c r="H407">
        <v>1334.0765381000001</v>
      </c>
      <c r="I407">
        <v>1327.5195312000001</v>
      </c>
      <c r="J407">
        <v>1326.0023193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166.58192</v>
      </c>
      <c r="B408" s="1">
        <f>DATE(2010,10,14) + TIME(13,57,57)</f>
        <v>40465.581909722219</v>
      </c>
      <c r="C408">
        <v>80</v>
      </c>
      <c r="D408">
        <v>79.860755920000003</v>
      </c>
      <c r="E408">
        <v>50</v>
      </c>
      <c r="F408">
        <v>54.168395996000001</v>
      </c>
      <c r="G408">
        <v>1335.6364745999999</v>
      </c>
      <c r="H408">
        <v>1334.0758057</v>
      </c>
      <c r="I408">
        <v>1327.5258789</v>
      </c>
      <c r="J408">
        <v>1326.0117187999999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168.31848500000001</v>
      </c>
      <c r="B409" s="1">
        <f>DATE(2010,10,16) + TIME(7,38,37)</f>
        <v>40467.318483796298</v>
      </c>
      <c r="C409">
        <v>80</v>
      </c>
      <c r="D409">
        <v>79.861038207999997</v>
      </c>
      <c r="E409">
        <v>50</v>
      </c>
      <c r="F409">
        <v>54.389431000000002</v>
      </c>
      <c r="G409">
        <v>1335.6351318</v>
      </c>
      <c r="H409">
        <v>1334.0750731999999</v>
      </c>
      <c r="I409">
        <v>1327.5317382999999</v>
      </c>
      <c r="J409">
        <v>1326.0220947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170.058391</v>
      </c>
      <c r="B410" s="1">
        <f>DATE(2010,10,18) + TIME(1,24,4)</f>
        <v>40469.058379629627</v>
      </c>
      <c r="C410">
        <v>80</v>
      </c>
      <c r="D410">
        <v>79.861297606999997</v>
      </c>
      <c r="E410">
        <v>50</v>
      </c>
      <c r="F410">
        <v>54.630947112999998</v>
      </c>
      <c r="G410">
        <v>1335.6326904</v>
      </c>
      <c r="H410">
        <v>1334.0737305</v>
      </c>
      <c r="I410">
        <v>1327.5432129000001</v>
      </c>
      <c r="J410">
        <v>1326.0378418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171.82077699999999</v>
      </c>
      <c r="B411" s="1">
        <f>DATE(2010,10,19) + TIME(19,41,55)</f>
        <v>40470.820775462962</v>
      </c>
      <c r="C411">
        <v>80</v>
      </c>
      <c r="D411">
        <v>79.861557007000002</v>
      </c>
      <c r="E411">
        <v>50</v>
      </c>
      <c r="F411">
        <v>54.880329132</v>
      </c>
      <c r="G411">
        <v>1335.630249</v>
      </c>
      <c r="H411">
        <v>1334.0723877</v>
      </c>
      <c r="I411">
        <v>1327.5548096</v>
      </c>
      <c r="J411">
        <v>1326.0540771000001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173.61159699999999</v>
      </c>
      <c r="B412" s="1">
        <f>DATE(2010,10,21) + TIME(14,40,41)</f>
        <v>40472.611585648148</v>
      </c>
      <c r="C412">
        <v>80</v>
      </c>
      <c r="D412">
        <v>79.861816406000003</v>
      </c>
      <c r="E412">
        <v>50</v>
      </c>
      <c r="F412">
        <v>55.131416321000003</v>
      </c>
      <c r="G412">
        <v>1335.6279297000001</v>
      </c>
      <c r="H412">
        <v>1334.0711670000001</v>
      </c>
      <c r="I412">
        <v>1327.5666504000001</v>
      </c>
      <c r="J412">
        <v>1326.0708007999999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175.43686500000001</v>
      </c>
      <c r="B413" s="1">
        <f>DATE(2010,10,23) + TIME(10,29,5)</f>
        <v>40474.436863425923</v>
      </c>
      <c r="C413">
        <v>80</v>
      </c>
      <c r="D413">
        <v>79.862075806000007</v>
      </c>
      <c r="E413">
        <v>50</v>
      </c>
      <c r="F413">
        <v>55.381332397000001</v>
      </c>
      <c r="G413">
        <v>1335.6256103999999</v>
      </c>
      <c r="H413">
        <v>1334.0699463000001</v>
      </c>
      <c r="I413">
        <v>1327.5784911999999</v>
      </c>
      <c r="J413">
        <v>1326.0876464999999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177.303718</v>
      </c>
      <c r="B414" s="1">
        <f>DATE(2010,10,25) + TIME(7,17,21)</f>
        <v>40476.303715277776</v>
      </c>
      <c r="C414">
        <v>80</v>
      </c>
      <c r="D414">
        <v>79.862342834000003</v>
      </c>
      <c r="E414">
        <v>50</v>
      </c>
      <c r="F414">
        <v>55.629001617</v>
      </c>
      <c r="G414">
        <v>1335.6232910000001</v>
      </c>
      <c r="H414">
        <v>1334.0687256000001</v>
      </c>
      <c r="I414">
        <v>1327.5904541</v>
      </c>
      <c r="J414">
        <v>1326.1046143000001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179.20894899999999</v>
      </c>
      <c r="B415" s="1">
        <f>DATE(2010,10,27) + TIME(5,0,53)</f>
        <v>40478.20894675926</v>
      </c>
      <c r="C415">
        <v>80</v>
      </c>
      <c r="D415">
        <v>79.862617493000002</v>
      </c>
      <c r="E415">
        <v>50</v>
      </c>
      <c r="F415">
        <v>55.873546599999997</v>
      </c>
      <c r="G415">
        <v>1335.6209716999999</v>
      </c>
      <c r="H415">
        <v>1334.0675048999999</v>
      </c>
      <c r="I415">
        <v>1327.6024170000001</v>
      </c>
      <c r="J415">
        <v>1326.1217041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181.149944</v>
      </c>
      <c r="B416" s="1">
        <f>DATE(2010,10,29) + TIME(3,35,55)</f>
        <v>40480.149942129632</v>
      </c>
      <c r="C416">
        <v>80</v>
      </c>
      <c r="D416">
        <v>79.862892150999997</v>
      </c>
      <c r="E416">
        <v>50</v>
      </c>
      <c r="F416">
        <v>56.114299774000003</v>
      </c>
      <c r="G416">
        <v>1335.6186522999999</v>
      </c>
      <c r="H416">
        <v>1334.0662841999999</v>
      </c>
      <c r="I416">
        <v>1327.614624</v>
      </c>
      <c r="J416">
        <v>1326.1387939000001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183.134501</v>
      </c>
      <c r="B417" s="1">
        <f>DATE(2010,10,31) + TIME(3,13,40)</f>
        <v>40482.13449074074</v>
      </c>
      <c r="C417">
        <v>80</v>
      </c>
      <c r="D417">
        <v>79.863174438000001</v>
      </c>
      <c r="E417">
        <v>50</v>
      </c>
      <c r="F417">
        <v>56.350727081000002</v>
      </c>
      <c r="G417">
        <v>1335.6163329999999</v>
      </c>
      <c r="H417">
        <v>1334.0651855000001</v>
      </c>
      <c r="I417">
        <v>1327.6267089999999</v>
      </c>
      <c r="J417">
        <v>1326.1558838000001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184</v>
      </c>
      <c r="B418" s="1">
        <f>DATE(2010,11,1) + TIME(0,0,0)</f>
        <v>40483</v>
      </c>
      <c r="C418">
        <v>80</v>
      </c>
      <c r="D418">
        <v>79.863273621000005</v>
      </c>
      <c r="E418">
        <v>50</v>
      </c>
      <c r="F418">
        <v>56.490844727000002</v>
      </c>
      <c r="G418">
        <v>1335.6142577999999</v>
      </c>
      <c r="H418">
        <v>1334.0640868999999</v>
      </c>
      <c r="I418">
        <v>1327.6394043</v>
      </c>
      <c r="J418">
        <v>1326.1716309000001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184.000001</v>
      </c>
      <c r="B419" s="1">
        <f>DATE(2010,11,1) + TIME(0,0,0)</f>
        <v>40483</v>
      </c>
      <c r="C419">
        <v>80</v>
      </c>
      <c r="D419">
        <v>79.863243103000002</v>
      </c>
      <c r="E419">
        <v>50</v>
      </c>
      <c r="F419">
        <v>56.490882874</v>
      </c>
      <c r="G419">
        <v>1333.8472899999999</v>
      </c>
      <c r="H419">
        <v>1333.9274902</v>
      </c>
      <c r="I419">
        <v>1329.2825928</v>
      </c>
      <c r="J419">
        <v>1327.9476318</v>
      </c>
      <c r="K419">
        <v>0</v>
      </c>
      <c r="L419">
        <v>550</v>
      </c>
      <c r="M419">
        <v>550</v>
      </c>
      <c r="N419">
        <v>0</v>
      </c>
    </row>
    <row r="420" spans="1:14" x14ac:dyDescent="0.25">
      <c r="A420">
        <v>184.00000399999999</v>
      </c>
      <c r="B420" s="1">
        <f>DATE(2010,11,1) + TIME(0,0,0)</f>
        <v>40483</v>
      </c>
      <c r="C420">
        <v>80</v>
      </c>
      <c r="D420">
        <v>79.863189696999996</v>
      </c>
      <c r="E420">
        <v>50</v>
      </c>
      <c r="F420">
        <v>56.490947722999998</v>
      </c>
      <c r="G420">
        <v>1333.4772949000001</v>
      </c>
      <c r="H420">
        <v>1333.5908202999999</v>
      </c>
      <c r="I420">
        <v>1329.7126464999999</v>
      </c>
      <c r="J420">
        <v>1328.5067139</v>
      </c>
      <c r="K420">
        <v>0</v>
      </c>
      <c r="L420">
        <v>550</v>
      </c>
      <c r="M420">
        <v>550</v>
      </c>
      <c r="N420">
        <v>0</v>
      </c>
    </row>
    <row r="421" spans="1:14" x14ac:dyDescent="0.25">
      <c r="A421">
        <v>184.000013</v>
      </c>
      <c r="B421" s="1">
        <f>DATE(2010,11,1) + TIME(0,0,1)</f>
        <v>40483.000011574077</v>
      </c>
      <c r="C421">
        <v>80</v>
      </c>
      <c r="D421">
        <v>79.863128661999994</v>
      </c>
      <c r="E421">
        <v>50</v>
      </c>
      <c r="F421">
        <v>56.491016387999998</v>
      </c>
      <c r="G421">
        <v>1333.0255127</v>
      </c>
      <c r="H421">
        <v>1333.1246338000001</v>
      </c>
      <c r="I421">
        <v>1330.4007568</v>
      </c>
      <c r="J421">
        <v>1329.2375488</v>
      </c>
      <c r="K421">
        <v>0</v>
      </c>
      <c r="L421">
        <v>550</v>
      </c>
      <c r="M421">
        <v>550</v>
      </c>
      <c r="N421">
        <v>0</v>
      </c>
    </row>
    <row r="422" spans="1:14" x14ac:dyDescent="0.25">
      <c r="A422">
        <v>184.00004000000001</v>
      </c>
      <c r="B422" s="1">
        <f>DATE(2010,11,1) + TIME(0,0,3)</f>
        <v>40483.000034722223</v>
      </c>
      <c r="C422">
        <v>80</v>
      </c>
      <c r="D422">
        <v>79.863059997999997</v>
      </c>
      <c r="E422">
        <v>50</v>
      </c>
      <c r="F422">
        <v>56.491046906000001</v>
      </c>
      <c r="G422">
        <v>1332.5665283000001</v>
      </c>
      <c r="H422">
        <v>1332.5992432</v>
      </c>
      <c r="I422">
        <v>1331.2390137</v>
      </c>
      <c r="J422">
        <v>1330.0592041</v>
      </c>
      <c r="K422">
        <v>0</v>
      </c>
      <c r="L422">
        <v>550</v>
      </c>
      <c r="M422">
        <v>550</v>
      </c>
      <c r="N422">
        <v>0</v>
      </c>
    </row>
    <row r="423" spans="1:14" x14ac:dyDescent="0.25">
      <c r="A423">
        <v>184.00012100000001</v>
      </c>
      <c r="B423" s="1">
        <f>DATE(2010,11,1) + TIME(0,0,10)</f>
        <v>40483.000115740739</v>
      </c>
      <c r="C423">
        <v>80</v>
      </c>
      <c r="D423">
        <v>79.862976074000002</v>
      </c>
      <c r="E423">
        <v>50</v>
      </c>
      <c r="F423">
        <v>56.490928650000001</v>
      </c>
      <c r="G423">
        <v>1332.0823975000001</v>
      </c>
      <c r="H423">
        <v>1332.0528564000001</v>
      </c>
      <c r="I423">
        <v>1332.1025391000001</v>
      </c>
      <c r="J423">
        <v>1330.9013672000001</v>
      </c>
      <c r="K423">
        <v>0</v>
      </c>
      <c r="L423">
        <v>550</v>
      </c>
      <c r="M423">
        <v>550</v>
      </c>
      <c r="N423">
        <v>0</v>
      </c>
    </row>
    <row r="424" spans="1:14" x14ac:dyDescent="0.25">
      <c r="A424">
        <v>184.00036399999999</v>
      </c>
      <c r="B424" s="1">
        <f>DATE(2010,11,1) + TIME(0,0,31)</f>
        <v>40483.000358796293</v>
      </c>
      <c r="C424">
        <v>80</v>
      </c>
      <c r="D424">
        <v>79.862884520999998</v>
      </c>
      <c r="E424">
        <v>50</v>
      </c>
      <c r="F424">
        <v>56.490318297999998</v>
      </c>
      <c r="G424">
        <v>1331.5893555</v>
      </c>
      <c r="H424">
        <v>1331.5135498</v>
      </c>
      <c r="I424">
        <v>1332.9078368999999</v>
      </c>
      <c r="J424">
        <v>1331.6705322</v>
      </c>
      <c r="K424">
        <v>0</v>
      </c>
      <c r="L424">
        <v>550</v>
      </c>
      <c r="M424">
        <v>550</v>
      </c>
      <c r="N424">
        <v>0</v>
      </c>
    </row>
    <row r="425" spans="1:14" x14ac:dyDescent="0.25">
      <c r="A425">
        <v>184.001093</v>
      </c>
      <c r="B425" s="1">
        <f>DATE(2010,11,1) + TIME(0,1,34)</f>
        <v>40483.001087962963</v>
      </c>
      <c r="C425">
        <v>80</v>
      </c>
      <c r="D425">
        <v>79.862739563000005</v>
      </c>
      <c r="E425">
        <v>50</v>
      </c>
      <c r="F425">
        <v>56.488178253000001</v>
      </c>
      <c r="G425">
        <v>1331.1751709</v>
      </c>
      <c r="H425">
        <v>1331.0668945</v>
      </c>
      <c r="I425">
        <v>1333.5306396000001</v>
      </c>
      <c r="J425">
        <v>1332.2440185999999</v>
      </c>
      <c r="K425">
        <v>0</v>
      </c>
      <c r="L425">
        <v>550</v>
      </c>
      <c r="M425">
        <v>550</v>
      </c>
      <c r="N425">
        <v>0</v>
      </c>
    </row>
    <row r="426" spans="1:14" x14ac:dyDescent="0.25">
      <c r="A426">
        <v>184.00327999999999</v>
      </c>
      <c r="B426" s="1">
        <f>DATE(2010,11,1) + TIME(0,4,43)</f>
        <v>40483.003275462965</v>
      </c>
      <c r="C426">
        <v>80</v>
      </c>
      <c r="D426">
        <v>79.862434386999993</v>
      </c>
      <c r="E426">
        <v>50</v>
      </c>
      <c r="F426">
        <v>56.481403350999997</v>
      </c>
      <c r="G426">
        <v>1330.9033202999999</v>
      </c>
      <c r="H426">
        <v>1330.7819824000001</v>
      </c>
      <c r="I426">
        <v>1333.8919678</v>
      </c>
      <c r="J426">
        <v>1332.5675048999999</v>
      </c>
      <c r="K426">
        <v>0</v>
      </c>
      <c r="L426">
        <v>550</v>
      </c>
      <c r="M426">
        <v>550</v>
      </c>
      <c r="N426">
        <v>0</v>
      </c>
    </row>
    <row r="427" spans="1:14" x14ac:dyDescent="0.25">
      <c r="A427">
        <v>184.00984099999999</v>
      </c>
      <c r="B427" s="1">
        <f>DATE(2010,11,1) + TIME(0,14,10)</f>
        <v>40483.009837962964</v>
      </c>
      <c r="C427">
        <v>80</v>
      </c>
      <c r="D427">
        <v>79.861602782999995</v>
      </c>
      <c r="E427">
        <v>50</v>
      </c>
      <c r="F427">
        <v>56.460796356000003</v>
      </c>
      <c r="G427">
        <v>1330.7650146000001</v>
      </c>
      <c r="H427">
        <v>1330.6400146000001</v>
      </c>
      <c r="I427">
        <v>1334.0417480000001</v>
      </c>
      <c r="J427">
        <v>1332.7003173999999</v>
      </c>
      <c r="K427">
        <v>0</v>
      </c>
      <c r="L427">
        <v>550</v>
      </c>
      <c r="M427">
        <v>550</v>
      </c>
      <c r="N427">
        <v>0</v>
      </c>
    </row>
    <row r="428" spans="1:14" x14ac:dyDescent="0.25">
      <c r="A428">
        <v>184.02952400000001</v>
      </c>
      <c r="B428" s="1">
        <f>DATE(2010,11,1) + TIME(0,42,30)</f>
        <v>40483.029513888891</v>
      </c>
      <c r="C428">
        <v>80</v>
      </c>
      <c r="D428">
        <v>79.859161377000007</v>
      </c>
      <c r="E428">
        <v>50</v>
      </c>
      <c r="F428">
        <v>56.399410248000002</v>
      </c>
      <c r="G428">
        <v>1330.713501</v>
      </c>
      <c r="H428">
        <v>1330.5874022999999</v>
      </c>
      <c r="I428">
        <v>1334.0729980000001</v>
      </c>
      <c r="J428">
        <v>1332.7285156</v>
      </c>
      <c r="K428">
        <v>0</v>
      </c>
      <c r="L428">
        <v>550</v>
      </c>
      <c r="M428">
        <v>550</v>
      </c>
      <c r="N428">
        <v>0</v>
      </c>
    </row>
    <row r="429" spans="1:14" x14ac:dyDescent="0.25">
      <c r="A429">
        <v>184.088573</v>
      </c>
      <c r="B429" s="1">
        <f>DATE(2010,11,1) + TIME(2,7,32)</f>
        <v>40483.088564814818</v>
      </c>
      <c r="C429">
        <v>80</v>
      </c>
      <c r="D429">
        <v>79.851860045999999</v>
      </c>
      <c r="E429">
        <v>50</v>
      </c>
      <c r="F429">
        <v>56.221218108999999</v>
      </c>
      <c r="G429">
        <v>1330.7000731999999</v>
      </c>
      <c r="H429">
        <v>1330.5726318</v>
      </c>
      <c r="I429">
        <v>1334.0612793</v>
      </c>
      <c r="J429">
        <v>1332.7205810999999</v>
      </c>
      <c r="K429">
        <v>0</v>
      </c>
      <c r="L429">
        <v>550</v>
      </c>
      <c r="M429">
        <v>550</v>
      </c>
      <c r="N429">
        <v>0</v>
      </c>
    </row>
    <row r="430" spans="1:14" x14ac:dyDescent="0.25">
      <c r="A430">
        <v>184.186331</v>
      </c>
      <c r="B430" s="1">
        <f>DATE(2010,11,1) + TIME(4,28,18)</f>
        <v>40483.186319444445</v>
      </c>
      <c r="C430">
        <v>80</v>
      </c>
      <c r="D430">
        <v>79.839790343999994</v>
      </c>
      <c r="E430">
        <v>50</v>
      </c>
      <c r="F430">
        <v>55.941349029999998</v>
      </c>
      <c r="G430">
        <v>1330.6926269999999</v>
      </c>
      <c r="H430">
        <v>1330.5620117000001</v>
      </c>
      <c r="I430">
        <v>1334.0446777</v>
      </c>
      <c r="J430">
        <v>1332.7087402</v>
      </c>
      <c r="K430">
        <v>0</v>
      </c>
      <c r="L430">
        <v>550</v>
      </c>
      <c r="M430">
        <v>550</v>
      </c>
      <c r="N430">
        <v>0</v>
      </c>
    </row>
    <row r="431" spans="1:14" x14ac:dyDescent="0.25">
      <c r="A431">
        <v>184.28879499999999</v>
      </c>
      <c r="B431" s="1">
        <f>DATE(2010,11,1) + TIME(6,55,51)</f>
        <v>40483.288784722223</v>
      </c>
      <c r="C431">
        <v>80</v>
      </c>
      <c r="D431">
        <v>79.827110290999997</v>
      </c>
      <c r="E431">
        <v>50</v>
      </c>
      <c r="F431">
        <v>55.662776946999998</v>
      </c>
      <c r="G431">
        <v>1330.6832274999999</v>
      </c>
      <c r="H431">
        <v>1330.5480957</v>
      </c>
      <c r="I431">
        <v>1334.0360106999999</v>
      </c>
      <c r="J431">
        <v>1332.7017822</v>
      </c>
      <c r="K431">
        <v>0</v>
      </c>
      <c r="L431">
        <v>550</v>
      </c>
      <c r="M431">
        <v>550</v>
      </c>
      <c r="N431">
        <v>0</v>
      </c>
    </row>
    <row r="432" spans="1:14" x14ac:dyDescent="0.25">
      <c r="A432">
        <v>184.39611600000001</v>
      </c>
      <c r="B432" s="1">
        <f>DATE(2010,11,1) + TIME(9,30,24)</f>
        <v>40483.396111111113</v>
      </c>
      <c r="C432">
        <v>80</v>
      </c>
      <c r="D432">
        <v>79.813796996999997</v>
      </c>
      <c r="E432">
        <v>50</v>
      </c>
      <c r="F432">
        <v>55.386127471999998</v>
      </c>
      <c r="G432">
        <v>1330.6738281</v>
      </c>
      <c r="H432">
        <v>1330.5340576000001</v>
      </c>
      <c r="I432">
        <v>1334.0286865</v>
      </c>
      <c r="J432">
        <v>1332.6956786999999</v>
      </c>
      <c r="K432">
        <v>0</v>
      </c>
      <c r="L432">
        <v>550</v>
      </c>
      <c r="M432">
        <v>550</v>
      </c>
      <c r="N432">
        <v>0</v>
      </c>
    </row>
    <row r="433" spans="1:14" x14ac:dyDescent="0.25">
      <c r="A433">
        <v>184.508701</v>
      </c>
      <c r="B433" s="1">
        <f>DATE(2010,11,1) + TIME(12,12,31)</f>
        <v>40483.508692129632</v>
      </c>
      <c r="C433">
        <v>80</v>
      </c>
      <c r="D433">
        <v>79.799774170000006</v>
      </c>
      <c r="E433">
        <v>50</v>
      </c>
      <c r="F433">
        <v>55.111423492</v>
      </c>
      <c r="G433">
        <v>1330.6644286999999</v>
      </c>
      <c r="H433">
        <v>1330.5198975000001</v>
      </c>
      <c r="I433">
        <v>1334.0228271000001</v>
      </c>
      <c r="J433">
        <v>1332.6904297000001</v>
      </c>
      <c r="K433">
        <v>0</v>
      </c>
      <c r="L433">
        <v>550</v>
      </c>
      <c r="M433">
        <v>550</v>
      </c>
      <c r="N433">
        <v>0</v>
      </c>
    </row>
    <row r="434" spans="1:14" x14ac:dyDescent="0.25">
      <c r="A434">
        <v>184.62699000000001</v>
      </c>
      <c r="B434" s="1">
        <f>DATE(2010,11,1) + TIME(15,2,51)</f>
        <v>40483.626979166664</v>
      </c>
      <c r="C434">
        <v>80</v>
      </c>
      <c r="D434">
        <v>79.784980774000005</v>
      </c>
      <c r="E434">
        <v>50</v>
      </c>
      <c r="F434">
        <v>54.838760376000003</v>
      </c>
      <c r="G434">
        <v>1330.6547852000001</v>
      </c>
      <c r="H434">
        <v>1330.5054932</v>
      </c>
      <c r="I434">
        <v>1334.0184326000001</v>
      </c>
      <c r="J434">
        <v>1332.6861572</v>
      </c>
      <c r="K434">
        <v>0</v>
      </c>
      <c r="L434">
        <v>550</v>
      </c>
      <c r="M434">
        <v>550</v>
      </c>
      <c r="N434">
        <v>0</v>
      </c>
    </row>
    <row r="435" spans="1:14" x14ac:dyDescent="0.25">
      <c r="A435">
        <v>184.75144800000001</v>
      </c>
      <c r="B435" s="1">
        <f>DATE(2010,11,1) + TIME(18,2,5)</f>
        <v>40483.751446759263</v>
      </c>
      <c r="C435">
        <v>80</v>
      </c>
      <c r="D435">
        <v>79.769355774000005</v>
      </c>
      <c r="E435">
        <v>50</v>
      </c>
      <c r="F435">
        <v>54.568302154999998</v>
      </c>
      <c r="G435">
        <v>1330.6451416</v>
      </c>
      <c r="H435">
        <v>1330.4909668</v>
      </c>
      <c r="I435">
        <v>1334.0155029</v>
      </c>
      <c r="J435">
        <v>1332.6829834</v>
      </c>
      <c r="K435">
        <v>0</v>
      </c>
      <c r="L435">
        <v>550</v>
      </c>
      <c r="M435">
        <v>550</v>
      </c>
      <c r="N435">
        <v>0</v>
      </c>
    </row>
    <row r="436" spans="1:14" x14ac:dyDescent="0.25">
      <c r="A436">
        <v>184.88259400000001</v>
      </c>
      <c r="B436" s="1">
        <f>DATE(2010,11,1) + TIME(21,10,56)</f>
        <v>40483.882592592592</v>
      </c>
      <c r="C436">
        <v>80</v>
      </c>
      <c r="D436">
        <v>79.752822875999996</v>
      </c>
      <c r="E436">
        <v>50</v>
      </c>
      <c r="F436">
        <v>54.300243377999998</v>
      </c>
      <c r="G436">
        <v>1330.6352539</v>
      </c>
      <c r="H436">
        <v>1330.4760742000001</v>
      </c>
      <c r="I436">
        <v>1334.0141602000001</v>
      </c>
      <c r="J436">
        <v>1332.6807861</v>
      </c>
      <c r="K436">
        <v>0</v>
      </c>
      <c r="L436">
        <v>550</v>
      </c>
      <c r="M436">
        <v>550</v>
      </c>
      <c r="N436">
        <v>0</v>
      </c>
    </row>
    <row r="437" spans="1:14" x14ac:dyDescent="0.25">
      <c r="A437">
        <v>185.02100799999999</v>
      </c>
      <c r="B437" s="1">
        <f>DATE(2010,11,2) + TIME(0,30,15)</f>
        <v>40484.021006944444</v>
      </c>
      <c r="C437">
        <v>80</v>
      </c>
      <c r="D437">
        <v>79.735313415999997</v>
      </c>
      <c r="E437">
        <v>50</v>
      </c>
      <c r="F437">
        <v>54.034809113000001</v>
      </c>
      <c r="G437">
        <v>1330.6252440999999</v>
      </c>
      <c r="H437">
        <v>1330.4610596</v>
      </c>
      <c r="I437">
        <v>1334.0146483999999</v>
      </c>
      <c r="J437">
        <v>1332.6798096</v>
      </c>
      <c r="K437">
        <v>0</v>
      </c>
      <c r="L437">
        <v>550</v>
      </c>
      <c r="M437">
        <v>550</v>
      </c>
      <c r="N437">
        <v>0</v>
      </c>
    </row>
    <row r="438" spans="1:14" x14ac:dyDescent="0.25">
      <c r="A438">
        <v>185.167338</v>
      </c>
      <c r="B438" s="1">
        <f>DATE(2010,11,2) + TIME(4,0,58)</f>
        <v>40484.167337962965</v>
      </c>
      <c r="C438">
        <v>80</v>
      </c>
      <c r="D438">
        <v>79.716743468999994</v>
      </c>
      <c r="E438">
        <v>50</v>
      </c>
      <c r="F438">
        <v>53.772266387999998</v>
      </c>
      <c r="G438">
        <v>1330.6151123</v>
      </c>
      <c r="H438">
        <v>1330.4456786999999</v>
      </c>
      <c r="I438">
        <v>1334.0169678</v>
      </c>
      <c r="J438">
        <v>1332.6799315999999</v>
      </c>
      <c r="K438">
        <v>0</v>
      </c>
      <c r="L438">
        <v>550</v>
      </c>
      <c r="M438">
        <v>550</v>
      </c>
      <c r="N438">
        <v>0</v>
      </c>
    </row>
    <row r="439" spans="1:14" x14ac:dyDescent="0.25">
      <c r="A439">
        <v>185.32231400000001</v>
      </c>
      <c r="B439" s="1">
        <f>DATE(2010,11,2) + TIME(7,44,7)</f>
        <v>40484.32230324074</v>
      </c>
      <c r="C439">
        <v>80</v>
      </c>
      <c r="D439">
        <v>79.697006225999999</v>
      </c>
      <c r="E439">
        <v>50</v>
      </c>
      <c r="F439">
        <v>53.512916564999998</v>
      </c>
      <c r="G439">
        <v>1330.6047363</v>
      </c>
      <c r="H439">
        <v>1330.4300536999999</v>
      </c>
      <c r="I439">
        <v>1334.0211182</v>
      </c>
      <c r="J439">
        <v>1332.6813964999999</v>
      </c>
      <c r="K439">
        <v>0</v>
      </c>
      <c r="L439">
        <v>550</v>
      </c>
      <c r="M439">
        <v>550</v>
      </c>
      <c r="N439">
        <v>0</v>
      </c>
    </row>
    <row r="440" spans="1:14" x14ac:dyDescent="0.25">
      <c r="A440">
        <v>185.48675700000001</v>
      </c>
      <c r="B440" s="1">
        <f>DATE(2010,11,2) + TIME(11,40,55)</f>
        <v>40484.486747685187</v>
      </c>
      <c r="C440">
        <v>80</v>
      </c>
      <c r="D440">
        <v>79.676010132000002</v>
      </c>
      <c r="E440">
        <v>50</v>
      </c>
      <c r="F440">
        <v>53.25711441</v>
      </c>
      <c r="G440">
        <v>1330.5942382999999</v>
      </c>
      <c r="H440">
        <v>1330.4140625</v>
      </c>
      <c r="I440">
        <v>1334.0273437999999</v>
      </c>
      <c r="J440">
        <v>1332.684082</v>
      </c>
      <c r="K440">
        <v>0</v>
      </c>
      <c r="L440">
        <v>550</v>
      </c>
      <c r="M440">
        <v>550</v>
      </c>
      <c r="N440">
        <v>0</v>
      </c>
    </row>
    <row r="441" spans="1:14" x14ac:dyDescent="0.25">
      <c r="A441">
        <v>185.659684</v>
      </c>
      <c r="B441" s="1">
        <f>DATE(2010,11,2) + TIME(15,49,56)</f>
        <v>40484.659675925926</v>
      </c>
      <c r="C441">
        <v>80</v>
      </c>
      <c r="D441">
        <v>79.653869628999999</v>
      </c>
      <c r="E441">
        <v>50</v>
      </c>
      <c r="F441">
        <v>53.007804870999998</v>
      </c>
      <c r="G441">
        <v>1330.5834961</v>
      </c>
      <c r="H441">
        <v>1330.3977050999999</v>
      </c>
      <c r="I441">
        <v>1334.0358887</v>
      </c>
      <c r="J441">
        <v>1332.6883545000001</v>
      </c>
      <c r="K441">
        <v>0</v>
      </c>
      <c r="L441">
        <v>550</v>
      </c>
      <c r="M441">
        <v>550</v>
      </c>
      <c r="N441">
        <v>0</v>
      </c>
    </row>
    <row r="442" spans="1:14" x14ac:dyDescent="0.25">
      <c r="A442">
        <v>185.838415</v>
      </c>
      <c r="B442" s="1">
        <f>DATE(2010,11,2) + TIME(20,7,19)</f>
        <v>40484.838414351849</v>
      </c>
      <c r="C442">
        <v>80</v>
      </c>
      <c r="D442">
        <v>79.630920410000002</v>
      </c>
      <c r="E442">
        <v>50</v>
      </c>
      <c r="F442">
        <v>52.769401549999998</v>
      </c>
      <c r="G442">
        <v>1330.5727539</v>
      </c>
      <c r="H442">
        <v>1330.3812256000001</v>
      </c>
      <c r="I442">
        <v>1334.0469971</v>
      </c>
      <c r="J442">
        <v>1332.6943358999999</v>
      </c>
      <c r="K442">
        <v>0</v>
      </c>
      <c r="L442">
        <v>550</v>
      </c>
      <c r="M442">
        <v>550</v>
      </c>
      <c r="N442">
        <v>0</v>
      </c>
    </row>
    <row r="443" spans="1:14" x14ac:dyDescent="0.25">
      <c r="A443">
        <v>186.02352500000001</v>
      </c>
      <c r="B443" s="1">
        <f>DATE(2010,11,3) + TIME(0,33,52)</f>
        <v>40485.023518518516</v>
      </c>
      <c r="C443">
        <v>80</v>
      </c>
      <c r="D443">
        <v>79.607101439999994</v>
      </c>
      <c r="E443">
        <v>50</v>
      </c>
      <c r="F443">
        <v>52.541484832999998</v>
      </c>
      <c r="G443">
        <v>1330.5620117000001</v>
      </c>
      <c r="H443">
        <v>1330.3648682</v>
      </c>
      <c r="I443">
        <v>1334.0599365</v>
      </c>
      <c r="J443">
        <v>1332.7014160000001</v>
      </c>
      <c r="K443">
        <v>0</v>
      </c>
      <c r="L443">
        <v>550</v>
      </c>
      <c r="M443">
        <v>550</v>
      </c>
      <c r="N443">
        <v>0</v>
      </c>
    </row>
    <row r="444" spans="1:14" x14ac:dyDescent="0.25">
      <c r="A444">
        <v>186.21557799999999</v>
      </c>
      <c r="B444" s="1">
        <f>DATE(2010,11,3) + TIME(5,10,25)</f>
        <v>40485.215567129628</v>
      </c>
      <c r="C444">
        <v>80</v>
      </c>
      <c r="D444">
        <v>79.582344054999993</v>
      </c>
      <c r="E444">
        <v>50</v>
      </c>
      <c r="F444">
        <v>52.323764801000003</v>
      </c>
      <c r="G444">
        <v>1330.5512695</v>
      </c>
      <c r="H444">
        <v>1330.3483887</v>
      </c>
      <c r="I444">
        <v>1334.0744629000001</v>
      </c>
      <c r="J444">
        <v>1332.7095947</v>
      </c>
      <c r="K444">
        <v>0</v>
      </c>
      <c r="L444">
        <v>550</v>
      </c>
      <c r="M444">
        <v>550</v>
      </c>
      <c r="N444">
        <v>0</v>
      </c>
    </row>
    <row r="445" spans="1:14" x14ac:dyDescent="0.25">
      <c r="A445">
        <v>186.41521599999999</v>
      </c>
      <c r="B445" s="1">
        <f>DATE(2010,11,3) + TIME(9,57,54)</f>
        <v>40485.415208333332</v>
      </c>
      <c r="C445">
        <v>80</v>
      </c>
      <c r="D445">
        <v>79.556571959999999</v>
      </c>
      <c r="E445">
        <v>50</v>
      </c>
      <c r="F445">
        <v>52.115997313999998</v>
      </c>
      <c r="G445">
        <v>1330.5405272999999</v>
      </c>
      <c r="H445">
        <v>1330.3319091999999</v>
      </c>
      <c r="I445">
        <v>1334.0905762</v>
      </c>
      <c r="J445">
        <v>1332.7189940999999</v>
      </c>
      <c r="K445">
        <v>0</v>
      </c>
      <c r="L445">
        <v>550</v>
      </c>
      <c r="M445">
        <v>550</v>
      </c>
      <c r="N445">
        <v>0</v>
      </c>
    </row>
    <row r="446" spans="1:14" x14ac:dyDescent="0.25">
      <c r="A446">
        <v>186.623164</v>
      </c>
      <c r="B446" s="1">
        <f>DATE(2010,11,3) + TIME(14,57,21)</f>
        <v>40485.623159722221</v>
      </c>
      <c r="C446">
        <v>80</v>
      </c>
      <c r="D446">
        <v>79.529693604000002</v>
      </c>
      <c r="E446">
        <v>50</v>
      </c>
      <c r="F446">
        <v>51.917984009000001</v>
      </c>
      <c r="G446">
        <v>1330.5296631000001</v>
      </c>
      <c r="H446">
        <v>1330.3154297000001</v>
      </c>
      <c r="I446">
        <v>1334.1081543</v>
      </c>
      <c r="J446">
        <v>1332.7292480000001</v>
      </c>
      <c r="K446">
        <v>0</v>
      </c>
      <c r="L446">
        <v>550</v>
      </c>
      <c r="M446">
        <v>550</v>
      </c>
      <c r="N446">
        <v>0</v>
      </c>
    </row>
    <row r="447" spans="1:14" x14ac:dyDescent="0.25">
      <c r="A447">
        <v>186.84021999999999</v>
      </c>
      <c r="B447" s="1">
        <f>DATE(2010,11,3) + TIME(20,9,54)</f>
        <v>40485.840208333335</v>
      </c>
      <c r="C447">
        <v>80</v>
      </c>
      <c r="D447">
        <v>79.501625060999999</v>
      </c>
      <c r="E447">
        <v>50</v>
      </c>
      <c r="F447">
        <v>51.729564666999998</v>
      </c>
      <c r="G447">
        <v>1330.5187988</v>
      </c>
      <c r="H447">
        <v>1330.2987060999999</v>
      </c>
      <c r="I447">
        <v>1334.1271973</v>
      </c>
      <c r="J447">
        <v>1332.7406006000001</v>
      </c>
      <c r="K447">
        <v>0</v>
      </c>
      <c r="L447">
        <v>550</v>
      </c>
      <c r="M447">
        <v>550</v>
      </c>
      <c r="N447">
        <v>0</v>
      </c>
    </row>
    <row r="448" spans="1:14" x14ac:dyDescent="0.25">
      <c r="A448">
        <v>187.067387</v>
      </c>
      <c r="B448" s="1">
        <f>DATE(2010,11,4) + TIME(1,37,2)</f>
        <v>40486.067384259259</v>
      </c>
      <c r="C448">
        <v>80</v>
      </c>
      <c r="D448">
        <v>79.472244262999993</v>
      </c>
      <c r="E448">
        <v>50</v>
      </c>
      <c r="F448">
        <v>51.550563812</v>
      </c>
      <c r="G448">
        <v>1330.5078125</v>
      </c>
      <c r="H448">
        <v>1330.2818603999999</v>
      </c>
      <c r="I448">
        <v>1334.1474608999999</v>
      </c>
      <c r="J448">
        <v>1332.7526855000001</v>
      </c>
      <c r="K448">
        <v>0</v>
      </c>
      <c r="L448">
        <v>550</v>
      </c>
      <c r="M448">
        <v>550</v>
      </c>
      <c r="N448">
        <v>0</v>
      </c>
    </row>
    <row r="449" spans="1:14" x14ac:dyDescent="0.25">
      <c r="A449">
        <v>187.30578499999999</v>
      </c>
      <c r="B449" s="1">
        <f>DATE(2010,11,4) + TIME(7,20,19)</f>
        <v>40486.305775462963</v>
      </c>
      <c r="C449">
        <v>80</v>
      </c>
      <c r="D449">
        <v>79.441421508999994</v>
      </c>
      <c r="E449">
        <v>50</v>
      </c>
      <c r="F449">
        <v>51.380859375</v>
      </c>
      <c r="G449">
        <v>1330.496582</v>
      </c>
      <c r="H449">
        <v>1330.2647704999999</v>
      </c>
      <c r="I449">
        <v>1334.1690673999999</v>
      </c>
      <c r="J449">
        <v>1332.7657471</v>
      </c>
      <c r="K449">
        <v>0</v>
      </c>
      <c r="L449">
        <v>550</v>
      </c>
      <c r="M449">
        <v>550</v>
      </c>
      <c r="N449">
        <v>0</v>
      </c>
    </row>
    <row r="450" spans="1:14" x14ac:dyDescent="0.25">
      <c r="A450">
        <v>187.556725</v>
      </c>
      <c r="B450" s="1">
        <f>DATE(2010,11,4) + TIME(13,21,41)</f>
        <v>40486.55672453704</v>
      </c>
      <c r="C450">
        <v>80</v>
      </c>
      <c r="D450">
        <v>79.409011840999995</v>
      </c>
      <c r="E450">
        <v>50</v>
      </c>
      <c r="F450">
        <v>51.220348358000003</v>
      </c>
      <c r="G450">
        <v>1330.4852295000001</v>
      </c>
      <c r="H450">
        <v>1330.2473144999999</v>
      </c>
      <c r="I450">
        <v>1334.1917725000001</v>
      </c>
      <c r="J450">
        <v>1332.7795410000001</v>
      </c>
      <c r="K450">
        <v>0</v>
      </c>
      <c r="L450">
        <v>550</v>
      </c>
      <c r="M450">
        <v>550</v>
      </c>
      <c r="N450">
        <v>0</v>
      </c>
    </row>
    <row r="451" spans="1:14" x14ac:dyDescent="0.25">
      <c r="A451">
        <v>187.821753</v>
      </c>
      <c r="B451" s="1">
        <f>DATE(2010,11,4) + TIME(19,43,19)</f>
        <v>40486.821747685186</v>
      </c>
      <c r="C451">
        <v>80</v>
      </c>
      <c r="D451">
        <v>79.374832153</v>
      </c>
      <c r="E451">
        <v>50</v>
      </c>
      <c r="F451">
        <v>51.068965912000003</v>
      </c>
      <c r="G451">
        <v>1330.4736327999999</v>
      </c>
      <c r="H451">
        <v>1330.2296143000001</v>
      </c>
      <c r="I451">
        <v>1334.2155762</v>
      </c>
      <c r="J451">
        <v>1332.7940673999999</v>
      </c>
      <c r="K451">
        <v>0</v>
      </c>
      <c r="L451">
        <v>550</v>
      </c>
      <c r="M451">
        <v>550</v>
      </c>
      <c r="N451">
        <v>0</v>
      </c>
    </row>
    <row r="452" spans="1:14" x14ac:dyDescent="0.25">
      <c r="A452">
        <v>188.10270700000001</v>
      </c>
      <c r="B452" s="1">
        <f>DATE(2010,11,5) + TIME(2,27,53)</f>
        <v>40487.102696759262</v>
      </c>
      <c r="C452">
        <v>80</v>
      </c>
      <c r="D452">
        <v>79.338676453000005</v>
      </c>
      <c r="E452">
        <v>50</v>
      </c>
      <c r="F452">
        <v>50.926658629999999</v>
      </c>
      <c r="G452">
        <v>1330.4616699000001</v>
      </c>
      <c r="H452">
        <v>1330.2113036999999</v>
      </c>
      <c r="I452">
        <v>1334.2402344</v>
      </c>
      <c r="J452">
        <v>1332.8092041</v>
      </c>
      <c r="K452">
        <v>0</v>
      </c>
      <c r="L452">
        <v>550</v>
      </c>
      <c r="M452">
        <v>550</v>
      </c>
      <c r="N452">
        <v>0</v>
      </c>
    </row>
    <row r="453" spans="1:14" x14ac:dyDescent="0.25">
      <c r="A453">
        <v>188.401802</v>
      </c>
      <c r="B453" s="1">
        <f>DATE(2010,11,5) + TIME(9,38,35)</f>
        <v>40487.40179398148</v>
      </c>
      <c r="C453">
        <v>80</v>
      </c>
      <c r="D453">
        <v>79.300300598000007</v>
      </c>
      <c r="E453">
        <v>50</v>
      </c>
      <c r="F453">
        <v>50.793392181000002</v>
      </c>
      <c r="G453">
        <v>1330.4494629000001</v>
      </c>
      <c r="H453">
        <v>1330.1926269999999</v>
      </c>
      <c r="I453">
        <v>1334.2658690999999</v>
      </c>
      <c r="J453">
        <v>1332.8249512</v>
      </c>
      <c r="K453">
        <v>0</v>
      </c>
      <c r="L453">
        <v>550</v>
      </c>
      <c r="M453">
        <v>550</v>
      </c>
      <c r="N453">
        <v>0</v>
      </c>
    </row>
    <row r="454" spans="1:14" x14ac:dyDescent="0.25">
      <c r="A454">
        <v>188.72173000000001</v>
      </c>
      <c r="B454" s="1">
        <f>DATE(2010,11,5) + TIME(17,19,17)</f>
        <v>40487.721724537034</v>
      </c>
      <c r="C454">
        <v>80</v>
      </c>
      <c r="D454">
        <v>79.259407042999996</v>
      </c>
      <c r="E454">
        <v>50</v>
      </c>
      <c r="F454">
        <v>50.669155121000003</v>
      </c>
      <c r="G454">
        <v>1330.4366454999999</v>
      </c>
      <c r="H454">
        <v>1330.1732178</v>
      </c>
      <c r="I454">
        <v>1334.2921143000001</v>
      </c>
      <c r="J454">
        <v>1332.8410644999999</v>
      </c>
      <c r="K454">
        <v>0</v>
      </c>
      <c r="L454">
        <v>550</v>
      </c>
      <c r="M454">
        <v>550</v>
      </c>
      <c r="N454">
        <v>0</v>
      </c>
    </row>
    <row r="455" spans="1:14" x14ac:dyDescent="0.25">
      <c r="A455">
        <v>189.065808</v>
      </c>
      <c r="B455" s="1">
        <f>DATE(2010,11,6) + TIME(1,34,45)</f>
        <v>40488.065798611111</v>
      </c>
      <c r="C455">
        <v>80</v>
      </c>
      <c r="D455">
        <v>79.215637207</v>
      </c>
      <c r="E455">
        <v>50</v>
      </c>
      <c r="F455">
        <v>50.553943633999999</v>
      </c>
      <c r="G455">
        <v>1330.4234618999999</v>
      </c>
      <c r="H455">
        <v>1330.1531981999999</v>
      </c>
      <c r="I455">
        <v>1334.3190918</v>
      </c>
      <c r="J455">
        <v>1332.8577881000001</v>
      </c>
      <c r="K455">
        <v>0</v>
      </c>
      <c r="L455">
        <v>550</v>
      </c>
      <c r="M455">
        <v>550</v>
      </c>
      <c r="N455">
        <v>0</v>
      </c>
    </row>
    <row r="456" spans="1:14" x14ac:dyDescent="0.25">
      <c r="A456">
        <v>189.438187</v>
      </c>
      <c r="B456" s="1">
        <f>DATE(2010,11,6) + TIME(10,30,59)</f>
        <v>40488.43818287037</v>
      </c>
      <c r="C456">
        <v>80</v>
      </c>
      <c r="D456">
        <v>79.168548584000007</v>
      </c>
      <c r="E456">
        <v>50</v>
      </c>
      <c r="F456">
        <v>50.447772980000003</v>
      </c>
      <c r="G456">
        <v>1330.4095459</v>
      </c>
      <c r="H456">
        <v>1330.1322021000001</v>
      </c>
      <c r="I456">
        <v>1334.3465576000001</v>
      </c>
      <c r="J456">
        <v>1332.8747559000001</v>
      </c>
      <c r="K456">
        <v>0</v>
      </c>
      <c r="L456">
        <v>550</v>
      </c>
      <c r="M456">
        <v>550</v>
      </c>
      <c r="N456">
        <v>0</v>
      </c>
    </row>
    <row r="457" spans="1:14" x14ac:dyDescent="0.25">
      <c r="A457">
        <v>189.844089</v>
      </c>
      <c r="B457" s="1">
        <f>DATE(2010,11,6) + TIME(20,15,29)</f>
        <v>40488.844085648147</v>
      </c>
      <c r="C457">
        <v>80</v>
      </c>
      <c r="D457">
        <v>79.117584229000002</v>
      </c>
      <c r="E457">
        <v>50</v>
      </c>
      <c r="F457">
        <v>50.350681305000002</v>
      </c>
      <c r="G457">
        <v>1330.3948975000001</v>
      </c>
      <c r="H457">
        <v>1330.1101074000001</v>
      </c>
      <c r="I457">
        <v>1334.3743896000001</v>
      </c>
      <c r="J457">
        <v>1332.8920897999999</v>
      </c>
      <c r="K457">
        <v>0</v>
      </c>
      <c r="L457">
        <v>550</v>
      </c>
      <c r="M457">
        <v>550</v>
      </c>
      <c r="N457">
        <v>0</v>
      </c>
    </row>
    <row r="458" spans="1:14" x14ac:dyDescent="0.25">
      <c r="A458">
        <v>190.290333</v>
      </c>
      <c r="B458" s="1">
        <f>DATE(2010,11,7) + TIME(6,58,4)</f>
        <v>40489.290324074071</v>
      </c>
      <c r="C458">
        <v>80</v>
      </c>
      <c r="D458">
        <v>79.062042235999996</v>
      </c>
      <c r="E458">
        <v>50</v>
      </c>
      <c r="F458">
        <v>50.262695311999998</v>
      </c>
      <c r="G458">
        <v>1330.3792725000001</v>
      </c>
      <c r="H458">
        <v>1330.0867920000001</v>
      </c>
      <c r="I458">
        <v>1334.4023437999999</v>
      </c>
      <c r="J458">
        <v>1332.9095459</v>
      </c>
      <c r="K458">
        <v>0</v>
      </c>
      <c r="L458">
        <v>550</v>
      </c>
      <c r="M458">
        <v>550</v>
      </c>
      <c r="N458">
        <v>0</v>
      </c>
    </row>
    <row r="459" spans="1:14" x14ac:dyDescent="0.25">
      <c r="A459">
        <v>190.75800599999999</v>
      </c>
      <c r="B459" s="1">
        <f>DATE(2010,11,7) + TIME(18,11,31)</f>
        <v>40489.757997685185</v>
      </c>
      <c r="C459">
        <v>80</v>
      </c>
      <c r="D459">
        <v>79.004234314000001</v>
      </c>
      <c r="E459">
        <v>50</v>
      </c>
      <c r="F459">
        <v>50.187450409</v>
      </c>
      <c r="G459">
        <v>1330.3626709</v>
      </c>
      <c r="H459">
        <v>1330.0620117000001</v>
      </c>
      <c r="I459">
        <v>1334.4311522999999</v>
      </c>
      <c r="J459">
        <v>1332.9274902</v>
      </c>
      <c r="K459">
        <v>0</v>
      </c>
      <c r="L459">
        <v>550</v>
      </c>
      <c r="M459">
        <v>550</v>
      </c>
      <c r="N459">
        <v>0</v>
      </c>
    </row>
    <row r="460" spans="1:14" x14ac:dyDescent="0.25">
      <c r="A460">
        <v>191.226775</v>
      </c>
      <c r="B460" s="1">
        <f>DATE(2010,11,8) + TIME(5,26,33)</f>
        <v>40490.226770833331</v>
      </c>
      <c r="C460">
        <v>80</v>
      </c>
      <c r="D460">
        <v>78.946556091000005</v>
      </c>
      <c r="E460">
        <v>50</v>
      </c>
      <c r="F460">
        <v>50.126056671000001</v>
      </c>
      <c r="G460">
        <v>1330.3457031</v>
      </c>
      <c r="H460">
        <v>1330.0369873</v>
      </c>
      <c r="I460">
        <v>1334.4589844</v>
      </c>
      <c r="J460">
        <v>1332.9447021000001</v>
      </c>
      <c r="K460">
        <v>0</v>
      </c>
      <c r="L460">
        <v>550</v>
      </c>
      <c r="M460">
        <v>550</v>
      </c>
      <c r="N460">
        <v>0</v>
      </c>
    </row>
    <row r="461" spans="1:14" x14ac:dyDescent="0.25">
      <c r="A461">
        <v>191.69702699999999</v>
      </c>
      <c r="B461" s="1">
        <f>DATE(2010,11,8) + TIME(16,43,43)</f>
        <v>40490.697025462963</v>
      </c>
      <c r="C461">
        <v>80</v>
      </c>
      <c r="D461">
        <v>78.888977050999998</v>
      </c>
      <c r="E461">
        <v>50</v>
      </c>
      <c r="F461">
        <v>50.076061248999999</v>
      </c>
      <c r="G461">
        <v>1330.3289795000001</v>
      </c>
      <c r="H461">
        <v>1330.012207</v>
      </c>
      <c r="I461">
        <v>1334.4837646000001</v>
      </c>
      <c r="J461">
        <v>1332.9602050999999</v>
      </c>
      <c r="K461">
        <v>0</v>
      </c>
      <c r="L461">
        <v>550</v>
      </c>
      <c r="M461">
        <v>550</v>
      </c>
      <c r="N461">
        <v>0</v>
      </c>
    </row>
    <row r="462" spans="1:14" x14ac:dyDescent="0.25">
      <c r="A462">
        <v>192.17150899999999</v>
      </c>
      <c r="B462" s="1">
        <f>DATE(2010,11,9) + TIME(4,6,58)</f>
        <v>40491.17150462963</v>
      </c>
      <c r="C462">
        <v>80</v>
      </c>
      <c r="D462">
        <v>78.831192017000006</v>
      </c>
      <c r="E462">
        <v>50</v>
      </c>
      <c r="F462">
        <v>50.035274506</v>
      </c>
      <c r="G462">
        <v>1330.3123779</v>
      </c>
      <c r="H462">
        <v>1329.987793</v>
      </c>
      <c r="I462">
        <v>1334.5059814000001</v>
      </c>
      <c r="J462">
        <v>1332.973999</v>
      </c>
      <c r="K462">
        <v>0</v>
      </c>
      <c r="L462">
        <v>550</v>
      </c>
      <c r="M462">
        <v>550</v>
      </c>
      <c r="N462">
        <v>0</v>
      </c>
    </row>
    <row r="463" spans="1:14" x14ac:dyDescent="0.25">
      <c r="A463">
        <v>192.65272100000001</v>
      </c>
      <c r="B463" s="1">
        <f>DATE(2010,11,9) + TIME(15,39,55)</f>
        <v>40491.652719907404</v>
      </c>
      <c r="C463">
        <v>80</v>
      </c>
      <c r="D463">
        <v>78.772941588999998</v>
      </c>
      <c r="E463">
        <v>50</v>
      </c>
      <c r="F463">
        <v>50.001987456999998</v>
      </c>
      <c r="G463">
        <v>1330.2957764</v>
      </c>
      <c r="H463">
        <v>1329.9636230000001</v>
      </c>
      <c r="I463">
        <v>1334.5257568</v>
      </c>
      <c r="J463">
        <v>1332.9863281</v>
      </c>
      <c r="K463">
        <v>0</v>
      </c>
      <c r="L463">
        <v>550</v>
      </c>
      <c r="M463">
        <v>550</v>
      </c>
      <c r="N463">
        <v>0</v>
      </c>
    </row>
    <row r="464" spans="1:14" x14ac:dyDescent="0.25">
      <c r="A464">
        <v>193.14312699999999</v>
      </c>
      <c r="B464" s="1">
        <f>DATE(2010,11,10) + TIME(3,26,6)</f>
        <v>40492.143125000002</v>
      </c>
      <c r="C464">
        <v>80</v>
      </c>
      <c r="D464">
        <v>78.713951111</v>
      </c>
      <c r="E464">
        <v>50</v>
      </c>
      <c r="F464">
        <v>49.974838257000002</v>
      </c>
      <c r="G464">
        <v>1330.2791748</v>
      </c>
      <c r="H464">
        <v>1329.9394531</v>
      </c>
      <c r="I464">
        <v>1334.543457</v>
      </c>
      <c r="J464">
        <v>1332.9973144999999</v>
      </c>
      <c r="K464">
        <v>0</v>
      </c>
      <c r="L464">
        <v>550</v>
      </c>
      <c r="M464">
        <v>550</v>
      </c>
      <c r="N464">
        <v>0</v>
      </c>
    </row>
    <row r="465" spans="1:14" x14ac:dyDescent="0.25">
      <c r="A465">
        <v>193.64467400000001</v>
      </c>
      <c r="B465" s="1">
        <f>DATE(2010,11,10) + TIME(15,28,19)</f>
        <v>40492.64466435185</v>
      </c>
      <c r="C465">
        <v>80</v>
      </c>
      <c r="D465">
        <v>78.654029846</v>
      </c>
      <c r="E465">
        <v>50</v>
      </c>
      <c r="F465">
        <v>49.952777863000001</v>
      </c>
      <c r="G465">
        <v>1330.2624512</v>
      </c>
      <c r="H465">
        <v>1329.9152832</v>
      </c>
      <c r="I465">
        <v>1334.559082</v>
      </c>
      <c r="J465">
        <v>1333.0069579999999</v>
      </c>
      <c r="K465">
        <v>0</v>
      </c>
      <c r="L465">
        <v>550</v>
      </c>
      <c r="M465">
        <v>550</v>
      </c>
      <c r="N465">
        <v>0</v>
      </c>
    </row>
    <row r="466" spans="1:14" x14ac:dyDescent="0.25">
      <c r="A466">
        <v>194.15999199999999</v>
      </c>
      <c r="B466" s="1">
        <f>DATE(2010,11,11) + TIME(3,50,23)</f>
        <v>40493.159988425927</v>
      </c>
      <c r="C466">
        <v>80</v>
      </c>
      <c r="D466">
        <v>78.592903136999993</v>
      </c>
      <c r="E466">
        <v>50</v>
      </c>
      <c r="F466">
        <v>49.934909820999998</v>
      </c>
      <c r="G466">
        <v>1330.2456055</v>
      </c>
      <c r="H466">
        <v>1329.8909911999999</v>
      </c>
      <c r="I466">
        <v>1334.5729980000001</v>
      </c>
      <c r="J466">
        <v>1333.0155029</v>
      </c>
      <c r="K466">
        <v>0</v>
      </c>
      <c r="L466">
        <v>550</v>
      </c>
      <c r="M466">
        <v>550</v>
      </c>
      <c r="N466">
        <v>0</v>
      </c>
    </row>
    <row r="467" spans="1:14" x14ac:dyDescent="0.25">
      <c r="A467">
        <v>194.691856</v>
      </c>
      <c r="B467" s="1">
        <f>DATE(2010,11,11) + TIME(16,36,16)</f>
        <v>40493.691851851851</v>
      </c>
      <c r="C467">
        <v>80</v>
      </c>
      <c r="D467">
        <v>78.530288696</v>
      </c>
      <c r="E467">
        <v>50</v>
      </c>
      <c r="F467">
        <v>49.920513153000002</v>
      </c>
      <c r="G467">
        <v>1330.2286377</v>
      </c>
      <c r="H467">
        <v>1329.8663329999999</v>
      </c>
      <c r="I467">
        <v>1334.5853271000001</v>
      </c>
      <c r="J467">
        <v>1333.0230713000001</v>
      </c>
      <c r="K467">
        <v>0</v>
      </c>
      <c r="L467">
        <v>550</v>
      </c>
      <c r="M467">
        <v>550</v>
      </c>
      <c r="N467">
        <v>0</v>
      </c>
    </row>
    <row r="468" spans="1:14" x14ac:dyDescent="0.25">
      <c r="A468">
        <v>195.24332100000001</v>
      </c>
      <c r="B468" s="1">
        <f>DATE(2010,11,12) + TIME(5,50,22)</f>
        <v>40494.243310185186</v>
      </c>
      <c r="C468">
        <v>80</v>
      </c>
      <c r="D468">
        <v>78.465873717999997</v>
      </c>
      <c r="E468">
        <v>50</v>
      </c>
      <c r="F468">
        <v>49.908985137999998</v>
      </c>
      <c r="G468">
        <v>1330.2111815999999</v>
      </c>
      <c r="H468">
        <v>1329.8414307</v>
      </c>
      <c r="I468">
        <v>1334.5961914</v>
      </c>
      <c r="J468">
        <v>1333.0296631000001</v>
      </c>
      <c r="K468">
        <v>0</v>
      </c>
      <c r="L468">
        <v>550</v>
      </c>
      <c r="M468">
        <v>550</v>
      </c>
      <c r="N468">
        <v>0</v>
      </c>
    </row>
    <row r="469" spans="1:14" x14ac:dyDescent="0.25">
      <c r="A469">
        <v>195.81781699999999</v>
      </c>
      <c r="B469" s="1">
        <f>DATE(2010,11,12) + TIME(19,37,39)</f>
        <v>40494.817812499998</v>
      </c>
      <c r="C469">
        <v>80</v>
      </c>
      <c r="D469">
        <v>78.399330139</v>
      </c>
      <c r="E469">
        <v>50</v>
      </c>
      <c r="F469">
        <v>49.899829865000001</v>
      </c>
      <c r="G469">
        <v>1330.1933594</v>
      </c>
      <c r="H469">
        <v>1329.8160399999999</v>
      </c>
      <c r="I469">
        <v>1334.6055908000001</v>
      </c>
      <c r="J469">
        <v>1333.0354004000001</v>
      </c>
      <c r="K469">
        <v>0</v>
      </c>
      <c r="L469">
        <v>550</v>
      </c>
      <c r="M469">
        <v>550</v>
      </c>
      <c r="N469">
        <v>0</v>
      </c>
    </row>
    <row r="470" spans="1:14" x14ac:dyDescent="0.25">
      <c r="A470">
        <v>196.41927000000001</v>
      </c>
      <c r="B470" s="1">
        <f>DATE(2010,11,13) + TIME(10,3,44)</f>
        <v>40495.419259259259</v>
      </c>
      <c r="C470">
        <v>80</v>
      </c>
      <c r="D470">
        <v>78.330268860000004</v>
      </c>
      <c r="E470">
        <v>50</v>
      </c>
      <c r="F470">
        <v>49.892639160000002</v>
      </c>
      <c r="G470">
        <v>1330.1751709</v>
      </c>
      <c r="H470">
        <v>1329.7899170000001</v>
      </c>
      <c r="I470">
        <v>1334.6137695</v>
      </c>
      <c r="J470">
        <v>1333.0402832</v>
      </c>
      <c r="K470">
        <v>0</v>
      </c>
      <c r="L470">
        <v>550</v>
      </c>
      <c r="M470">
        <v>550</v>
      </c>
      <c r="N470">
        <v>0</v>
      </c>
    </row>
    <row r="471" spans="1:14" x14ac:dyDescent="0.25">
      <c r="A471">
        <v>197.052761</v>
      </c>
      <c r="B471" s="1">
        <f>DATE(2010,11,14) + TIME(1,15,58)</f>
        <v>40496.052754629629</v>
      </c>
      <c r="C471">
        <v>80</v>
      </c>
      <c r="D471">
        <v>78.258186339999995</v>
      </c>
      <c r="E471">
        <v>50</v>
      </c>
      <c r="F471">
        <v>49.887062073000003</v>
      </c>
      <c r="G471">
        <v>1330.15625</v>
      </c>
      <c r="H471">
        <v>1329.7631836</v>
      </c>
      <c r="I471">
        <v>1334.6207274999999</v>
      </c>
      <c r="J471">
        <v>1333.0444336</v>
      </c>
      <c r="K471">
        <v>0</v>
      </c>
      <c r="L471">
        <v>550</v>
      </c>
      <c r="M471">
        <v>550</v>
      </c>
      <c r="N471">
        <v>0</v>
      </c>
    </row>
    <row r="472" spans="1:14" x14ac:dyDescent="0.25">
      <c r="A472">
        <v>197.72385499999999</v>
      </c>
      <c r="B472" s="1">
        <f>DATE(2010,11,14) + TIME(17,22,21)</f>
        <v>40496.723854166667</v>
      </c>
      <c r="C472">
        <v>80</v>
      </c>
      <c r="D472">
        <v>78.182548522999994</v>
      </c>
      <c r="E472">
        <v>50</v>
      </c>
      <c r="F472">
        <v>49.8828125</v>
      </c>
      <c r="G472">
        <v>1330.1367187999999</v>
      </c>
      <c r="H472">
        <v>1329.7355957</v>
      </c>
      <c r="I472">
        <v>1334.6265868999999</v>
      </c>
      <c r="J472">
        <v>1333.0478516000001</v>
      </c>
      <c r="K472">
        <v>0</v>
      </c>
      <c r="L472">
        <v>550</v>
      </c>
      <c r="M472">
        <v>550</v>
      </c>
      <c r="N472">
        <v>0</v>
      </c>
    </row>
    <row r="473" spans="1:14" x14ac:dyDescent="0.25">
      <c r="A473">
        <v>198.43361999999999</v>
      </c>
      <c r="B473" s="1">
        <f>DATE(2010,11,15) + TIME(10,24,24)</f>
        <v>40497.433611111112</v>
      </c>
      <c r="C473">
        <v>80</v>
      </c>
      <c r="D473">
        <v>78.103279114000003</v>
      </c>
      <c r="E473">
        <v>50</v>
      </c>
      <c r="F473">
        <v>49.879661560000002</v>
      </c>
      <c r="G473">
        <v>1330.1164550999999</v>
      </c>
      <c r="H473">
        <v>1329.7069091999999</v>
      </c>
      <c r="I473">
        <v>1334.6314697</v>
      </c>
      <c r="J473">
        <v>1333.0506591999999</v>
      </c>
      <c r="K473">
        <v>0</v>
      </c>
      <c r="L473">
        <v>550</v>
      </c>
      <c r="M473">
        <v>550</v>
      </c>
      <c r="N473">
        <v>0</v>
      </c>
    </row>
    <row r="474" spans="1:14" x14ac:dyDescent="0.25">
      <c r="A474">
        <v>199.182231</v>
      </c>
      <c r="B474" s="1">
        <f>DATE(2010,11,16) + TIME(4,22,24)</f>
        <v>40498.182222222225</v>
      </c>
      <c r="C474">
        <v>80</v>
      </c>
      <c r="D474">
        <v>78.020362853999998</v>
      </c>
      <c r="E474">
        <v>50</v>
      </c>
      <c r="F474">
        <v>49.877407073999997</v>
      </c>
      <c r="G474">
        <v>1330.0952147999999</v>
      </c>
      <c r="H474">
        <v>1329.677124</v>
      </c>
      <c r="I474">
        <v>1334.6352539</v>
      </c>
      <c r="J474">
        <v>1333.0527344</v>
      </c>
      <c r="K474">
        <v>0</v>
      </c>
      <c r="L474">
        <v>550</v>
      </c>
      <c r="M474">
        <v>550</v>
      </c>
      <c r="N474">
        <v>0</v>
      </c>
    </row>
    <row r="475" spans="1:14" x14ac:dyDescent="0.25">
      <c r="A475">
        <v>199.970564</v>
      </c>
      <c r="B475" s="1">
        <f>DATE(2010,11,16) + TIME(23,17,36)</f>
        <v>40498.970555555556</v>
      </c>
      <c r="C475">
        <v>80</v>
      </c>
      <c r="D475">
        <v>77.933685303000004</v>
      </c>
      <c r="E475">
        <v>50</v>
      </c>
      <c r="F475">
        <v>49.875865935999997</v>
      </c>
      <c r="G475">
        <v>1330.0732422000001</v>
      </c>
      <c r="H475">
        <v>1329.6462402</v>
      </c>
      <c r="I475">
        <v>1334.6380615</v>
      </c>
      <c r="J475">
        <v>1333.0541992000001</v>
      </c>
      <c r="K475">
        <v>0</v>
      </c>
      <c r="L475">
        <v>550</v>
      </c>
      <c r="M475">
        <v>550</v>
      </c>
      <c r="N475">
        <v>0</v>
      </c>
    </row>
    <row r="476" spans="1:14" x14ac:dyDescent="0.25">
      <c r="A476">
        <v>200.803042</v>
      </c>
      <c r="B476" s="1">
        <f>DATE(2010,11,17) + TIME(19,16,22)</f>
        <v>40499.803032407406</v>
      </c>
      <c r="C476">
        <v>80</v>
      </c>
      <c r="D476">
        <v>77.842811584000003</v>
      </c>
      <c r="E476">
        <v>50</v>
      </c>
      <c r="F476">
        <v>49.874866486000002</v>
      </c>
      <c r="G476">
        <v>1330.0505370999999</v>
      </c>
      <c r="H476">
        <v>1329.6143798999999</v>
      </c>
      <c r="I476">
        <v>1334.6400146000001</v>
      </c>
      <c r="J476">
        <v>1333.0550536999999</v>
      </c>
      <c r="K476">
        <v>0</v>
      </c>
      <c r="L476">
        <v>550</v>
      </c>
      <c r="M476">
        <v>550</v>
      </c>
      <c r="N476">
        <v>0</v>
      </c>
    </row>
    <row r="477" spans="1:14" x14ac:dyDescent="0.25">
      <c r="A477">
        <v>201.641324</v>
      </c>
      <c r="B477" s="1">
        <f>DATE(2010,11,18) + TIME(15,23,30)</f>
        <v>40500.641319444447</v>
      </c>
      <c r="C477">
        <v>80</v>
      </c>
      <c r="D477">
        <v>77.751213074000006</v>
      </c>
      <c r="E477">
        <v>50</v>
      </c>
      <c r="F477">
        <v>49.874294280999997</v>
      </c>
      <c r="G477">
        <v>1330.0269774999999</v>
      </c>
      <c r="H477">
        <v>1329.581543</v>
      </c>
      <c r="I477">
        <v>1334.6411132999999</v>
      </c>
      <c r="J477">
        <v>1333.0554199000001</v>
      </c>
      <c r="K477">
        <v>0</v>
      </c>
      <c r="L477">
        <v>550</v>
      </c>
      <c r="M477">
        <v>550</v>
      </c>
      <c r="N477">
        <v>0</v>
      </c>
    </row>
    <row r="478" spans="1:14" x14ac:dyDescent="0.25">
      <c r="A478">
        <v>202.488339</v>
      </c>
      <c r="B478" s="1">
        <f>DATE(2010,11,19) + TIME(11,43,12)</f>
        <v>40501.488333333335</v>
      </c>
      <c r="C478">
        <v>80</v>
      </c>
      <c r="D478">
        <v>77.658592224000003</v>
      </c>
      <c r="E478">
        <v>50</v>
      </c>
      <c r="F478">
        <v>49.874015808000003</v>
      </c>
      <c r="G478">
        <v>1330.003418</v>
      </c>
      <c r="H478">
        <v>1329.5488281</v>
      </c>
      <c r="I478">
        <v>1334.6413574000001</v>
      </c>
      <c r="J478">
        <v>1333.0554199000001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203.34959000000001</v>
      </c>
      <c r="B479" s="1">
        <f>DATE(2010,11,20) + TIME(8,23,24)</f>
        <v>40502.349583333336</v>
      </c>
      <c r="C479">
        <v>80</v>
      </c>
      <c r="D479">
        <v>77.564384459999999</v>
      </c>
      <c r="E479">
        <v>50</v>
      </c>
      <c r="F479">
        <v>49.873928069999998</v>
      </c>
      <c r="G479">
        <v>1329.9799805</v>
      </c>
      <c r="H479">
        <v>1329.5159911999999</v>
      </c>
      <c r="I479">
        <v>1334.6409911999999</v>
      </c>
      <c r="J479">
        <v>1333.0548096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204.230343</v>
      </c>
      <c r="B480" s="1">
        <f>DATE(2010,11,21) + TIME(5,31,41)</f>
        <v>40503.23033564815</v>
      </c>
      <c r="C480">
        <v>80</v>
      </c>
      <c r="D480">
        <v>77.468040466000005</v>
      </c>
      <c r="E480">
        <v>50</v>
      </c>
      <c r="F480">
        <v>49.873973845999998</v>
      </c>
      <c r="G480">
        <v>1329.9562988</v>
      </c>
      <c r="H480">
        <v>1329.4831543</v>
      </c>
      <c r="I480">
        <v>1334.6400146000001</v>
      </c>
      <c r="J480">
        <v>1333.0539550999999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205.13601499999999</v>
      </c>
      <c r="B481" s="1">
        <f>DATE(2010,11,22) + TIME(3,15,51)</f>
        <v>40504.136006944442</v>
      </c>
      <c r="C481">
        <v>80</v>
      </c>
      <c r="D481">
        <v>77.368980407999999</v>
      </c>
      <c r="E481">
        <v>50</v>
      </c>
      <c r="F481">
        <v>49.874103546000001</v>
      </c>
      <c r="G481">
        <v>1329.9324951000001</v>
      </c>
      <c r="H481">
        <v>1329.4500731999999</v>
      </c>
      <c r="I481">
        <v>1334.6386719</v>
      </c>
      <c r="J481">
        <v>1333.0527344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206.07375500000001</v>
      </c>
      <c r="B482" s="1">
        <f>DATE(2010,11,23) + TIME(1,46,12)</f>
        <v>40505.073750000003</v>
      </c>
      <c r="C482">
        <v>80</v>
      </c>
      <c r="D482">
        <v>77.266464232999994</v>
      </c>
      <c r="E482">
        <v>50</v>
      </c>
      <c r="F482">
        <v>49.874294280999997</v>
      </c>
      <c r="G482">
        <v>1329.9083252</v>
      </c>
      <c r="H482">
        <v>1329.416626</v>
      </c>
      <c r="I482">
        <v>1334.6368408000001</v>
      </c>
      <c r="J482">
        <v>1333.0513916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207.05061900000001</v>
      </c>
      <c r="B483" s="1">
        <f>DATE(2010,11,24) + TIME(1,12,53)</f>
        <v>40506.050613425927</v>
      </c>
      <c r="C483">
        <v>80</v>
      </c>
      <c r="D483">
        <v>77.159721375000004</v>
      </c>
      <c r="E483">
        <v>50</v>
      </c>
      <c r="F483">
        <v>49.874519348</v>
      </c>
      <c r="G483">
        <v>1329.8837891000001</v>
      </c>
      <c r="H483">
        <v>1329.3824463000001</v>
      </c>
      <c r="I483">
        <v>1334.6346435999999</v>
      </c>
      <c r="J483">
        <v>1333.0498047000001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208.05226999999999</v>
      </c>
      <c r="B484" s="1">
        <f>DATE(2010,11,25) + TIME(1,15,16)</f>
        <v>40507.052268518521</v>
      </c>
      <c r="C484">
        <v>80</v>
      </c>
      <c r="D484">
        <v>77.049888611</v>
      </c>
      <c r="E484">
        <v>50</v>
      </c>
      <c r="F484">
        <v>49.874763489000003</v>
      </c>
      <c r="G484">
        <v>1329.8586425999999</v>
      </c>
      <c r="H484">
        <v>1329.3476562000001</v>
      </c>
      <c r="I484">
        <v>1334.6320800999999</v>
      </c>
      <c r="J484">
        <v>1333.0479736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209.08246299999999</v>
      </c>
      <c r="B485" s="1">
        <f>DATE(2010,11,26) + TIME(1,58,44)</f>
        <v>40508.082453703704</v>
      </c>
      <c r="C485">
        <v>80</v>
      </c>
      <c r="D485">
        <v>76.936508179</v>
      </c>
      <c r="E485">
        <v>50</v>
      </c>
      <c r="F485">
        <v>49.875011444000002</v>
      </c>
      <c r="G485">
        <v>1329.8331298999999</v>
      </c>
      <c r="H485">
        <v>1329.3126221</v>
      </c>
      <c r="I485">
        <v>1334.6293945</v>
      </c>
      <c r="J485">
        <v>1333.0460204999999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210.14703299999999</v>
      </c>
      <c r="B486" s="1">
        <f>DATE(2010,11,27) + TIME(3,31,43)</f>
        <v>40509.14702546296</v>
      </c>
      <c r="C486">
        <v>80</v>
      </c>
      <c r="D486">
        <v>76.818939209000007</v>
      </c>
      <c r="E486">
        <v>50</v>
      </c>
      <c r="F486">
        <v>49.875263214</v>
      </c>
      <c r="G486">
        <v>1329.8074951000001</v>
      </c>
      <c r="H486">
        <v>1329.2769774999999</v>
      </c>
      <c r="I486">
        <v>1334.6263428</v>
      </c>
      <c r="J486">
        <v>1333.0440673999999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211.25281699999999</v>
      </c>
      <c r="B487" s="1">
        <f>DATE(2010,11,28) + TIME(6,4,3)</f>
        <v>40510.252812500003</v>
      </c>
      <c r="C487">
        <v>80</v>
      </c>
      <c r="D487">
        <v>76.696411132999998</v>
      </c>
      <c r="E487">
        <v>50</v>
      </c>
      <c r="F487">
        <v>49.875511168999999</v>
      </c>
      <c r="G487">
        <v>1329.78125</v>
      </c>
      <c r="H487">
        <v>1329.2409668</v>
      </c>
      <c r="I487">
        <v>1334.6231689000001</v>
      </c>
      <c r="J487">
        <v>1333.0418701000001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212.409257</v>
      </c>
      <c r="B488" s="1">
        <f>DATE(2010,11,29) + TIME(9,49,19)</f>
        <v>40511.409247685187</v>
      </c>
      <c r="C488">
        <v>80</v>
      </c>
      <c r="D488">
        <v>76.567901610999996</v>
      </c>
      <c r="E488">
        <v>50</v>
      </c>
      <c r="F488">
        <v>49.875755310000002</v>
      </c>
      <c r="G488">
        <v>1329.7545166</v>
      </c>
      <c r="H488">
        <v>1329.2041016000001</v>
      </c>
      <c r="I488">
        <v>1334.6198730000001</v>
      </c>
      <c r="J488">
        <v>1333.0396728999999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213.625518</v>
      </c>
      <c r="B489" s="1">
        <f>DATE(2010,11,30) + TIME(15,0,44)</f>
        <v>40512.625509259262</v>
      </c>
      <c r="C489">
        <v>80</v>
      </c>
      <c r="D489">
        <v>76.432365417</v>
      </c>
      <c r="E489">
        <v>50</v>
      </c>
      <c r="F489">
        <v>49.875995635999999</v>
      </c>
      <c r="G489">
        <v>1329.7271728999999</v>
      </c>
      <c r="H489">
        <v>1329.1663818</v>
      </c>
      <c r="I489">
        <v>1334.6163329999999</v>
      </c>
      <c r="J489">
        <v>1333.0374756000001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214</v>
      </c>
      <c r="B490" s="1">
        <f>DATE(2010,12,1) + TIME(0,0,0)</f>
        <v>40513</v>
      </c>
      <c r="C490">
        <v>80</v>
      </c>
      <c r="D490">
        <v>76.381622313999998</v>
      </c>
      <c r="E490">
        <v>50</v>
      </c>
      <c r="F490">
        <v>49.876056671000001</v>
      </c>
      <c r="G490">
        <v>1329.7003173999999</v>
      </c>
      <c r="H490">
        <v>1329.1303711</v>
      </c>
      <c r="I490">
        <v>1334.6126709</v>
      </c>
      <c r="J490">
        <v>1333.0350341999999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215.28716</v>
      </c>
      <c r="B491" s="1">
        <f>DATE(2010,12,2) + TIME(6,53,30)</f>
        <v>40514.287152777775</v>
      </c>
      <c r="C491">
        <v>80</v>
      </c>
      <c r="D491">
        <v>76.239173889</v>
      </c>
      <c r="E491">
        <v>50</v>
      </c>
      <c r="F491">
        <v>49.876293181999998</v>
      </c>
      <c r="G491">
        <v>1329.6888428</v>
      </c>
      <c r="H491">
        <v>1329.1131591999999</v>
      </c>
      <c r="I491">
        <v>1334.6114502</v>
      </c>
      <c r="J491">
        <v>1333.0343018000001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216.621163</v>
      </c>
      <c r="B492" s="1">
        <f>DATE(2010,12,3) + TIME(14,54,28)</f>
        <v>40515.621157407404</v>
      </c>
      <c r="C492">
        <v>80</v>
      </c>
      <c r="D492">
        <v>76.089576721</v>
      </c>
      <c r="E492">
        <v>50</v>
      </c>
      <c r="F492">
        <v>49.876518249999997</v>
      </c>
      <c r="G492">
        <v>1329.6601562000001</v>
      </c>
      <c r="H492">
        <v>1329.0739745999999</v>
      </c>
      <c r="I492">
        <v>1334.6075439000001</v>
      </c>
      <c r="J492">
        <v>1333.0319824000001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217.976719</v>
      </c>
      <c r="B493" s="1">
        <f>DATE(2010,12,4) + TIME(23,26,28)</f>
        <v>40516.976712962962</v>
      </c>
      <c r="C493">
        <v>80</v>
      </c>
      <c r="D493">
        <v>75.934806824000006</v>
      </c>
      <c r="E493">
        <v>50</v>
      </c>
      <c r="F493">
        <v>49.876728057999998</v>
      </c>
      <c r="G493">
        <v>1329.6307373</v>
      </c>
      <c r="H493">
        <v>1329.0338135</v>
      </c>
      <c r="I493">
        <v>1334.6035156</v>
      </c>
      <c r="J493">
        <v>1333.0295410000001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219.36171200000001</v>
      </c>
      <c r="B494" s="1">
        <f>DATE(2010,12,6) + TIME(8,40,51)</f>
        <v>40518.361701388887</v>
      </c>
      <c r="C494">
        <v>80</v>
      </c>
      <c r="D494">
        <v>75.774322510000005</v>
      </c>
      <c r="E494">
        <v>50</v>
      </c>
      <c r="F494">
        <v>49.876926421999997</v>
      </c>
      <c r="G494">
        <v>1329.6011963000001</v>
      </c>
      <c r="H494">
        <v>1328.9932861</v>
      </c>
      <c r="I494">
        <v>1334.5993652</v>
      </c>
      <c r="J494">
        <v>1333.0270995999999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220.778794</v>
      </c>
      <c r="B495" s="1">
        <f>DATE(2010,12,7) + TIME(18,41,27)</f>
        <v>40519.778784722221</v>
      </c>
      <c r="C495">
        <v>80</v>
      </c>
      <c r="D495">
        <v>75.607917786000002</v>
      </c>
      <c r="E495">
        <v>50</v>
      </c>
      <c r="F495">
        <v>49.877117157000001</v>
      </c>
      <c r="G495">
        <v>1329.5714111</v>
      </c>
      <c r="H495">
        <v>1328.9525146000001</v>
      </c>
      <c r="I495">
        <v>1334.5953368999999</v>
      </c>
      <c r="J495">
        <v>1333.0247803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222.215867</v>
      </c>
      <c r="B496" s="1">
        <f>DATE(2010,12,9) + TIME(5,10,50)</f>
        <v>40521.215856481482</v>
      </c>
      <c r="C496">
        <v>80</v>
      </c>
      <c r="D496">
        <v>75.436553954999994</v>
      </c>
      <c r="E496">
        <v>50</v>
      </c>
      <c r="F496">
        <v>49.877300261999999</v>
      </c>
      <c r="G496">
        <v>1329.5415039</v>
      </c>
      <c r="H496">
        <v>1328.911499</v>
      </c>
      <c r="I496">
        <v>1334.5913086</v>
      </c>
      <c r="J496">
        <v>1333.0224608999999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223.681331</v>
      </c>
      <c r="B497" s="1">
        <f>DATE(2010,12,10) + TIME(16,21,7)</f>
        <v>40522.681331018517</v>
      </c>
      <c r="C497">
        <v>80</v>
      </c>
      <c r="D497">
        <v>75.259628296000002</v>
      </c>
      <c r="E497">
        <v>50</v>
      </c>
      <c r="F497">
        <v>49.877475738999998</v>
      </c>
      <c r="G497">
        <v>1329.5115966999999</v>
      </c>
      <c r="H497">
        <v>1328.8704834</v>
      </c>
      <c r="I497">
        <v>1334.5872803</v>
      </c>
      <c r="J497">
        <v>1333.0201416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225.18732</v>
      </c>
      <c r="B498" s="1">
        <f>DATE(2010,12,12) + TIME(4,29,44)</f>
        <v>40524.187314814815</v>
      </c>
      <c r="C498">
        <v>80</v>
      </c>
      <c r="D498">
        <v>75.076072693</v>
      </c>
      <c r="E498">
        <v>50</v>
      </c>
      <c r="F498">
        <v>49.877647400000001</v>
      </c>
      <c r="G498">
        <v>1329.4816894999999</v>
      </c>
      <c r="H498">
        <v>1328.8294678</v>
      </c>
      <c r="I498">
        <v>1334.583374</v>
      </c>
      <c r="J498">
        <v>1333.0179443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226.74391800000001</v>
      </c>
      <c r="B499" s="1">
        <f>DATE(2010,12,13) + TIME(17,51,14)</f>
        <v>40525.74391203704</v>
      </c>
      <c r="C499">
        <v>80</v>
      </c>
      <c r="D499">
        <v>74.884712218999994</v>
      </c>
      <c r="E499">
        <v>50</v>
      </c>
      <c r="F499">
        <v>49.877819060999997</v>
      </c>
      <c r="G499">
        <v>1329.4515381000001</v>
      </c>
      <c r="H499">
        <v>1328.7880858999999</v>
      </c>
      <c r="I499">
        <v>1334.5793457</v>
      </c>
      <c r="J499">
        <v>1333.0158690999999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228.36195799999999</v>
      </c>
      <c r="B500" s="1">
        <f>DATE(2010,12,15) + TIME(8,41,13)</f>
        <v>40527.361956018518</v>
      </c>
      <c r="C500">
        <v>80</v>
      </c>
      <c r="D500">
        <v>74.684318542</v>
      </c>
      <c r="E500">
        <v>50</v>
      </c>
      <c r="F500">
        <v>49.877990723000003</v>
      </c>
      <c r="G500">
        <v>1329.4210204999999</v>
      </c>
      <c r="H500">
        <v>1328.7462158000001</v>
      </c>
      <c r="I500">
        <v>1334.5753173999999</v>
      </c>
      <c r="J500">
        <v>1333.0137939000001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230.053212</v>
      </c>
      <c r="B501" s="1">
        <f>DATE(2010,12,17) + TIME(1,16,37)</f>
        <v>40529.053206018521</v>
      </c>
      <c r="C501">
        <v>80</v>
      </c>
      <c r="D501">
        <v>74.473518372000001</v>
      </c>
      <c r="E501">
        <v>50</v>
      </c>
      <c r="F501">
        <v>49.878162383999999</v>
      </c>
      <c r="G501">
        <v>1329.3900146000001</v>
      </c>
      <c r="H501">
        <v>1328.7037353999999</v>
      </c>
      <c r="I501">
        <v>1334.5712891000001</v>
      </c>
      <c r="J501">
        <v>1333.0117187999999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231.78936100000001</v>
      </c>
      <c r="B502" s="1">
        <f>DATE(2010,12,18) + TIME(18,56,40)</f>
        <v>40530.789351851854</v>
      </c>
      <c r="C502">
        <v>80</v>
      </c>
      <c r="D502">
        <v>74.254081725999995</v>
      </c>
      <c r="E502">
        <v>50</v>
      </c>
      <c r="F502">
        <v>49.878334045000003</v>
      </c>
      <c r="G502">
        <v>1329.3583983999999</v>
      </c>
      <c r="H502">
        <v>1328.6605225000001</v>
      </c>
      <c r="I502">
        <v>1334.5671387</v>
      </c>
      <c r="J502">
        <v>1333.0096435999999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233.58137400000001</v>
      </c>
      <c r="B503" s="1">
        <f>DATE(2010,12,20) + TIME(13,57,10)</f>
        <v>40532.581365740742</v>
      </c>
      <c r="C503">
        <v>80</v>
      </c>
      <c r="D503">
        <v>74.025123596</v>
      </c>
      <c r="E503">
        <v>50</v>
      </c>
      <c r="F503">
        <v>49.878505707000002</v>
      </c>
      <c r="G503">
        <v>1329.3266602000001</v>
      </c>
      <c r="H503">
        <v>1328.6169434000001</v>
      </c>
      <c r="I503">
        <v>1334.5629882999999</v>
      </c>
      <c r="J503">
        <v>1333.0076904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235.43836899999999</v>
      </c>
      <c r="B504" s="1">
        <f>DATE(2010,12,22) + TIME(10,31,15)</f>
        <v>40534.438368055555</v>
      </c>
      <c r="C504">
        <v>80</v>
      </c>
      <c r="D504">
        <v>73.785690308</v>
      </c>
      <c r="E504">
        <v>50</v>
      </c>
      <c r="F504">
        <v>49.878677367999998</v>
      </c>
      <c r="G504">
        <v>1329.2944336</v>
      </c>
      <c r="H504">
        <v>1328.572876</v>
      </c>
      <c r="I504">
        <v>1334.5589600000001</v>
      </c>
      <c r="J504">
        <v>1333.0057373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237.34078400000001</v>
      </c>
      <c r="B505" s="1">
        <f>DATE(2010,12,24) + TIME(8,10,43)</f>
        <v>40536.340775462966</v>
      </c>
      <c r="C505">
        <v>80</v>
      </c>
      <c r="D505">
        <v>73.537025451999995</v>
      </c>
      <c r="E505">
        <v>50</v>
      </c>
      <c r="F505">
        <v>49.878849029999998</v>
      </c>
      <c r="G505">
        <v>1329.2619629000001</v>
      </c>
      <c r="H505">
        <v>1328.5283202999999</v>
      </c>
      <c r="I505">
        <v>1334.5548096</v>
      </c>
      <c r="J505">
        <v>1333.0039062000001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239.295907</v>
      </c>
      <c r="B506" s="1">
        <f>DATE(2010,12,26) + TIME(7,6,6)</f>
        <v>40538.295902777776</v>
      </c>
      <c r="C506">
        <v>80</v>
      </c>
      <c r="D506">
        <v>73.278663635000001</v>
      </c>
      <c r="E506">
        <v>50</v>
      </c>
      <c r="F506">
        <v>49.879024506</v>
      </c>
      <c r="G506">
        <v>1329.2293701000001</v>
      </c>
      <c r="H506">
        <v>1328.4836425999999</v>
      </c>
      <c r="I506">
        <v>1334.5506591999999</v>
      </c>
      <c r="J506">
        <v>1333.0020752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241.28877700000001</v>
      </c>
      <c r="B507" s="1">
        <f>DATE(2010,12,28) + TIME(6,55,50)</f>
        <v>40540.288773148146</v>
      </c>
      <c r="C507">
        <v>80</v>
      </c>
      <c r="D507">
        <v>73.011764525999993</v>
      </c>
      <c r="E507">
        <v>50</v>
      </c>
      <c r="F507">
        <v>49.879196167000003</v>
      </c>
      <c r="G507">
        <v>1329.1965332</v>
      </c>
      <c r="H507">
        <v>1328.4387207</v>
      </c>
      <c r="I507">
        <v>1334.5466309000001</v>
      </c>
      <c r="J507">
        <v>1333.0003661999999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243.327575</v>
      </c>
      <c r="B508" s="1">
        <f>DATE(2010,12,30) + TIME(7,51,42)</f>
        <v>40542.327569444446</v>
      </c>
      <c r="C508">
        <v>80</v>
      </c>
      <c r="D508">
        <v>72.735961914000001</v>
      </c>
      <c r="E508">
        <v>50</v>
      </c>
      <c r="F508">
        <v>49.879371642999999</v>
      </c>
      <c r="G508">
        <v>1329.1638184000001</v>
      </c>
      <c r="H508">
        <v>1328.3937988</v>
      </c>
      <c r="I508">
        <v>1334.5426024999999</v>
      </c>
      <c r="J508">
        <v>1332.9987793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245</v>
      </c>
      <c r="B509" s="1">
        <f>DATE(2011,1,1) + TIME(0,0,0)</f>
        <v>40544</v>
      </c>
      <c r="C509">
        <v>80</v>
      </c>
      <c r="D509">
        <v>72.487106323000006</v>
      </c>
      <c r="E509">
        <v>50</v>
      </c>
      <c r="F509">
        <v>49.879497528000002</v>
      </c>
      <c r="G509">
        <v>1329.1314697</v>
      </c>
      <c r="H509">
        <v>1328.3496094</v>
      </c>
      <c r="I509">
        <v>1334.5385742000001</v>
      </c>
      <c r="J509">
        <v>1332.9970702999999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247.0909</v>
      </c>
      <c r="B510" s="1">
        <f>DATE(2011,1,3) + TIME(2,10,53)</f>
        <v>40546.090891203705</v>
      </c>
      <c r="C510">
        <v>80</v>
      </c>
      <c r="D510">
        <v>72.206253051999994</v>
      </c>
      <c r="E510">
        <v>50</v>
      </c>
      <c r="F510">
        <v>49.879684447999999</v>
      </c>
      <c r="G510">
        <v>1329.1035156</v>
      </c>
      <c r="H510">
        <v>1328.3104248</v>
      </c>
      <c r="I510">
        <v>1334.5354004000001</v>
      </c>
      <c r="J510">
        <v>1332.9959716999999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249.27774500000001</v>
      </c>
      <c r="B511" s="1">
        <f>DATE(2011,1,5) + TIME(6,39,57)</f>
        <v>40548.277743055558</v>
      </c>
      <c r="C511">
        <v>80</v>
      </c>
      <c r="D511">
        <v>71.909988403</v>
      </c>
      <c r="E511">
        <v>50</v>
      </c>
      <c r="F511">
        <v>49.879871368000003</v>
      </c>
      <c r="G511">
        <v>1329.0718993999999</v>
      </c>
      <c r="H511">
        <v>1328.2670897999999</v>
      </c>
      <c r="I511">
        <v>1334.5314940999999</v>
      </c>
      <c r="J511">
        <v>1332.9945068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251.53794500000001</v>
      </c>
      <c r="B512" s="1">
        <f>DATE(2011,1,7) + TIME(12,54,38)</f>
        <v>40550.537939814814</v>
      </c>
      <c r="C512">
        <v>80</v>
      </c>
      <c r="D512">
        <v>71.599800110000004</v>
      </c>
      <c r="E512">
        <v>50</v>
      </c>
      <c r="F512">
        <v>49.880062103</v>
      </c>
      <c r="G512">
        <v>1329.0396728999999</v>
      </c>
      <c r="H512">
        <v>1328.2227783000001</v>
      </c>
      <c r="I512">
        <v>1334.5275879000001</v>
      </c>
      <c r="J512">
        <v>1332.9931641000001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253.86500599999999</v>
      </c>
      <c r="B513" s="1">
        <f>DATE(2011,1,9) + TIME(20,45,36)</f>
        <v>40552.864999999998</v>
      </c>
      <c r="C513">
        <v>80</v>
      </c>
      <c r="D513">
        <v>71.276687621999997</v>
      </c>
      <c r="E513">
        <v>50</v>
      </c>
      <c r="F513">
        <v>49.880256653000004</v>
      </c>
      <c r="G513">
        <v>1329.0069579999999</v>
      </c>
      <c r="H513">
        <v>1328.1779785000001</v>
      </c>
      <c r="I513">
        <v>1334.5236815999999</v>
      </c>
      <c r="J513">
        <v>1332.9918213000001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256.238764</v>
      </c>
      <c r="B514" s="1">
        <f>DATE(2011,1,12) + TIME(5,43,49)</f>
        <v>40555.238761574074</v>
      </c>
      <c r="C514">
        <v>80</v>
      </c>
      <c r="D514">
        <v>70.942703246999997</v>
      </c>
      <c r="E514">
        <v>50</v>
      </c>
      <c r="F514">
        <v>49.880451202000003</v>
      </c>
      <c r="G514">
        <v>1328.9741211</v>
      </c>
      <c r="H514">
        <v>1328.1326904</v>
      </c>
      <c r="I514">
        <v>1334.5197754000001</v>
      </c>
      <c r="J514">
        <v>1332.9906006000001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258.67395499999998</v>
      </c>
      <c r="B515" s="1">
        <f>DATE(2011,1,14) + TIME(16,10,29)</f>
        <v>40557.673946759256</v>
      </c>
      <c r="C515">
        <v>80</v>
      </c>
      <c r="D515">
        <v>70.597747803000004</v>
      </c>
      <c r="E515">
        <v>50</v>
      </c>
      <c r="F515">
        <v>49.880649566999999</v>
      </c>
      <c r="G515">
        <v>1328.9412841999999</v>
      </c>
      <c r="H515">
        <v>1328.0875243999999</v>
      </c>
      <c r="I515">
        <v>1334.5158690999999</v>
      </c>
      <c r="J515">
        <v>1332.9893798999999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261.15184199999999</v>
      </c>
      <c r="B516" s="1">
        <f>DATE(2011,1,17) + TIME(3,38,39)</f>
        <v>40560.15184027778</v>
      </c>
      <c r="C516">
        <v>80</v>
      </c>
      <c r="D516">
        <v>70.243354796999995</v>
      </c>
      <c r="E516">
        <v>50</v>
      </c>
      <c r="F516">
        <v>49.880847930999998</v>
      </c>
      <c r="G516">
        <v>1328.9085693</v>
      </c>
      <c r="H516">
        <v>1328.0423584</v>
      </c>
      <c r="I516">
        <v>1334.5119629000001</v>
      </c>
      <c r="J516">
        <v>1332.9882812000001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263.67209000000003</v>
      </c>
      <c r="B517" s="1">
        <f>DATE(2011,1,19) + TIME(16,7,48)</f>
        <v>40562.672083333331</v>
      </c>
      <c r="C517">
        <v>80</v>
      </c>
      <c r="D517">
        <v>69.880187988000003</v>
      </c>
      <c r="E517">
        <v>50</v>
      </c>
      <c r="F517">
        <v>49.881053925000003</v>
      </c>
      <c r="G517">
        <v>1328.8759766000001</v>
      </c>
      <c r="H517">
        <v>1327.9973144999999</v>
      </c>
      <c r="I517">
        <v>1334.5081786999999</v>
      </c>
      <c r="J517">
        <v>1332.9871826000001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266.24997200000001</v>
      </c>
      <c r="B518" s="1">
        <f>DATE(2011,1,22) + TIME(5,59,57)</f>
        <v>40565.249965277777</v>
      </c>
      <c r="C518">
        <v>80</v>
      </c>
      <c r="D518">
        <v>69.507415770999998</v>
      </c>
      <c r="E518">
        <v>50</v>
      </c>
      <c r="F518">
        <v>49.881259917999998</v>
      </c>
      <c r="G518">
        <v>1328.84375</v>
      </c>
      <c r="H518">
        <v>1327.9526367000001</v>
      </c>
      <c r="I518">
        <v>1334.5043945</v>
      </c>
      <c r="J518">
        <v>1332.9862060999999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268.88640299999997</v>
      </c>
      <c r="B519" s="1">
        <f>DATE(2011,1,24) + TIME(21,16,25)</f>
        <v>40567.886400462965</v>
      </c>
      <c r="C519">
        <v>80</v>
      </c>
      <c r="D519">
        <v>69.124931334999999</v>
      </c>
      <c r="E519">
        <v>50</v>
      </c>
      <c r="F519">
        <v>49.881469727000002</v>
      </c>
      <c r="G519">
        <v>1328.8117675999999</v>
      </c>
      <c r="H519">
        <v>1327.9080810999999</v>
      </c>
      <c r="I519">
        <v>1334.5006103999999</v>
      </c>
      <c r="J519">
        <v>1332.9852295000001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271.5994</v>
      </c>
      <c r="B520" s="1">
        <f>DATE(2011,1,27) + TIME(14,23,8)</f>
        <v>40570.599398148152</v>
      </c>
      <c r="C520">
        <v>80</v>
      </c>
      <c r="D520">
        <v>68.731414795000006</v>
      </c>
      <c r="E520">
        <v>50</v>
      </c>
      <c r="F520">
        <v>49.881687163999999</v>
      </c>
      <c r="G520">
        <v>1328.7799072</v>
      </c>
      <c r="H520">
        <v>1327.8637695</v>
      </c>
      <c r="I520">
        <v>1334.4968262</v>
      </c>
      <c r="J520">
        <v>1332.984375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274.40885800000001</v>
      </c>
      <c r="B521" s="1">
        <f>DATE(2011,1,30) + TIME(9,48,45)</f>
        <v>40573.408854166664</v>
      </c>
      <c r="C521">
        <v>80</v>
      </c>
      <c r="D521">
        <v>68.324806213000002</v>
      </c>
      <c r="E521">
        <v>50</v>
      </c>
      <c r="F521">
        <v>49.881916046000001</v>
      </c>
      <c r="G521">
        <v>1328.7480469</v>
      </c>
      <c r="H521">
        <v>1327.8195800999999</v>
      </c>
      <c r="I521">
        <v>1334.4931641000001</v>
      </c>
      <c r="J521">
        <v>1332.9835204999999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276</v>
      </c>
      <c r="B522" s="1">
        <f>DATE(2011,2,1) + TIME(0,0,0)</f>
        <v>40575</v>
      </c>
      <c r="C522">
        <v>80</v>
      </c>
      <c r="D522">
        <v>68.021339416999993</v>
      </c>
      <c r="E522">
        <v>50</v>
      </c>
      <c r="F522">
        <v>49.881996155000003</v>
      </c>
      <c r="G522">
        <v>1328.7164307</v>
      </c>
      <c r="H522">
        <v>1327.7768555</v>
      </c>
      <c r="I522">
        <v>1334.4892577999999</v>
      </c>
      <c r="J522">
        <v>1332.9826660000001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278.92490800000002</v>
      </c>
      <c r="B523" s="1">
        <f>DATE(2011,2,3) + TIME(22,11,52)</f>
        <v>40577.924907407411</v>
      </c>
      <c r="C523">
        <v>80</v>
      </c>
      <c r="D523">
        <v>67.633407593000001</v>
      </c>
      <c r="E523">
        <v>50</v>
      </c>
      <c r="F523">
        <v>49.882259369000003</v>
      </c>
      <c r="G523">
        <v>1328.6956786999999</v>
      </c>
      <c r="H523">
        <v>1327.7449951000001</v>
      </c>
      <c r="I523">
        <v>1334.4873047000001</v>
      </c>
      <c r="J523">
        <v>1332.9821777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281.99843499999997</v>
      </c>
      <c r="B524" s="1">
        <f>DATE(2011,2,6) + TIME(23,57,44)</f>
        <v>40580.998425925929</v>
      </c>
      <c r="C524">
        <v>80</v>
      </c>
      <c r="D524">
        <v>67.208290099999999</v>
      </c>
      <c r="E524">
        <v>50</v>
      </c>
      <c r="F524">
        <v>49.882518767999997</v>
      </c>
      <c r="G524">
        <v>1328.6655272999999</v>
      </c>
      <c r="H524">
        <v>1327.7036132999999</v>
      </c>
      <c r="I524">
        <v>1334.4833983999999</v>
      </c>
      <c r="J524">
        <v>1332.9814452999999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285.088436</v>
      </c>
      <c r="B525" s="1">
        <f>DATE(2011,2,10) + TIME(2,7,20)</f>
        <v>40584.088425925926</v>
      </c>
      <c r="C525">
        <v>80</v>
      </c>
      <c r="D525">
        <v>66.761947632000002</v>
      </c>
      <c r="E525">
        <v>50</v>
      </c>
      <c r="F525">
        <v>49.882766724</v>
      </c>
      <c r="G525">
        <v>1328.6342772999999</v>
      </c>
      <c r="H525">
        <v>1327.6602783000001</v>
      </c>
      <c r="I525">
        <v>1334.4796143000001</v>
      </c>
      <c r="J525">
        <v>1332.9807129000001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288.211862</v>
      </c>
      <c r="B526" s="1">
        <f>DATE(2011,2,13) + TIME(5,5,4)</f>
        <v>40587.211851851855</v>
      </c>
      <c r="C526">
        <v>80</v>
      </c>
      <c r="D526">
        <v>66.303466796999999</v>
      </c>
      <c r="E526">
        <v>50</v>
      </c>
      <c r="F526">
        <v>49.883010863999999</v>
      </c>
      <c r="G526">
        <v>1328.6031493999999</v>
      </c>
      <c r="H526">
        <v>1327.6168213000001</v>
      </c>
      <c r="I526">
        <v>1334.4757079999999</v>
      </c>
      <c r="J526">
        <v>1332.9801024999999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291.38996700000001</v>
      </c>
      <c r="B527" s="1">
        <f>DATE(2011,2,16) + TIME(9,21,33)</f>
        <v>40590.389965277776</v>
      </c>
      <c r="C527">
        <v>80</v>
      </c>
      <c r="D527">
        <v>65.835380553999997</v>
      </c>
      <c r="E527">
        <v>50</v>
      </c>
      <c r="F527">
        <v>49.883258820000002</v>
      </c>
      <c r="G527">
        <v>1328.5725098</v>
      </c>
      <c r="H527">
        <v>1327.5737305</v>
      </c>
      <c r="I527">
        <v>1334.4719238</v>
      </c>
      <c r="J527">
        <v>1332.9793701000001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294.62928699999998</v>
      </c>
      <c r="B528" s="1">
        <f>DATE(2011,2,19) + TIME(15,6,10)</f>
        <v>40593.629282407404</v>
      </c>
      <c r="C528">
        <v>80</v>
      </c>
      <c r="D528">
        <v>65.358230590999995</v>
      </c>
      <c r="E528">
        <v>50</v>
      </c>
      <c r="F528">
        <v>49.883514404000003</v>
      </c>
      <c r="G528">
        <v>1328.5423584</v>
      </c>
      <c r="H528">
        <v>1327.5311279</v>
      </c>
      <c r="I528">
        <v>1334.4682617000001</v>
      </c>
      <c r="J528">
        <v>1332.9787598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297.94167800000002</v>
      </c>
      <c r="B529" s="1">
        <f>DATE(2011,2,22) + TIME(22,36,1)</f>
        <v>40596.941678240742</v>
      </c>
      <c r="C529">
        <v>80</v>
      </c>
      <c r="D529">
        <v>64.871627808</v>
      </c>
      <c r="E529">
        <v>50</v>
      </c>
      <c r="F529">
        <v>49.883773804</v>
      </c>
      <c r="G529">
        <v>1328.5128173999999</v>
      </c>
      <c r="H529">
        <v>1327.4891356999999</v>
      </c>
      <c r="I529">
        <v>1334.4644774999999</v>
      </c>
      <c r="J529">
        <v>1332.9781493999999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301.33815499999997</v>
      </c>
      <c r="B530" s="1">
        <f>DATE(2011,2,26) + TIME(8,6,56)</f>
        <v>40600.338148148148</v>
      </c>
      <c r="C530">
        <v>80</v>
      </c>
      <c r="D530">
        <v>64.374771117999998</v>
      </c>
      <c r="E530">
        <v>50</v>
      </c>
      <c r="F530">
        <v>49.884040833</v>
      </c>
      <c r="G530">
        <v>1328.4835204999999</v>
      </c>
      <c r="H530">
        <v>1327.4476318</v>
      </c>
      <c r="I530">
        <v>1334.4606934000001</v>
      </c>
      <c r="J530">
        <v>1332.9775391000001</v>
      </c>
      <c r="K530">
        <v>0</v>
      </c>
      <c r="L530">
        <v>550</v>
      </c>
      <c r="M530">
        <v>550</v>
      </c>
      <c r="N530">
        <v>0</v>
      </c>
    </row>
    <row r="531" spans="1:14" x14ac:dyDescent="0.25">
      <c r="A531">
        <v>304</v>
      </c>
      <c r="B531" s="1">
        <f>DATE(2011,3,1) + TIME(0,0,0)</f>
        <v>40603</v>
      </c>
      <c r="C531">
        <v>80</v>
      </c>
      <c r="D531">
        <v>63.924079894999998</v>
      </c>
      <c r="E531">
        <v>50</v>
      </c>
      <c r="F531">
        <v>49.884220122999999</v>
      </c>
      <c r="G531">
        <v>1328.4547118999999</v>
      </c>
      <c r="H531">
        <v>1327.4074707</v>
      </c>
      <c r="I531">
        <v>1334.4569091999999</v>
      </c>
      <c r="J531">
        <v>1332.9769286999999</v>
      </c>
      <c r="K531">
        <v>0</v>
      </c>
      <c r="L531">
        <v>550</v>
      </c>
      <c r="M531">
        <v>550</v>
      </c>
      <c r="N531">
        <v>0</v>
      </c>
    </row>
    <row r="532" spans="1:14" x14ac:dyDescent="0.25">
      <c r="A532">
        <v>307.49371200000002</v>
      </c>
      <c r="B532" s="1">
        <f>DATE(2011,3,4) + TIME(11,50,56)</f>
        <v>40606.493703703702</v>
      </c>
      <c r="C532">
        <v>80</v>
      </c>
      <c r="D532">
        <v>63.447742462000001</v>
      </c>
      <c r="E532">
        <v>50</v>
      </c>
      <c r="F532">
        <v>49.884513855000002</v>
      </c>
      <c r="G532">
        <v>1328.4312743999999</v>
      </c>
      <c r="H532">
        <v>1327.3721923999999</v>
      </c>
      <c r="I532">
        <v>1334.4539795000001</v>
      </c>
      <c r="J532">
        <v>1332.9764404</v>
      </c>
      <c r="K532">
        <v>0</v>
      </c>
      <c r="L532">
        <v>550</v>
      </c>
      <c r="M532">
        <v>550</v>
      </c>
      <c r="N532">
        <v>0</v>
      </c>
    </row>
    <row r="533" spans="1:14" x14ac:dyDescent="0.25">
      <c r="A533">
        <v>311.22866499999998</v>
      </c>
      <c r="B533" s="1">
        <f>DATE(2011,3,8) + TIME(5,29,16)</f>
        <v>40610.22865740741</v>
      </c>
      <c r="C533">
        <v>80</v>
      </c>
      <c r="D533">
        <v>62.933380127</v>
      </c>
      <c r="E533">
        <v>50</v>
      </c>
      <c r="F533">
        <v>49.884819030999999</v>
      </c>
      <c r="G533">
        <v>1328.4046631000001</v>
      </c>
      <c r="H533">
        <v>1327.3344727000001</v>
      </c>
      <c r="I533">
        <v>1334.4503173999999</v>
      </c>
      <c r="J533">
        <v>1332.9758300999999</v>
      </c>
      <c r="K533">
        <v>0</v>
      </c>
      <c r="L533">
        <v>550</v>
      </c>
      <c r="M533">
        <v>550</v>
      </c>
      <c r="N533">
        <v>0</v>
      </c>
    </row>
    <row r="534" spans="1:14" x14ac:dyDescent="0.25">
      <c r="A534">
        <v>314.97842600000001</v>
      </c>
      <c r="B534" s="1">
        <f>DATE(2011,3,11) + TIME(23,28,55)</f>
        <v>40613.978414351855</v>
      </c>
      <c r="C534">
        <v>80</v>
      </c>
      <c r="D534">
        <v>62.396671294999997</v>
      </c>
      <c r="E534">
        <v>50</v>
      </c>
      <c r="F534">
        <v>49.885112761999999</v>
      </c>
      <c r="G534">
        <v>1328.3771973</v>
      </c>
      <c r="H534">
        <v>1327.2956543</v>
      </c>
      <c r="I534">
        <v>1334.4462891000001</v>
      </c>
      <c r="J534">
        <v>1332.9753418</v>
      </c>
      <c r="K534">
        <v>0</v>
      </c>
      <c r="L534">
        <v>550</v>
      </c>
      <c r="M534">
        <v>550</v>
      </c>
      <c r="N534">
        <v>0</v>
      </c>
    </row>
    <row r="535" spans="1:14" x14ac:dyDescent="0.25">
      <c r="A535">
        <v>318.754051</v>
      </c>
      <c r="B535" s="1">
        <f>DATE(2011,3,15) + TIME(18,5,49)</f>
        <v>40617.75403935185</v>
      </c>
      <c r="C535">
        <v>80</v>
      </c>
      <c r="D535">
        <v>61.851657867</v>
      </c>
      <c r="E535">
        <v>50</v>
      </c>
      <c r="F535">
        <v>49.885406494000001</v>
      </c>
      <c r="G535">
        <v>1328.3504639</v>
      </c>
      <c r="H535">
        <v>1327.2570800999999</v>
      </c>
      <c r="I535">
        <v>1334.4423827999999</v>
      </c>
      <c r="J535">
        <v>1332.9747314000001</v>
      </c>
      <c r="K535">
        <v>0</v>
      </c>
      <c r="L535">
        <v>550</v>
      </c>
      <c r="M535">
        <v>550</v>
      </c>
      <c r="N535">
        <v>0</v>
      </c>
    </row>
    <row r="536" spans="1:14" x14ac:dyDescent="0.25">
      <c r="A536">
        <v>322.58020800000003</v>
      </c>
      <c r="B536" s="1">
        <f>DATE(2011,3,19) + TIME(13,55,29)</f>
        <v>40621.580196759256</v>
      </c>
      <c r="C536">
        <v>80</v>
      </c>
      <c r="D536">
        <v>61.302402495999999</v>
      </c>
      <c r="E536">
        <v>50</v>
      </c>
      <c r="F536">
        <v>49.885704040999997</v>
      </c>
      <c r="G536">
        <v>1328.3244629000001</v>
      </c>
      <c r="H536">
        <v>1327.2194824000001</v>
      </c>
      <c r="I536">
        <v>1334.4385986</v>
      </c>
      <c r="J536">
        <v>1332.9741211</v>
      </c>
      <c r="K536">
        <v>0</v>
      </c>
      <c r="L536">
        <v>550</v>
      </c>
      <c r="M536">
        <v>550</v>
      </c>
      <c r="N536">
        <v>0</v>
      </c>
    </row>
    <row r="537" spans="1:14" x14ac:dyDescent="0.25">
      <c r="A537">
        <v>326.48384900000002</v>
      </c>
      <c r="B537" s="1">
        <f>DATE(2011,3,23) + TIME(11,36,44)</f>
        <v>40625.483842592592</v>
      </c>
      <c r="C537">
        <v>80</v>
      </c>
      <c r="D537">
        <v>60.748699188000003</v>
      </c>
      <c r="E537">
        <v>50</v>
      </c>
      <c r="F537">
        <v>49.886005402000002</v>
      </c>
      <c r="G537">
        <v>1328.2994385</v>
      </c>
      <c r="H537">
        <v>1327.1831055</v>
      </c>
      <c r="I537">
        <v>1334.4346923999999</v>
      </c>
      <c r="J537">
        <v>1332.9735106999999</v>
      </c>
      <c r="K537">
        <v>0</v>
      </c>
      <c r="L537">
        <v>550</v>
      </c>
      <c r="M537">
        <v>550</v>
      </c>
      <c r="N537">
        <v>0</v>
      </c>
    </row>
    <row r="538" spans="1:14" x14ac:dyDescent="0.25">
      <c r="A538">
        <v>330.49285700000001</v>
      </c>
      <c r="B538" s="1">
        <f>DATE(2011,3,27) + TIME(11,49,42)</f>
        <v>40629.492847222224</v>
      </c>
      <c r="C538">
        <v>80</v>
      </c>
      <c r="D538">
        <v>60.188781738000003</v>
      </c>
      <c r="E538">
        <v>50</v>
      </c>
      <c r="F538">
        <v>49.886318207000002</v>
      </c>
      <c r="G538">
        <v>1328.2752685999999</v>
      </c>
      <c r="H538">
        <v>1327.1477050999999</v>
      </c>
      <c r="I538">
        <v>1334.4309082</v>
      </c>
      <c r="J538">
        <v>1332.9729004000001</v>
      </c>
      <c r="K538">
        <v>0</v>
      </c>
      <c r="L538">
        <v>550</v>
      </c>
      <c r="M538">
        <v>550</v>
      </c>
      <c r="N538">
        <v>0</v>
      </c>
    </row>
    <row r="539" spans="1:14" x14ac:dyDescent="0.25">
      <c r="A539">
        <v>334.61352900000003</v>
      </c>
      <c r="B539" s="1">
        <f>DATE(2011,3,31) + TIME(14,43,28)</f>
        <v>40633.613518518519</v>
      </c>
      <c r="C539">
        <v>80</v>
      </c>
      <c r="D539">
        <v>59.621051788000003</v>
      </c>
      <c r="E539">
        <v>50</v>
      </c>
      <c r="F539">
        <v>49.886642455999997</v>
      </c>
      <c r="G539">
        <v>1328.2518310999999</v>
      </c>
      <c r="H539">
        <v>1327.1135254000001</v>
      </c>
      <c r="I539">
        <v>1334.4270019999999</v>
      </c>
      <c r="J539">
        <v>1332.972168</v>
      </c>
      <c r="K539">
        <v>0</v>
      </c>
      <c r="L539">
        <v>550</v>
      </c>
      <c r="M539">
        <v>550</v>
      </c>
      <c r="N539">
        <v>0</v>
      </c>
    </row>
    <row r="540" spans="1:14" x14ac:dyDescent="0.25">
      <c r="A540">
        <v>335</v>
      </c>
      <c r="B540" s="1">
        <f>DATE(2011,4,1) + TIME(0,0,0)</f>
        <v>40634</v>
      </c>
      <c r="C540">
        <v>80</v>
      </c>
      <c r="D540">
        <v>59.495094299000002</v>
      </c>
      <c r="E540">
        <v>50</v>
      </c>
      <c r="F540">
        <v>49.886638640999998</v>
      </c>
      <c r="G540">
        <v>1328.2275391000001</v>
      </c>
      <c r="H540">
        <v>1327.0842285000001</v>
      </c>
      <c r="I540">
        <v>1334.4229736</v>
      </c>
      <c r="J540">
        <v>1332.9714355000001</v>
      </c>
      <c r="K540">
        <v>0</v>
      </c>
      <c r="L540">
        <v>550</v>
      </c>
      <c r="M540">
        <v>550</v>
      </c>
      <c r="N540">
        <v>0</v>
      </c>
    </row>
    <row r="541" spans="1:14" x14ac:dyDescent="0.25">
      <c r="A541">
        <v>339.26379300000002</v>
      </c>
      <c r="B541" s="1">
        <f>DATE(2011,4,5) + TIME(6,19,51)</f>
        <v>40638.263784722221</v>
      </c>
      <c r="C541">
        <v>80</v>
      </c>
      <c r="D541">
        <v>58.965076447000001</v>
      </c>
      <c r="E541">
        <v>50</v>
      </c>
      <c r="F541">
        <v>49.886993408000002</v>
      </c>
      <c r="G541">
        <v>1328.2258300999999</v>
      </c>
      <c r="H541">
        <v>1327.0743408000001</v>
      </c>
      <c r="I541">
        <v>1334.4226074000001</v>
      </c>
      <c r="J541">
        <v>1332.9714355000001</v>
      </c>
      <c r="K541">
        <v>0</v>
      </c>
      <c r="L541">
        <v>550</v>
      </c>
      <c r="M541">
        <v>550</v>
      </c>
      <c r="N541">
        <v>0</v>
      </c>
    </row>
    <row r="542" spans="1:14" x14ac:dyDescent="0.25">
      <c r="A542">
        <v>343.67165799999998</v>
      </c>
      <c r="B542" s="1">
        <f>DATE(2011,4,9) + TIME(16,7,11)</f>
        <v>40642.671655092592</v>
      </c>
      <c r="C542">
        <v>80</v>
      </c>
      <c r="D542">
        <v>58.396202086999999</v>
      </c>
      <c r="E542">
        <v>50</v>
      </c>
      <c r="F542">
        <v>49.887348175</v>
      </c>
      <c r="G542">
        <v>1328.2048339999999</v>
      </c>
      <c r="H542">
        <v>1327.0439452999999</v>
      </c>
      <c r="I542">
        <v>1334.4185791</v>
      </c>
      <c r="J542">
        <v>1332.9708252</v>
      </c>
      <c r="K542">
        <v>0</v>
      </c>
      <c r="L542">
        <v>550</v>
      </c>
      <c r="M542">
        <v>550</v>
      </c>
      <c r="N542">
        <v>0</v>
      </c>
    </row>
    <row r="543" spans="1:14" x14ac:dyDescent="0.25">
      <c r="A543">
        <v>348.15434699999997</v>
      </c>
      <c r="B543" s="1">
        <f>DATE(2011,4,14) + TIME(3,42,15)</f>
        <v>40647.154340277775</v>
      </c>
      <c r="C543">
        <v>80</v>
      </c>
      <c r="D543">
        <v>57.811664581000002</v>
      </c>
      <c r="E543">
        <v>50</v>
      </c>
      <c r="F543">
        <v>49.887695311999998</v>
      </c>
      <c r="G543">
        <v>1328.184082</v>
      </c>
      <c r="H543">
        <v>1327.0134277</v>
      </c>
      <c r="I543">
        <v>1334.4144286999999</v>
      </c>
      <c r="J543">
        <v>1332.9700928</v>
      </c>
      <c r="K543">
        <v>0</v>
      </c>
      <c r="L543">
        <v>550</v>
      </c>
      <c r="M543">
        <v>550</v>
      </c>
      <c r="N543">
        <v>0</v>
      </c>
    </row>
    <row r="544" spans="1:14" x14ac:dyDescent="0.25">
      <c r="A544">
        <v>352.67213500000003</v>
      </c>
      <c r="B544" s="1">
        <f>DATE(2011,4,18) + TIME(16,7,52)</f>
        <v>40651.672129629631</v>
      </c>
      <c r="C544">
        <v>80</v>
      </c>
      <c r="D544">
        <v>57.225475310999997</v>
      </c>
      <c r="E544">
        <v>50</v>
      </c>
      <c r="F544">
        <v>49.88804245</v>
      </c>
      <c r="G544">
        <v>1328.1641846</v>
      </c>
      <c r="H544">
        <v>1326.9840088000001</v>
      </c>
      <c r="I544">
        <v>1334.4104004000001</v>
      </c>
      <c r="J544">
        <v>1332.9693603999999</v>
      </c>
      <c r="K544">
        <v>0</v>
      </c>
      <c r="L544">
        <v>550</v>
      </c>
      <c r="M544">
        <v>550</v>
      </c>
      <c r="N544">
        <v>0</v>
      </c>
    </row>
    <row r="545" spans="1:14" x14ac:dyDescent="0.25">
      <c r="A545">
        <v>357.25248299999998</v>
      </c>
      <c r="B545" s="1">
        <f>DATE(2011,4,23) + TIME(6,3,34)</f>
        <v>40656.252476851849</v>
      </c>
      <c r="C545">
        <v>80</v>
      </c>
      <c r="D545">
        <v>56.643852234000001</v>
      </c>
      <c r="E545">
        <v>50</v>
      </c>
      <c r="F545">
        <v>49.888393401999998</v>
      </c>
      <c r="G545">
        <v>1328.1455077999999</v>
      </c>
      <c r="H545">
        <v>1326.9559326000001</v>
      </c>
      <c r="I545">
        <v>1334.40625</v>
      </c>
      <c r="J545">
        <v>1332.9685059000001</v>
      </c>
      <c r="K545">
        <v>0</v>
      </c>
      <c r="L545">
        <v>550</v>
      </c>
      <c r="M545">
        <v>550</v>
      </c>
      <c r="N545">
        <v>0</v>
      </c>
    </row>
    <row r="546" spans="1:14" x14ac:dyDescent="0.25">
      <c r="A546">
        <v>361.91955100000001</v>
      </c>
      <c r="B546" s="1">
        <f>DATE(2011,4,27) + TIME(22,4,9)</f>
        <v>40660.919548611113</v>
      </c>
      <c r="C546">
        <v>80</v>
      </c>
      <c r="D546">
        <v>56.067733765</v>
      </c>
      <c r="E546">
        <v>50</v>
      </c>
      <c r="F546">
        <v>49.888751984000002</v>
      </c>
      <c r="G546">
        <v>1328.1280518000001</v>
      </c>
      <c r="H546">
        <v>1326.9296875</v>
      </c>
      <c r="I546">
        <v>1334.4022216999999</v>
      </c>
      <c r="J546">
        <v>1332.9676514</v>
      </c>
      <c r="K546">
        <v>0</v>
      </c>
      <c r="L546">
        <v>550</v>
      </c>
      <c r="M546">
        <v>550</v>
      </c>
      <c r="N546">
        <v>0</v>
      </c>
    </row>
    <row r="547" spans="1:14" x14ac:dyDescent="0.25">
      <c r="A547">
        <v>365</v>
      </c>
      <c r="B547" s="1">
        <f>DATE(2011,5,1) + TIME(0,0,0)</f>
        <v>40664</v>
      </c>
      <c r="C547">
        <v>80</v>
      </c>
      <c r="D547">
        <v>55.585510253999999</v>
      </c>
      <c r="E547">
        <v>50</v>
      </c>
      <c r="F547">
        <v>49.888935089</v>
      </c>
      <c r="G547">
        <v>1328.1113281</v>
      </c>
      <c r="H547">
        <v>1326.9056396000001</v>
      </c>
      <c r="I547">
        <v>1334.3980713000001</v>
      </c>
      <c r="J547">
        <v>1332.9667969</v>
      </c>
      <c r="K547">
        <v>0</v>
      </c>
      <c r="L547">
        <v>550</v>
      </c>
      <c r="M547">
        <v>550</v>
      </c>
      <c r="N547">
        <v>0</v>
      </c>
    </row>
    <row r="548" spans="1:14" x14ac:dyDescent="0.25">
      <c r="A548">
        <v>365.000001</v>
      </c>
      <c r="B548" s="1">
        <f>DATE(2011,5,1) + TIME(0,0,0)</f>
        <v>40664</v>
      </c>
      <c r="C548">
        <v>80</v>
      </c>
      <c r="D548">
        <v>55.585556029999999</v>
      </c>
      <c r="E548">
        <v>50</v>
      </c>
      <c r="F548">
        <v>49.888916016000003</v>
      </c>
      <c r="G548">
        <v>1329.7182617000001</v>
      </c>
      <c r="H548">
        <v>1328.3820800999999</v>
      </c>
      <c r="I548">
        <v>1332.7923584</v>
      </c>
      <c r="J548">
        <v>1332.4520264</v>
      </c>
      <c r="K548">
        <v>550</v>
      </c>
      <c r="L548">
        <v>0</v>
      </c>
      <c r="M548">
        <v>0</v>
      </c>
      <c r="N548">
        <v>550</v>
      </c>
    </row>
    <row r="549" spans="1:14" x14ac:dyDescent="0.25">
      <c r="A549">
        <v>365.00000399999999</v>
      </c>
      <c r="B549" s="1">
        <f>DATE(2011,5,1) + TIME(0,0,0)</f>
        <v>40664</v>
      </c>
      <c r="C549">
        <v>80</v>
      </c>
      <c r="D549">
        <v>55.585651398000003</v>
      </c>
      <c r="E549">
        <v>50</v>
      </c>
      <c r="F549">
        <v>49.888870238999999</v>
      </c>
      <c r="G549">
        <v>1330.1287841999999</v>
      </c>
      <c r="H549">
        <v>1328.8779297000001</v>
      </c>
      <c r="I549">
        <v>1332.4498291</v>
      </c>
      <c r="J549">
        <v>1332.1074219</v>
      </c>
      <c r="K549">
        <v>550</v>
      </c>
      <c r="L549">
        <v>0</v>
      </c>
      <c r="M549">
        <v>0</v>
      </c>
      <c r="N549">
        <v>550</v>
      </c>
    </row>
    <row r="550" spans="1:14" x14ac:dyDescent="0.25">
      <c r="A550">
        <v>365.00001300000002</v>
      </c>
      <c r="B550" s="1">
        <f>DATE(2011,5,1) + TIME(0,0,1)</f>
        <v>40664.000011574077</v>
      </c>
      <c r="C550">
        <v>80</v>
      </c>
      <c r="D550">
        <v>55.585830688000001</v>
      </c>
      <c r="E550">
        <v>50</v>
      </c>
      <c r="F550">
        <v>49.888809203999998</v>
      </c>
      <c r="G550">
        <v>1330.7686768000001</v>
      </c>
      <c r="H550">
        <v>1329.5433350000001</v>
      </c>
      <c r="I550">
        <v>1331.9645995999999</v>
      </c>
      <c r="J550">
        <v>1331.6134033000001</v>
      </c>
      <c r="K550">
        <v>550</v>
      </c>
      <c r="L550">
        <v>0</v>
      </c>
      <c r="M550">
        <v>0</v>
      </c>
      <c r="N550">
        <v>550</v>
      </c>
    </row>
    <row r="551" spans="1:14" x14ac:dyDescent="0.25">
      <c r="A551">
        <v>365.00004000000001</v>
      </c>
      <c r="B551" s="1">
        <f>DATE(2011,5,1) + TIME(0,0,3)</f>
        <v>40664.000034722223</v>
      </c>
      <c r="C551">
        <v>80</v>
      </c>
      <c r="D551">
        <v>55.586204529</v>
      </c>
      <c r="E551">
        <v>50</v>
      </c>
      <c r="F551">
        <v>49.888740540000001</v>
      </c>
      <c r="G551">
        <v>1331.5219727000001</v>
      </c>
      <c r="H551">
        <v>1330.2684326000001</v>
      </c>
      <c r="I551">
        <v>1331.4317627</v>
      </c>
      <c r="J551">
        <v>1331.0666504000001</v>
      </c>
      <c r="K551">
        <v>550</v>
      </c>
      <c r="L551">
        <v>0</v>
      </c>
      <c r="M551">
        <v>0</v>
      </c>
      <c r="N551">
        <v>550</v>
      </c>
    </row>
    <row r="552" spans="1:14" x14ac:dyDescent="0.25">
      <c r="A552">
        <v>365.00012099999998</v>
      </c>
      <c r="B552" s="1">
        <f>DATE(2011,5,1) + TIME(0,0,10)</f>
        <v>40664.000115740739</v>
      </c>
      <c r="C552">
        <v>80</v>
      </c>
      <c r="D552">
        <v>55.587169647000003</v>
      </c>
      <c r="E552">
        <v>50</v>
      </c>
      <c r="F552">
        <v>49.888664245999998</v>
      </c>
      <c r="G552">
        <v>1332.2840576000001</v>
      </c>
      <c r="H552">
        <v>1330.9968262</v>
      </c>
      <c r="I552">
        <v>1330.8861084</v>
      </c>
      <c r="J552">
        <v>1330.4956055</v>
      </c>
      <c r="K552">
        <v>550</v>
      </c>
      <c r="L552">
        <v>0</v>
      </c>
      <c r="M552">
        <v>0</v>
      </c>
      <c r="N552">
        <v>550</v>
      </c>
    </row>
    <row r="553" spans="1:14" x14ac:dyDescent="0.25">
      <c r="A553">
        <v>365.00036399999999</v>
      </c>
      <c r="B553" s="1">
        <f>DATE(2011,5,1) + TIME(0,0,31)</f>
        <v>40664.000358796293</v>
      </c>
      <c r="C553">
        <v>80</v>
      </c>
      <c r="D553">
        <v>55.589931487999998</v>
      </c>
      <c r="E553">
        <v>50</v>
      </c>
      <c r="F553">
        <v>49.888576508</v>
      </c>
      <c r="G553">
        <v>1332.9976807</v>
      </c>
      <c r="H553">
        <v>1331.6783447</v>
      </c>
      <c r="I553">
        <v>1330.3410644999999</v>
      </c>
      <c r="J553">
        <v>1329.9099120999999</v>
      </c>
      <c r="K553">
        <v>550</v>
      </c>
      <c r="L553">
        <v>0</v>
      </c>
      <c r="M553">
        <v>0</v>
      </c>
      <c r="N553">
        <v>550</v>
      </c>
    </row>
    <row r="554" spans="1:14" x14ac:dyDescent="0.25">
      <c r="A554">
        <v>365.00109300000003</v>
      </c>
      <c r="B554" s="1">
        <f>DATE(2011,5,1) + TIME(0,1,34)</f>
        <v>40664.001087962963</v>
      </c>
      <c r="C554">
        <v>80</v>
      </c>
      <c r="D554">
        <v>55.598175048999998</v>
      </c>
      <c r="E554">
        <v>50</v>
      </c>
      <c r="F554">
        <v>49.888446807999998</v>
      </c>
      <c r="G554">
        <v>1333.5567627</v>
      </c>
      <c r="H554">
        <v>1332.2113036999999</v>
      </c>
      <c r="I554">
        <v>1329.8684082</v>
      </c>
      <c r="J554">
        <v>1329.3973389</v>
      </c>
      <c r="K554">
        <v>550</v>
      </c>
      <c r="L554">
        <v>0</v>
      </c>
      <c r="M554">
        <v>0</v>
      </c>
      <c r="N554">
        <v>550</v>
      </c>
    </row>
    <row r="555" spans="1:14" x14ac:dyDescent="0.25">
      <c r="A555">
        <v>365.00328000000002</v>
      </c>
      <c r="B555" s="1">
        <f>DATE(2011,5,1) + TIME(0,4,43)</f>
        <v>40664.003275462965</v>
      </c>
      <c r="C555">
        <v>80</v>
      </c>
      <c r="D555">
        <v>55.622959137000002</v>
      </c>
      <c r="E555">
        <v>50</v>
      </c>
      <c r="F555">
        <v>49.888195037999999</v>
      </c>
      <c r="G555">
        <v>1333.8884277</v>
      </c>
      <c r="H555">
        <v>1332.5305175999999</v>
      </c>
      <c r="I555">
        <v>1329.552124</v>
      </c>
      <c r="J555">
        <v>1329.0596923999999</v>
      </c>
      <c r="K555">
        <v>550</v>
      </c>
      <c r="L555">
        <v>0</v>
      </c>
      <c r="M555">
        <v>0</v>
      </c>
      <c r="N555">
        <v>550</v>
      </c>
    </row>
    <row r="556" spans="1:14" x14ac:dyDescent="0.25">
      <c r="A556">
        <v>365.00984099999999</v>
      </c>
      <c r="B556" s="1">
        <f>DATE(2011,5,1) + TIME(0,14,10)</f>
        <v>40664.009837962964</v>
      </c>
      <c r="C556">
        <v>80</v>
      </c>
      <c r="D556">
        <v>55.697204589999998</v>
      </c>
      <c r="E556">
        <v>50</v>
      </c>
      <c r="F556">
        <v>49.887538910000004</v>
      </c>
      <c r="G556">
        <v>1334.0380858999999</v>
      </c>
      <c r="H556">
        <v>1332.6776123</v>
      </c>
      <c r="I556">
        <v>1329.4006348</v>
      </c>
      <c r="J556">
        <v>1328.9011230000001</v>
      </c>
      <c r="K556">
        <v>550</v>
      </c>
      <c r="L556">
        <v>0</v>
      </c>
      <c r="M556">
        <v>0</v>
      </c>
      <c r="N556">
        <v>550</v>
      </c>
    </row>
    <row r="557" spans="1:14" x14ac:dyDescent="0.25">
      <c r="A557">
        <v>365.02952399999998</v>
      </c>
      <c r="B557" s="1">
        <f>DATE(2011,5,1) + TIME(0,42,30)</f>
        <v>40664.029513888891</v>
      </c>
      <c r="C557">
        <v>80</v>
      </c>
      <c r="D557">
        <v>55.918048859000002</v>
      </c>
      <c r="E557">
        <v>50</v>
      </c>
      <c r="F557">
        <v>49.885623932000001</v>
      </c>
      <c r="G557">
        <v>1334.0842285000001</v>
      </c>
      <c r="H557">
        <v>1332.7270507999999</v>
      </c>
      <c r="I557">
        <v>1329.3603516000001</v>
      </c>
      <c r="J557">
        <v>1328.8591309000001</v>
      </c>
      <c r="K557">
        <v>550</v>
      </c>
      <c r="L557">
        <v>0</v>
      </c>
      <c r="M557">
        <v>0</v>
      </c>
      <c r="N557">
        <v>550</v>
      </c>
    </row>
    <row r="558" spans="1:14" x14ac:dyDescent="0.25">
      <c r="A558">
        <v>365.088573</v>
      </c>
      <c r="B558" s="1">
        <f>DATE(2011,5,1) + TIME(2,7,32)</f>
        <v>40664.088564814818</v>
      </c>
      <c r="C558">
        <v>80</v>
      </c>
      <c r="D558">
        <v>56.563278197999999</v>
      </c>
      <c r="E558">
        <v>50</v>
      </c>
      <c r="F558">
        <v>49.879928589000002</v>
      </c>
      <c r="G558">
        <v>1334.0795897999999</v>
      </c>
      <c r="H558">
        <v>1332.7342529</v>
      </c>
      <c r="I558">
        <v>1329.3571777</v>
      </c>
      <c r="J558">
        <v>1328.8554687999999</v>
      </c>
      <c r="K558">
        <v>550</v>
      </c>
      <c r="L558">
        <v>0</v>
      </c>
      <c r="M558">
        <v>0</v>
      </c>
      <c r="N558">
        <v>550</v>
      </c>
    </row>
    <row r="559" spans="1:14" x14ac:dyDescent="0.25">
      <c r="A559">
        <v>365.16430800000001</v>
      </c>
      <c r="B559" s="1">
        <f>DATE(2011,5,1) + TIME(3,56,36)</f>
        <v>40664.164305555554</v>
      </c>
      <c r="C559">
        <v>80</v>
      </c>
      <c r="D559">
        <v>57.369880676000001</v>
      </c>
      <c r="E559">
        <v>50</v>
      </c>
      <c r="F559">
        <v>49.872657775999997</v>
      </c>
      <c r="G559">
        <v>1334.0878906</v>
      </c>
      <c r="H559">
        <v>1332.7462158000001</v>
      </c>
      <c r="I559">
        <v>1329.3566894999999</v>
      </c>
      <c r="J559">
        <v>1328.8540039</v>
      </c>
      <c r="K559">
        <v>550</v>
      </c>
      <c r="L559">
        <v>0</v>
      </c>
      <c r="M559">
        <v>0</v>
      </c>
      <c r="N559">
        <v>550</v>
      </c>
    </row>
    <row r="560" spans="1:14" x14ac:dyDescent="0.25">
      <c r="A560">
        <v>365.24159700000001</v>
      </c>
      <c r="B560" s="1">
        <f>DATE(2011,5,1) + TIME(5,47,53)</f>
        <v>40664.241585648146</v>
      </c>
      <c r="C560">
        <v>80</v>
      </c>
      <c r="D560">
        <v>58.174652100000003</v>
      </c>
      <c r="E560">
        <v>50</v>
      </c>
      <c r="F560">
        <v>49.865264893000003</v>
      </c>
      <c r="G560">
        <v>1334.1087646000001</v>
      </c>
      <c r="H560">
        <v>1332.7650146000001</v>
      </c>
      <c r="I560">
        <v>1329.355957</v>
      </c>
      <c r="J560">
        <v>1328.8520507999999</v>
      </c>
      <c r="K560">
        <v>550</v>
      </c>
      <c r="L560">
        <v>0</v>
      </c>
      <c r="M560">
        <v>0</v>
      </c>
      <c r="N560">
        <v>550</v>
      </c>
    </row>
    <row r="561" spans="1:14" x14ac:dyDescent="0.25">
      <c r="A561">
        <v>365.32036900000003</v>
      </c>
      <c r="B561" s="1">
        <f>DATE(2011,5,1) + TIME(7,41,19)</f>
        <v>40664.3203587963</v>
      </c>
      <c r="C561">
        <v>80</v>
      </c>
      <c r="D561">
        <v>58.976013184000003</v>
      </c>
      <c r="E561">
        <v>50</v>
      </c>
      <c r="F561">
        <v>49.857746124000002</v>
      </c>
      <c r="G561">
        <v>1334.1320800999999</v>
      </c>
      <c r="H561">
        <v>1332.7854004000001</v>
      </c>
      <c r="I561">
        <v>1329.3552245999999</v>
      </c>
      <c r="J561">
        <v>1328.8500977000001</v>
      </c>
      <c r="K561">
        <v>550</v>
      </c>
      <c r="L561">
        <v>0</v>
      </c>
      <c r="M561">
        <v>0</v>
      </c>
      <c r="N561">
        <v>550</v>
      </c>
    </row>
    <row r="562" spans="1:14" x14ac:dyDescent="0.25">
      <c r="A562">
        <v>365.40067699999997</v>
      </c>
      <c r="B562" s="1">
        <f>DATE(2011,5,1) + TIME(9,36,58)</f>
        <v>40664.400671296295</v>
      </c>
      <c r="C562">
        <v>80</v>
      </c>
      <c r="D562">
        <v>59.773582458</v>
      </c>
      <c r="E562">
        <v>50</v>
      </c>
      <c r="F562">
        <v>49.850105286000002</v>
      </c>
      <c r="G562">
        <v>1334.1577147999999</v>
      </c>
      <c r="H562">
        <v>1332.8071289</v>
      </c>
      <c r="I562">
        <v>1329.3543701000001</v>
      </c>
      <c r="J562">
        <v>1328.8480225000001</v>
      </c>
      <c r="K562">
        <v>550</v>
      </c>
      <c r="L562">
        <v>0</v>
      </c>
      <c r="M562">
        <v>0</v>
      </c>
      <c r="N562">
        <v>550</v>
      </c>
    </row>
    <row r="563" spans="1:14" x14ac:dyDescent="0.25">
      <c r="A563">
        <v>365.48257699999999</v>
      </c>
      <c r="B563" s="1">
        <f>DATE(2011,5,1) + TIME(11,34,54)</f>
        <v>40664.482569444444</v>
      </c>
      <c r="C563">
        <v>80</v>
      </c>
      <c r="D563">
        <v>60.566501617</v>
      </c>
      <c r="E563">
        <v>50</v>
      </c>
      <c r="F563">
        <v>49.842338562000002</v>
      </c>
      <c r="G563">
        <v>1334.1856689000001</v>
      </c>
      <c r="H563">
        <v>1332.8302002</v>
      </c>
      <c r="I563">
        <v>1329.3536377</v>
      </c>
      <c r="J563">
        <v>1328.8459473</v>
      </c>
      <c r="K563">
        <v>550</v>
      </c>
      <c r="L563">
        <v>0</v>
      </c>
      <c r="M563">
        <v>0</v>
      </c>
      <c r="N563">
        <v>550</v>
      </c>
    </row>
    <row r="564" spans="1:14" x14ac:dyDescent="0.25">
      <c r="A564">
        <v>365.56612899999999</v>
      </c>
      <c r="B564" s="1">
        <f>DATE(2011,5,1) + TIME(13,35,13)</f>
        <v>40664.566122685188</v>
      </c>
      <c r="C564">
        <v>80</v>
      </c>
      <c r="D564">
        <v>61.354465484999999</v>
      </c>
      <c r="E564">
        <v>50</v>
      </c>
      <c r="F564">
        <v>49.834434508999998</v>
      </c>
      <c r="G564">
        <v>1334.2156981999999</v>
      </c>
      <c r="H564">
        <v>1332.8546143000001</v>
      </c>
      <c r="I564">
        <v>1329.3529053</v>
      </c>
      <c r="J564">
        <v>1328.8438721</v>
      </c>
      <c r="K564">
        <v>550</v>
      </c>
      <c r="L564">
        <v>0</v>
      </c>
      <c r="M564">
        <v>0</v>
      </c>
      <c r="N564">
        <v>550</v>
      </c>
    </row>
    <row r="565" spans="1:14" x14ac:dyDescent="0.25">
      <c r="A565">
        <v>365.65139599999998</v>
      </c>
      <c r="B565" s="1">
        <f>DATE(2011,5,1) + TIME(15,38,0)</f>
        <v>40664.651388888888</v>
      </c>
      <c r="C565">
        <v>80</v>
      </c>
      <c r="D565">
        <v>62.137023925999998</v>
      </c>
      <c r="E565">
        <v>50</v>
      </c>
      <c r="F565">
        <v>49.826396942000002</v>
      </c>
      <c r="G565">
        <v>1334.2478027</v>
      </c>
      <c r="H565">
        <v>1332.8803711</v>
      </c>
      <c r="I565">
        <v>1329.3521728999999</v>
      </c>
      <c r="J565">
        <v>1328.8417969</v>
      </c>
      <c r="K565">
        <v>550</v>
      </c>
      <c r="L565">
        <v>0</v>
      </c>
      <c r="M565">
        <v>0</v>
      </c>
      <c r="N565">
        <v>550</v>
      </c>
    </row>
    <row r="566" spans="1:14" x14ac:dyDescent="0.25">
      <c r="A566">
        <v>365.73844600000001</v>
      </c>
      <c r="B566" s="1">
        <f>DATE(2011,5,1) + TIME(17,43,21)</f>
        <v>40664.738437499997</v>
      </c>
      <c r="C566">
        <v>80</v>
      </c>
      <c r="D566">
        <v>62.913516997999999</v>
      </c>
      <c r="E566">
        <v>50</v>
      </c>
      <c r="F566">
        <v>49.818214417</v>
      </c>
      <c r="G566">
        <v>1334.2818603999999</v>
      </c>
      <c r="H566">
        <v>1332.9073486</v>
      </c>
      <c r="I566">
        <v>1329.3514404</v>
      </c>
      <c r="J566">
        <v>1328.8395995999999</v>
      </c>
      <c r="K566">
        <v>550</v>
      </c>
      <c r="L566">
        <v>0</v>
      </c>
      <c r="M566">
        <v>0</v>
      </c>
      <c r="N566">
        <v>550</v>
      </c>
    </row>
    <row r="567" spans="1:14" x14ac:dyDescent="0.25">
      <c r="A567">
        <v>365.82735300000002</v>
      </c>
      <c r="B567" s="1">
        <f>DATE(2011,5,1) + TIME(19,51,23)</f>
        <v>40664.827349537038</v>
      </c>
      <c r="C567">
        <v>80</v>
      </c>
      <c r="D567">
        <v>63.683223724000001</v>
      </c>
      <c r="E567">
        <v>50</v>
      </c>
      <c r="F567">
        <v>49.809883118000002</v>
      </c>
      <c r="G567">
        <v>1334.317749</v>
      </c>
      <c r="H567">
        <v>1332.9354248</v>
      </c>
      <c r="I567">
        <v>1329.3507079999999</v>
      </c>
      <c r="J567">
        <v>1328.8374022999999</v>
      </c>
      <c r="K567">
        <v>550</v>
      </c>
      <c r="L567">
        <v>0</v>
      </c>
      <c r="M567">
        <v>0</v>
      </c>
      <c r="N567">
        <v>550</v>
      </c>
    </row>
    <row r="568" spans="1:14" x14ac:dyDescent="0.25">
      <c r="A568">
        <v>365.91819600000002</v>
      </c>
      <c r="B568" s="1">
        <f>DATE(2011,5,1) + TIME(22,2,12)</f>
        <v>40664.918194444443</v>
      </c>
      <c r="C568">
        <v>80</v>
      </c>
      <c r="D568">
        <v>64.445350646999998</v>
      </c>
      <c r="E568">
        <v>50</v>
      </c>
      <c r="F568">
        <v>49.801399230999998</v>
      </c>
      <c r="G568">
        <v>1334.3554687999999</v>
      </c>
      <c r="H568">
        <v>1332.9647216999999</v>
      </c>
      <c r="I568">
        <v>1329.3500977000001</v>
      </c>
      <c r="J568">
        <v>1328.8352050999999</v>
      </c>
      <c r="K568">
        <v>550</v>
      </c>
      <c r="L568">
        <v>0</v>
      </c>
      <c r="M568">
        <v>0</v>
      </c>
      <c r="N568">
        <v>550</v>
      </c>
    </row>
    <row r="569" spans="1:14" x14ac:dyDescent="0.25">
      <c r="A569">
        <v>366.01105200000001</v>
      </c>
      <c r="B569" s="1">
        <f>DATE(2011,5,2) + TIME(0,15,54)</f>
        <v>40665.011041666665</v>
      </c>
      <c r="C569">
        <v>80</v>
      </c>
      <c r="D569">
        <v>65.199035644999995</v>
      </c>
      <c r="E569">
        <v>50</v>
      </c>
      <c r="F569">
        <v>49.792755127</v>
      </c>
      <c r="G569">
        <v>1334.3948975000001</v>
      </c>
      <c r="H569">
        <v>1332.9949951000001</v>
      </c>
      <c r="I569">
        <v>1329.3493652</v>
      </c>
      <c r="J569">
        <v>1328.8330077999999</v>
      </c>
      <c r="K569">
        <v>550</v>
      </c>
      <c r="L569">
        <v>0</v>
      </c>
      <c r="M569">
        <v>0</v>
      </c>
      <c r="N569">
        <v>550</v>
      </c>
    </row>
    <row r="570" spans="1:14" x14ac:dyDescent="0.25">
      <c r="A570">
        <v>366.105998</v>
      </c>
      <c r="B570" s="1">
        <f>DATE(2011,5,2) + TIME(2,32,38)</f>
        <v>40665.105995370373</v>
      </c>
      <c r="C570">
        <v>80</v>
      </c>
      <c r="D570">
        <v>65.943344116000006</v>
      </c>
      <c r="E570">
        <v>50</v>
      </c>
      <c r="F570">
        <v>49.783943176000001</v>
      </c>
      <c r="G570">
        <v>1334.4359131000001</v>
      </c>
      <c r="H570">
        <v>1333.0263672000001</v>
      </c>
      <c r="I570">
        <v>1329.3486327999999</v>
      </c>
      <c r="J570">
        <v>1328.8306885</v>
      </c>
      <c r="K570">
        <v>550</v>
      </c>
      <c r="L570">
        <v>0</v>
      </c>
      <c r="M570">
        <v>0</v>
      </c>
      <c r="N570">
        <v>550</v>
      </c>
    </row>
    <row r="571" spans="1:14" x14ac:dyDescent="0.25">
      <c r="A571">
        <v>366.203146</v>
      </c>
      <c r="B571" s="1">
        <f>DATE(2011,5,2) + TIME(4,52,31)</f>
        <v>40665.203136574077</v>
      </c>
      <c r="C571">
        <v>80</v>
      </c>
      <c r="D571">
        <v>66.677314757999994</v>
      </c>
      <c r="E571">
        <v>50</v>
      </c>
      <c r="F571">
        <v>49.774959564</v>
      </c>
      <c r="G571">
        <v>1334.4785156</v>
      </c>
      <c r="H571">
        <v>1333.0585937999999</v>
      </c>
      <c r="I571">
        <v>1329.3479004000001</v>
      </c>
      <c r="J571">
        <v>1328.8283690999999</v>
      </c>
      <c r="K571">
        <v>550</v>
      </c>
      <c r="L571">
        <v>0</v>
      </c>
      <c r="M571">
        <v>0</v>
      </c>
      <c r="N571">
        <v>550</v>
      </c>
    </row>
    <row r="572" spans="1:14" x14ac:dyDescent="0.25">
      <c r="A572">
        <v>366.30259899999999</v>
      </c>
      <c r="B572" s="1">
        <f>DATE(2011,5,2) + TIME(7,15,44)</f>
        <v>40665.30259259259</v>
      </c>
      <c r="C572">
        <v>80</v>
      </c>
      <c r="D572">
        <v>67.399917603000006</v>
      </c>
      <c r="E572">
        <v>50</v>
      </c>
      <c r="F572">
        <v>49.765796661000003</v>
      </c>
      <c r="G572">
        <v>1334.5223389</v>
      </c>
      <c r="H572">
        <v>1333.0916748</v>
      </c>
      <c r="I572">
        <v>1329.347168</v>
      </c>
      <c r="J572">
        <v>1328.8260498</v>
      </c>
      <c r="K572">
        <v>550</v>
      </c>
      <c r="L572">
        <v>0</v>
      </c>
      <c r="M572">
        <v>0</v>
      </c>
      <c r="N572">
        <v>550</v>
      </c>
    </row>
    <row r="573" spans="1:14" x14ac:dyDescent="0.25">
      <c r="A573">
        <v>366.40446700000001</v>
      </c>
      <c r="B573" s="1">
        <f>DATE(2011,5,2) + TIME(9,42,25)</f>
        <v>40665.404456018521</v>
      </c>
      <c r="C573">
        <v>80</v>
      </c>
      <c r="D573">
        <v>68.110092163000004</v>
      </c>
      <c r="E573">
        <v>50</v>
      </c>
      <c r="F573">
        <v>49.756443023999999</v>
      </c>
      <c r="G573">
        <v>1334.5676269999999</v>
      </c>
      <c r="H573">
        <v>1333.1256103999999</v>
      </c>
      <c r="I573">
        <v>1329.3464355000001</v>
      </c>
      <c r="J573">
        <v>1328.8236084</v>
      </c>
      <c r="K573">
        <v>550</v>
      </c>
      <c r="L573">
        <v>0</v>
      </c>
      <c r="M573">
        <v>0</v>
      </c>
      <c r="N573">
        <v>550</v>
      </c>
    </row>
    <row r="574" spans="1:14" x14ac:dyDescent="0.25">
      <c r="A574">
        <v>366.508872</v>
      </c>
      <c r="B574" s="1">
        <f>DATE(2011,5,2) + TIME(12,12,46)</f>
        <v>40665.50886574074</v>
      </c>
      <c r="C574">
        <v>80</v>
      </c>
      <c r="D574">
        <v>68.806739807</v>
      </c>
      <c r="E574">
        <v>50</v>
      </c>
      <c r="F574">
        <v>49.746891022</v>
      </c>
      <c r="G574">
        <v>1334.6140137</v>
      </c>
      <c r="H574">
        <v>1333.1602783000001</v>
      </c>
      <c r="I574">
        <v>1329.3457031</v>
      </c>
      <c r="J574">
        <v>1328.8212891000001</v>
      </c>
      <c r="K574">
        <v>550</v>
      </c>
      <c r="L574">
        <v>0</v>
      </c>
      <c r="M574">
        <v>0</v>
      </c>
      <c r="N574">
        <v>550</v>
      </c>
    </row>
    <row r="575" spans="1:14" x14ac:dyDescent="0.25">
      <c r="A575">
        <v>366.61594200000002</v>
      </c>
      <c r="B575" s="1">
        <f>DATE(2011,5,2) + TIME(14,46,57)</f>
        <v>40665.615937499999</v>
      </c>
      <c r="C575">
        <v>80</v>
      </c>
      <c r="D575">
        <v>69.488761901999993</v>
      </c>
      <c r="E575">
        <v>50</v>
      </c>
      <c r="F575">
        <v>49.737129211000003</v>
      </c>
      <c r="G575">
        <v>1334.661499</v>
      </c>
      <c r="H575">
        <v>1333.1955565999999</v>
      </c>
      <c r="I575">
        <v>1329.3449707</v>
      </c>
      <c r="J575">
        <v>1328.8187256000001</v>
      </c>
      <c r="K575">
        <v>550</v>
      </c>
      <c r="L575">
        <v>0</v>
      </c>
      <c r="M575">
        <v>0</v>
      </c>
      <c r="N575">
        <v>550</v>
      </c>
    </row>
    <row r="576" spans="1:14" x14ac:dyDescent="0.25">
      <c r="A576">
        <v>366.725819</v>
      </c>
      <c r="B576" s="1">
        <f>DATE(2011,5,2) + TIME(17,25,10)</f>
        <v>40665.725810185184</v>
      </c>
      <c r="C576">
        <v>80</v>
      </c>
      <c r="D576">
        <v>70.154907226999995</v>
      </c>
      <c r="E576">
        <v>50</v>
      </c>
      <c r="F576">
        <v>49.727153778000002</v>
      </c>
      <c r="G576">
        <v>1334.7099608999999</v>
      </c>
      <c r="H576">
        <v>1333.2315673999999</v>
      </c>
      <c r="I576">
        <v>1329.3442382999999</v>
      </c>
      <c r="J576">
        <v>1328.8162841999999</v>
      </c>
      <c r="K576">
        <v>550</v>
      </c>
      <c r="L576">
        <v>0</v>
      </c>
      <c r="M576">
        <v>0</v>
      </c>
      <c r="N576">
        <v>550</v>
      </c>
    </row>
    <row r="577" spans="1:14" x14ac:dyDescent="0.25">
      <c r="A577">
        <v>366.83865700000001</v>
      </c>
      <c r="B577" s="1">
        <f>DATE(2011,5,2) + TIME(20,7,39)</f>
        <v>40665.838645833333</v>
      </c>
      <c r="C577">
        <v>80</v>
      </c>
      <c r="D577">
        <v>70.803787231000001</v>
      </c>
      <c r="E577">
        <v>50</v>
      </c>
      <c r="F577">
        <v>49.716945647999999</v>
      </c>
      <c r="G577">
        <v>1334.7593993999999</v>
      </c>
      <c r="H577">
        <v>1333.2679443</v>
      </c>
      <c r="I577">
        <v>1329.3435059000001</v>
      </c>
      <c r="J577">
        <v>1328.8137207</v>
      </c>
      <c r="K577">
        <v>550</v>
      </c>
      <c r="L577">
        <v>0</v>
      </c>
      <c r="M577">
        <v>0</v>
      </c>
      <c r="N577">
        <v>550</v>
      </c>
    </row>
    <row r="578" spans="1:14" x14ac:dyDescent="0.25">
      <c r="A578">
        <v>366.95462099999997</v>
      </c>
      <c r="B578" s="1">
        <f>DATE(2011,5,2) + TIME(22,54,39)</f>
        <v>40665.954618055555</v>
      </c>
      <c r="C578">
        <v>80</v>
      </c>
      <c r="D578">
        <v>71.434646606000001</v>
      </c>
      <c r="E578">
        <v>50</v>
      </c>
      <c r="F578">
        <v>49.706497192</v>
      </c>
      <c r="G578">
        <v>1334.8095702999999</v>
      </c>
      <c r="H578">
        <v>1333.3049315999999</v>
      </c>
      <c r="I578">
        <v>1329.3426514</v>
      </c>
      <c r="J578">
        <v>1328.8110352000001</v>
      </c>
      <c r="K578">
        <v>550</v>
      </c>
      <c r="L578">
        <v>0</v>
      </c>
      <c r="M578">
        <v>0</v>
      </c>
      <c r="N578">
        <v>550</v>
      </c>
    </row>
    <row r="579" spans="1:14" x14ac:dyDescent="0.25">
      <c r="A579">
        <v>367.073894</v>
      </c>
      <c r="B579" s="1">
        <f>DATE(2011,5,3) + TIME(1,46,24)</f>
        <v>40666.073888888888</v>
      </c>
      <c r="C579">
        <v>80</v>
      </c>
      <c r="D579">
        <v>72.046409607000001</v>
      </c>
      <c r="E579">
        <v>50</v>
      </c>
      <c r="F579">
        <v>49.695796967</v>
      </c>
      <c r="G579">
        <v>1334.8603516000001</v>
      </c>
      <c r="H579">
        <v>1333.3421631000001</v>
      </c>
      <c r="I579">
        <v>1329.3419189000001</v>
      </c>
      <c r="J579">
        <v>1328.8084716999999</v>
      </c>
      <c r="K579">
        <v>550</v>
      </c>
      <c r="L579">
        <v>0</v>
      </c>
      <c r="M579">
        <v>0</v>
      </c>
      <c r="N579">
        <v>550</v>
      </c>
    </row>
    <row r="580" spans="1:14" x14ac:dyDescent="0.25">
      <c r="A580">
        <v>367.19673399999999</v>
      </c>
      <c r="B580" s="1">
        <f>DATE(2011,5,3) + TIME(4,43,17)</f>
        <v>40666.19672453704</v>
      </c>
      <c r="C580">
        <v>80</v>
      </c>
      <c r="D580">
        <v>72.638267517000003</v>
      </c>
      <c r="E580">
        <v>50</v>
      </c>
      <c r="F580">
        <v>49.684822083</v>
      </c>
      <c r="G580">
        <v>1334.9117432</v>
      </c>
      <c r="H580">
        <v>1333.3797606999999</v>
      </c>
      <c r="I580">
        <v>1329.3410644999999</v>
      </c>
      <c r="J580">
        <v>1328.8056641000001</v>
      </c>
      <c r="K580">
        <v>550</v>
      </c>
      <c r="L580">
        <v>0</v>
      </c>
      <c r="M580">
        <v>0</v>
      </c>
      <c r="N580">
        <v>550</v>
      </c>
    </row>
    <row r="581" spans="1:14" x14ac:dyDescent="0.25">
      <c r="A581">
        <v>367.32331199999999</v>
      </c>
      <c r="B581" s="1">
        <f>DATE(2011,5,3) + TIME(7,45,34)</f>
        <v>40666.323310185187</v>
      </c>
      <c r="C581">
        <v>80</v>
      </c>
      <c r="D581">
        <v>73.208976746000005</v>
      </c>
      <c r="E581">
        <v>50</v>
      </c>
      <c r="F581">
        <v>49.673561096</v>
      </c>
      <c r="G581">
        <v>1334.9636230000001</v>
      </c>
      <c r="H581">
        <v>1333.4176024999999</v>
      </c>
      <c r="I581">
        <v>1329.3402100000001</v>
      </c>
      <c r="J581">
        <v>1328.8029785000001</v>
      </c>
      <c r="K581">
        <v>550</v>
      </c>
      <c r="L581">
        <v>0</v>
      </c>
      <c r="M581">
        <v>0</v>
      </c>
      <c r="N581">
        <v>550</v>
      </c>
    </row>
    <row r="582" spans="1:14" x14ac:dyDescent="0.25">
      <c r="A582">
        <v>367.453869</v>
      </c>
      <c r="B582" s="1">
        <f>DATE(2011,5,3) + TIME(10,53,34)</f>
        <v>40666.453865740739</v>
      </c>
      <c r="C582">
        <v>80</v>
      </c>
      <c r="D582">
        <v>73.757598877000007</v>
      </c>
      <c r="E582">
        <v>50</v>
      </c>
      <c r="F582">
        <v>49.662002563000001</v>
      </c>
      <c r="G582">
        <v>1335.0158690999999</v>
      </c>
      <c r="H582">
        <v>1333.4555664</v>
      </c>
      <c r="I582">
        <v>1329.3393555</v>
      </c>
      <c r="J582">
        <v>1328.8001709</v>
      </c>
      <c r="K582">
        <v>550</v>
      </c>
      <c r="L582">
        <v>0</v>
      </c>
      <c r="M582">
        <v>0</v>
      </c>
      <c r="N582">
        <v>550</v>
      </c>
    </row>
    <row r="583" spans="1:14" x14ac:dyDescent="0.25">
      <c r="A583">
        <v>367.58867299999997</v>
      </c>
      <c r="B583" s="1">
        <f>DATE(2011,5,3) + TIME(14,7,41)</f>
        <v>40666.58866898148</v>
      </c>
      <c r="C583">
        <v>80</v>
      </c>
      <c r="D583">
        <v>74.283264160000002</v>
      </c>
      <c r="E583">
        <v>50</v>
      </c>
      <c r="F583">
        <v>49.650119781000001</v>
      </c>
      <c r="G583">
        <v>1335.0683594</v>
      </c>
      <c r="H583">
        <v>1333.4935303</v>
      </c>
      <c r="I583">
        <v>1329.338501</v>
      </c>
      <c r="J583">
        <v>1328.7972411999999</v>
      </c>
      <c r="K583">
        <v>550</v>
      </c>
      <c r="L583">
        <v>0</v>
      </c>
      <c r="M583">
        <v>0</v>
      </c>
      <c r="N583">
        <v>550</v>
      </c>
    </row>
    <row r="584" spans="1:14" x14ac:dyDescent="0.25">
      <c r="A584">
        <v>367.728024</v>
      </c>
      <c r="B584" s="1">
        <f>DATE(2011,5,3) + TIME(17,28,21)</f>
        <v>40666.728020833332</v>
      </c>
      <c r="C584">
        <v>80</v>
      </c>
      <c r="D584">
        <v>74.785217285000002</v>
      </c>
      <c r="E584">
        <v>50</v>
      </c>
      <c r="F584">
        <v>49.637901306000003</v>
      </c>
      <c r="G584">
        <v>1335.1210937999999</v>
      </c>
      <c r="H584">
        <v>1333.5316161999999</v>
      </c>
      <c r="I584">
        <v>1329.3375243999999</v>
      </c>
      <c r="J584">
        <v>1328.7943115</v>
      </c>
      <c r="K584">
        <v>550</v>
      </c>
      <c r="L584">
        <v>0</v>
      </c>
      <c r="M584">
        <v>0</v>
      </c>
      <c r="N584">
        <v>550</v>
      </c>
    </row>
    <row r="585" spans="1:14" x14ac:dyDescent="0.25">
      <c r="A585">
        <v>367.872255</v>
      </c>
      <c r="B585" s="1">
        <f>DATE(2011,5,3) + TIME(20,56,2)</f>
        <v>40666.872245370374</v>
      </c>
      <c r="C585">
        <v>80</v>
      </c>
      <c r="D585">
        <v>75.262580872000001</v>
      </c>
      <c r="E585">
        <v>50</v>
      </c>
      <c r="F585">
        <v>49.625312805</v>
      </c>
      <c r="G585">
        <v>1335.1737060999999</v>
      </c>
      <c r="H585">
        <v>1333.5695800999999</v>
      </c>
      <c r="I585">
        <v>1329.3365478999999</v>
      </c>
      <c r="J585">
        <v>1328.7912598</v>
      </c>
      <c r="K585">
        <v>550</v>
      </c>
      <c r="L585">
        <v>0</v>
      </c>
      <c r="M585">
        <v>0</v>
      </c>
      <c r="N585">
        <v>550</v>
      </c>
    </row>
    <row r="586" spans="1:14" x14ac:dyDescent="0.25">
      <c r="A586">
        <v>368.02173900000003</v>
      </c>
      <c r="B586" s="1">
        <f>DATE(2011,5,4) + TIME(0,31,18)</f>
        <v>40667.021736111114</v>
      </c>
      <c r="C586">
        <v>80</v>
      </c>
      <c r="D586">
        <v>75.714836121000005</v>
      </c>
      <c r="E586">
        <v>50</v>
      </c>
      <c r="F586">
        <v>49.612335205000001</v>
      </c>
      <c r="G586">
        <v>1335.2263184000001</v>
      </c>
      <c r="H586">
        <v>1333.6074219</v>
      </c>
      <c r="I586">
        <v>1329.3355713000001</v>
      </c>
      <c r="J586">
        <v>1328.7882079999999</v>
      </c>
      <c r="K586">
        <v>550</v>
      </c>
      <c r="L586">
        <v>0</v>
      </c>
      <c r="M586">
        <v>0</v>
      </c>
      <c r="N586">
        <v>550</v>
      </c>
    </row>
    <row r="587" spans="1:14" x14ac:dyDescent="0.25">
      <c r="A587">
        <v>368.17689799999999</v>
      </c>
      <c r="B587" s="1">
        <f>DATE(2011,5,4) + TIME(4,14,43)</f>
        <v>40667.176886574074</v>
      </c>
      <c r="C587">
        <v>80</v>
      </c>
      <c r="D587">
        <v>76.141700744999994</v>
      </c>
      <c r="E587">
        <v>50</v>
      </c>
      <c r="F587">
        <v>49.598937988000003</v>
      </c>
      <c r="G587">
        <v>1335.2788086</v>
      </c>
      <c r="H587">
        <v>1333.6450195</v>
      </c>
      <c r="I587">
        <v>1329.3344727000001</v>
      </c>
      <c r="J587">
        <v>1328.7849120999999</v>
      </c>
      <c r="K587">
        <v>550</v>
      </c>
      <c r="L587">
        <v>0</v>
      </c>
      <c r="M587">
        <v>0</v>
      </c>
      <c r="N587">
        <v>550</v>
      </c>
    </row>
    <row r="588" spans="1:14" x14ac:dyDescent="0.25">
      <c r="A588">
        <v>368.33820500000002</v>
      </c>
      <c r="B588" s="1">
        <f>DATE(2011,5,4) + TIME(8,7,0)</f>
        <v>40667.338194444441</v>
      </c>
      <c r="C588">
        <v>80</v>
      </c>
      <c r="D588">
        <v>76.542877196999996</v>
      </c>
      <c r="E588">
        <v>50</v>
      </c>
      <c r="F588">
        <v>49.585086822999997</v>
      </c>
      <c r="G588">
        <v>1335.3309326000001</v>
      </c>
      <c r="H588">
        <v>1333.682251</v>
      </c>
      <c r="I588">
        <v>1329.333374</v>
      </c>
      <c r="J588">
        <v>1328.7817382999999</v>
      </c>
      <c r="K588">
        <v>550</v>
      </c>
      <c r="L588">
        <v>0</v>
      </c>
      <c r="M588">
        <v>0</v>
      </c>
      <c r="N588">
        <v>550</v>
      </c>
    </row>
    <row r="589" spans="1:14" x14ac:dyDescent="0.25">
      <c r="A589">
        <v>368.50620400000003</v>
      </c>
      <c r="B589" s="1">
        <f>DATE(2011,5,4) + TIME(12,8,56)</f>
        <v>40667.506203703706</v>
      </c>
      <c r="C589">
        <v>80</v>
      </c>
      <c r="D589">
        <v>76.918197632000002</v>
      </c>
      <c r="E589">
        <v>50</v>
      </c>
      <c r="F589">
        <v>49.570747375000003</v>
      </c>
      <c r="G589">
        <v>1335.3826904</v>
      </c>
      <c r="H589">
        <v>1333.7191161999999</v>
      </c>
      <c r="I589">
        <v>1329.3321533000001</v>
      </c>
      <c r="J589">
        <v>1328.7783202999999</v>
      </c>
      <c r="K589">
        <v>550</v>
      </c>
      <c r="L589">
        <v>0</v>
      </c>
      <c r="M589">
        <v>0</v>
      </c>
      <c r="N589">
        <v>550</v>
      </c>
    </row>
    <row r="590" spans="1:14" x14ac:dyDescent="0.25">
      <c r="A590">
        <v>368.6816</v>
      </c>
      <c r="B590" s="1">
        <f>DATE(2011,5,4) + TIME(16,21,30)</f>
        <v>40667.681597222225</v>
      </c>
      <c r="C590">
        <v>80</v>
      </c>
      <c r="D590">
        <v>77.267784118999998</v>
      </c>
      <c r="E590">
        <v>50</v>
      </c>
      <c r="F590">
        <v>49.555866240999997</v>
      </c>
      <c r="G590">
        <v>1335.4338379000001</v>
      </c>
      <c r="H590">
        <v>1333.7556152</v>
      </c>
      <c r="I590">
        <v>1329.3308105000001</v>
      </c>
      <c r="J590">
        <v>1328.7747803</v>
      </c>
      <c r="K590">
        <v>550</v>
      </c>
      <c r="L590">
        <v>0</v>
      </c>
      <c r="M590">
        <v>0</v>
      </c>
      <c r="N590">
        <v>550</v>
      </c>
    </row>
    <row r="591" spans="1:14" x14ac:dyDescent="0.25">
      <c r="A591">
        <v>368.86509599999999</v>
      </c>
      <c r="B591" s="1">
        <f>DATE(2011,5,4) + TIME(20,45,44)</f>
        <v>40667.86509259259</v>
      </c>
      <c r="C591">
        <v>80</v>
      </c>
      <c r="D591">
        <v>77.591697693</v>
      </c>
      <c r="E591">
        <v>50</v>
      </c>
      <c r="F591">
        <v>49.540401459000002</v>
      </c>
      <c r="G591">
        <v>1335.4844971</v>
      </c>
      <c r="H591">
        <v>1333.791626</v>
      </c>
      <c r="I591">
        <v>1329.3294678</v>
      </c>
      <c r="J591">
        <v>1328.7711182</v>
      </c>
      <c r="K591">
        <v>550</v>
      </c>
      <c r="L591">
        <v>0</v>
      </c>
      <c r="M591">
        <v>0</v>
      </c>
      <c r="N591">
        <v>550</v>
      </c>
    </row>
    <row r="592" spans="1:14" x14ac:dyDescent="0.25">
      <c r="A592">
        <v>369.05747600000001</v>
      </c>
      <c r="B592" s="1">
        <f>DATE(2011,5,5) + TIME(1,22,45)</f>
        <v>40668.05746527778</v>
      </c>
      <c r="C592">
        <v>80</v>
      </c>
      <c r="D592">
        <v>77.890090942</v>
      </c>
      <c r="E592">
        <v>50</v>
      </c>
      <c r="F592">
        <v>49.524295807000001</v>
      </c>
      <c r="G592">
        <v>1335.5345459</v>
      </c>
      <c r="H592">
        <v>1333.8270264</v>
      </c>
      <c r="I592">
        <v>1329.3280029</v>
      </c>
      <c r="J592">
        <v>1328.7674560999999</v>
      </c>
      <c r="K592">
        <v>550</v>
      </c>
      <c r="L592">
        <v>0</v>
      </c>
      <c r="M592">
        <v>0</v>
      </c>
      <c r="N592">
        <v>550</v>
      </c>
    </row>
    <row r="593" spans="1:14" x14ac:dyDescent="0.25">
      <c r="A593">
        <v>369.25971299999998</v>
      </c>
      <c r="B593" s="1">
        <f>DATE(2011,5,5) + TIME(6,13,59)</f>
        <v>40668.259710648148</v>
      </c>
      <c r="C593">
        <v>80</v>
      </c>
      <c r="D593">
        <v>78.163375853999995</v>
      </c>
      <c r="E593">
        <v>50</v>
      </c>
      <c r="F593">
        <v>49.507484435999999</v>
      </c>
      <c r="G593">
        <v>1335.5836182</v>
      </c>
      <c r="H593">
        <v>1333.8618164</v>
      </c>
      <c r="I593">
        <v>1329.3264160000001</v>
      </c>
      <c r="J593">
        <v>1328.7634277</v>
      </c>
      <c r="K593">
        <v>550</v>
      </c>
      <c r="L593">
        <v>0</v>
      </c>
      <c r="M593">
        <v>0</v>
      </c>
      <c r="N593">
        <v>550</v>
      </c>
    </row>
    <row r="594" spans="1:14" x14ac:dyDescent="0.25">
      <c r="A594">
        <v>369.47296399999999</v>
      </c>
      <c r="B594" s="1">
        <f>DATE(2011,5,5) + TIME(11,21,4)</f>
        <v>40668.472962962966</v>
      </c>
      <c r="C594">
        <v>80</v>
      </c>
      <c r="D594">
        <v>78.412086486999996</v>
      </c>
      <c r="E594">
        <v>50</v>
      </c>
      <c r="F594">
        <v>49.489891051999997</v>
      </c>
      <c r="G594">
        <v>1335.6317139</v>
      </c>
      <c r="H594">
        <v>1333.8957519999999</v>
      </c>
      <c r="I594">
        <v>1329.324707</v>
      </c>
      <c r="J594">
        <v>1328.7593993999999</v>
      </c>
      <c r="K594">
        <v>550</v>
      </c>
      <c r="L594">
        <v>0</v>
      </c>
      <c r="M594">
        <v>0</v>
      </c>
      <c r="N594">
        <v>550</v>
      </c>
    </row>
    <row r="595" spans="1:14" x14ac:dyDescent="0.25">
      <c r="A595">
        <v>369.69714599999998</v>
      </c>
      <c r="B595" s="1">
        <f>DATE(2011,5,5) + TIME(16,43,53)</f>
        <v>40668.697141203702</v>
      </c>
      <c r="C595">
        <v>80</v>
      </c>
      <c r="D595">
        <v>78.635589600000003</v>
      </c>
      <c r="E595">
        <v>50</v>
      </c>
      <c r="F595">
        <v>49.471538543999998</v>
      </c>
      <c r="G595">
        <v>1335.6763916</v>
      </c>
      <c r="H595">
        <v>1333.9272461</v>
      </c>
      <c r="I595">
        <v>1329.322876</v>
      </c>
      <c r="J595">
        <v>1328.7551269999999</v>
      </c>
      <c r="K595">
        <v>550</v>
      </c>
      <c r="L595">
        <v>0</v>
      </c>
      <c r="M595">
        <v>0</v>
      </c>
      <c r="N595">
        <v>550</v>
      </c>
    </row>
    <row r="596" spans="1:14" x14ac:dyDescent="0.25">
      <c r="A596">
        <v>369.93266899999998</v>
      </c>
      <c r="B596" s="1">
        <f>DATE(2011,5,5) + TIME(22,23,2)</f>
        <v>40668.932662037034</v>
      </c>
      <c r="C596">
        <v>80</v>
      </c>
      <c r="D596">
        <v>78.834411621000001</v>
      </c>
      <c r="E596">
        <v>50</v>
      </c>
      <c r="F596">
        <v>49.452411652000002</v>
      </c>
      <c r="G596">
        <v>1335.71875</v>
      </c>
      <c r="H596">
        <v>1333.9570312000001</v>
      </c>
      <c r="I596">
        <v>1329.3208007999999</v>
      </c>
      <c r="J596">
        <v>1328.7507324000001</v>
      </c>
      <c r="K596">
        <v>550</v>
      </c>
      <c r="L596">
        <v>0</v>
      </c>
      <c r="M596">
        <v>0</v>
      </c>
      <c r="N596">
        <v>550</v>
      </c>
    </row>
    <row r="597" spans="1:14" x14ac:dyDescent="0.25">
      <c r="A597">
        <v>370.17617999999999</v>
      </c>
      <c r="B597" s="1">
        <f>DATE(2011,5,6) + TIME(4,13,41)</f>
        <v>40669.176168981481</v>
      </c>
      <c r="C597">
        <v>80</v>
      </c>
      <c r="D597">
        <v>79.007255553999997</v>
      </c>
      <c r="E597">
        <v>50</v>
      </c>
      <c r="F597">
        <v>49.432792663999997</v>
      </c>
      <c r="G597">
        <v>1335.7596435999999</v>
      </c>
      <c r="H597">
        <v>1333.9858397999999</v>
      </c>
      <c r="I597">
        <v>1329.3186035000001</v>
      </c>
      <c r="J597">
        <v>1328.7460937999999</v>
      </c>
      <c r="K597">
        <v>550</v>
      </c>
      <c r="L597">
        <v>0</v>
      </c>
      <c r="M597">
        <v>0</v>
      </c>
      <c r="N597">
        <v>550</v>
      </c>
    </row>
    <row r="598" spans="1:14" x14ac:dyDescent="0.25">
      <c r="A598">
        <v>370.42066</v>
      </c>
      <c r="B598" s="1">
        <f>DATE(2011,5,6) + TIME(10,5,45)</f>
        <v>40669.420659722222</v>
      </c>
      <c r="C598">
        <v>80</v>
      </c>
      <c r="D598">
        <v>79.152839661000002</v>
      </c>
      <c r="E598">
        <v>50</v>
      </c>
      <c r="F598">
        <v>49.413223266999999</v>
      </c>
      <c r="G598">
        <v>1335.7969971</v>
      </c>
      <c r="H598">
        <v>1334.0120850000001</v>
      </c>
      <c r="I598">
        <v>1329.3162841999999</v>
      </c>
      <c r="J598">
        <v>1328.7414550999999</v>
      </c>
      <c r="K598">
        <v>550</v>
      </c>
      <c r="L598">
        <v>0</v>
      </c>
      <c r="M598">
        <v>0</v>
      </c>
      <c r="N598">
        <v>550</v>
      </c>
    </row>
    <row r="599" spans="1:14" x14ac:dyDescent="0.25">
      <c r="A599">
        <v>370.66733900000003</v>
      </c>
      <c r="B599" s="1">
        <f>DATE(2011,5,6) + TIME(16,0,58)</f>
        <v>40669.667337962965</v>
      </c>
      <c r="C599">
        <v>80</v>
      </c>
      <c r="D599">
        <v>79.275619507000002</v>
      </c>
      <c r="E599">
        <v>50</v>
      </c>
      <c r="F599">
        <v>49.393611907999997</v>
      </c>
      <c r="G599">
        <v>1335.8277588000001</v>
      </c>
      <c r="H599">
        <v>1334.0338135</v>
      </c>
      <c r="I599">
        <v>1329.3137207</v>
      </c>
      <c r="J599">
        <v>1328.7366943</v>
      </c>
      <c r="K599">
        <v>550</v>
      </c>
      <c r="L599">
        <v>0</v>
      </c>
      <c r="M599">
        <v>0</v>
      </c>
      <c r="N599">
        <v>550</v>
      </c>
    </row>
    <row r="600" spans="1:14" x14ac:dyDescent="0.25">
      <c r="A600">
        <v>370.917261</v>
      </c>
      <c r="B600" s="1">
        <f>DATE(2011,5,6) + TIME(22,0,51)</f>
        <v>40669.917256944442</v>
      </c>
      <c r="C600">
        <v>80</v>
      </c>
      <c r="D600">
        <v>79.379272460999999</v>
      </c>
      <c r="E600">
        <v>50</v>
      </c>
      <c r="F600">
        <v>49.373882293999998</v>
      </c>
      <c r="G600">
        <v>1335.8560791</v>
      </c>
      <c r="H600">
        <v>1334.0537108999999</v>
      </c>
      <c r="I600">
        <v>1329.3112793</v>
      </c>
      <c r="J600">
        <v>1328.7320557</v>
      </c>
      <c r="K600">
        <v>550</v>
      </c>
      <c r="L600">
        <v>0</v>
      </c>
      <c r="M600">
        <v>0</v>
      </c>
      <c r="N600">
        <v>550</v>
      </c>
    </row>
    <row r="601" spans="1:14" x14ac:dyDescent="0.25">
      <c r="A601">
        <v>371.17124999999999</v>
      </c>
      <c r="B601" s="1">
        <f>DATE(2011,5,7) + TIME(4,6,35)</f>
        <v>40670.171238425923</v>
      </c>
      <c r="C601">
        <v>80</v>
      </c>
      <c r="D601">
        <v>79.466720581000004</v>
      </c>
      <c r="E601">
        <v>50</v>
      </c>
      <c r="F601">
        <v>49.353977202999999</v>
      </c>
      <c r="G601">
        <v>1335.8819579999999</v>
      </c>
      <c r="H601">
        <v>1334.0721435999999</v>
      </c>
      <c r="I601">
        <v>1329.3087158000001</v>
      </c>
      <c r="J601">
        <v>1328.7272949000001</v>
      </c>
      <c r="K601">
        <v>550</v>
      </c>
      <c r="L601">
        <v>0</v>
      </c>
      <c r="M601">
        <v>0</v>
      </c>
      <c r="N601">
        <v>550</v>
      </c>
    </row>
    <row r="602" spans="1:14" x14ac:dyDescent="0.25">
      <c r="A602">
        <v>371.43016799999998</v>
      </c>
      <c r="B602" s="1">
        <f>DATE(2011,5,7) + TIME(10,19,26)</f>
        <v>40670.430162037039</v>
      </c>
      <c r="C602">
        <v>80</v>
      </c>
      <c r="D602">
        <v>79.540451050000001</v>
      </c>
      <c r="E602">
        <v>50</v>
      </c>
      <c r="F602">
        <v>49.333827972000002</v>
      </c>
      <c r="G602">
        <v>1335.9056396000001</v>
      </c>
      <c r="H602">
        <v>1334.0891113</v>
      </c>
      <c r="I602">
        <v>1329.3060303</v>
      </c>
      <c r="J602">
        <v>1328.7225341999999</v>
      </c>
      <c r="K602">
        <v>550</v>
      </c>
      <c r="L602">
        <v>0</v>
      </c>
      <c r="M602">
        <v>0</v>
      </c>
      <c r="N602">
        <v>550</v>
      </c>
    </row>
    <row r="603" spans="1:14" x14ac:dyDescent="0.25">
      <c r="A603">
        <v>371.69535500000001</v>
      </c>
      <c r="B603" s="1">
        <f>DATE(2011,5,7) + TIME(16,41,18)</f>
        <v>40670.695347222223</v>
      </c>
      <c r="C603">
        <v>80</v>
      </c>
      <c r="D603">
        <v>79.602577209000003</v>
      </c>
      <c r="E603">
        <v>50</v>
      </c>
      <c r="F603">
        <v>49.313350677000003</v>
      </c>
      <c r="G603">
        <v>1335.9243164</v>
      </c>
      <c r="H603">
        <v>1334.1026611</v>
      </c>
      <c r="I603">
        <v>1329.3032227000001</v>
      </c>
      <c r="J603">
        <v>1328.7176514</v>
      </c>
      <c r="K603">
        <v>550</v>
      </c>
      <c r="L603">
        <v>0</v>
      </c>
      <c r="M603">
        <v>0</v>
      </c>
      <c r="N603">
        <v>550</v>
      </c>
    </row>
    <row r="604" spans="1:14" x14ac:dyDescent="0.25">
      <c r="A604">
        <v>371.96828699999998</v>
      </c>
      <c r="B604" s="1">
        <f>DATE(2011,5,7) + TIME(23,14,19)</f>
        <v>40670.968275462961</v>
      </c>
      <c r="C604">
        <v>80</v>
      </c>
      <c r="D604">
        <v>79.654884338000002</v>
      </c>
      <c r="E604">
        <v>50</v>
      </c>
      <c r="F604">
        <v>49.292442321999999</v>
      </c>
      <c r="G604">
        <v>1335.9399414</v>
      </c>
      <c r="H604">
        <v>1334.1141356999999</v>
      </c>
      <c r="I604">
        <v>1329.300293</v>
      </c>
      <c r="J604">
        <v>1328.7126464999999</v>
      </c>
      <c r="K604">
        <v>550</v>
      </c>
      <c r="L604">
        <v>0</v>
      </c>
      <c r="M604">
        <v>0</v>
      </c>
      <c r="N604">
        <v>550</v>
      </c>
    </row>
    <row r="605" spans="1:14" x14ac:dyDescent="0.25">
      <c r="A605">
        <v>372.250359</v>
      </c>
      <c r="B605" s="1">
        <f>DATE(2011,5,8) + TIME(6,0,30)</f>
        <v>40671.250347222223</v>
      </c>
      <c r="C605">
        <v>80</v>
      </c>
      <c r="D605">
        <v>79.698867797999995</v>
      </c>
      <c r="E605">
        <v>50</v>
      </c>
      <c r="F605">
        <v>49.271007537999999</v>
      </c>
      <c r="G605">
        <v>1335.9542236</v>
      </c>
      <c r="H605">
        <v>1334.1246338000001</v>
      </c>
      <c r="I605">
        <v>1329.2972411999999</v>
      </c>
      <c r="J605">
        <v>1328.7076416</v>
      </c>
      <c r="K605">
        <v>550</v>
      </c>
      <c r="L605">
        <v>0</v>
      </c>
      <c r="M605">
        <v>0</v>
      </c>
      <c r="N605">
        <v>550</v>
      </c>
    </row>
    <row r="606" spans="1:14" x14ac:dyDescent="0.25">
      <c r="A606">
        <v>372.542936</v>
      </c>
      <c r="B606" s="1">
        <f>DATE(2011,5,8) + TIME(13,1,49)</f>
        <v>40671.542928240742</v>
      </c>
      <c r="C606">
        <v>80</v>
      </c>
      <c r="D606">
        <v>79.735740661999998</v>
      </c>
      <c r="E606">
        <v>50</v>
      </c>
      <c r="F606">
        <v>49.248962401999997</v>
      </c>
      <c r="G606">
        <v>1335.9671631000001</v>
      </c>
      <c r="H606">
        <v>1334.1343993999999</v>
      </c>
      <c r="I606">
        <v>1329.2940673999999</v>
      </c>
      <c r="J606">
        <v>1328.7025146000001</v>
      </c>
      <c r="K606">
        <v>550</v>
      </c>
      <c r="L606">
        <v>0</v>
      </c>
      <c r="M606">
        <v>0</v>
      </c>
      <c r="N606">
        <v>550</v>
      </c>
    </row>
    <row r="607" spans="1:14" x14ac:dyDescent="0.25">
      <c r="A607">
        <v>372.84112099999999</v>
      </c>
      <c r="B607" s="1">
        <f>DATE(2011,5,8) + TIME(20,11,12)</f>
        <v>40671.841111111113</v>
      </c>
      <c r="C607">
        <v>80</v>
      </c>
      <c r="D607">
        <v>79.766036987000007</v>
      </c>
      <c r="E607">
        <v>50</v>
      </c>
      <c r="F607">
        <v>49.226665496999999</v>
      </c>
      <c r="G607">
        <v>1335.9790039</v>
      </c>
      <c r="H607">
        <v>1334.1435547000001</v>
      </c>
      <c r="I607">
        <v>1329.2908935999999</v>
      </c>
      <c r="J607">
        <v>1328.6971435999999</v>
      </c>
      <c r="K607">
        <v>550</v>
      </c>
      <c r="L607">
        <v>0</v>
      </c>
      <c r="M607">
        <v>0</v>
      </c>
      <c r="N607">
        <v>550</v>
      </c>
    </row>
    <row r="608" spans="1:14" x14ac:dyDescent="0.25">
      <c r="A608">
        <v>373.14268900000002</v>
      </c>
      <c r="B608" s="1">
        <f>DATE(2011,5,9) + TIME(3,25,28)</f>
        <v>40672.142685185187</v>
      </c>
      <c r="C608">
        <v>80</v>
      </c>
      <c r="D608">
        <v>79.790710449000002</v>
      </c>
      <c r="E608">
        <v>50</v>
      </c>
      <c r="F608">
        <v>49.204277038999997</v>
      </c>
      <c r="G608">
        <v>1335.9895019999999</v>
      </c>
      <c r="H608">
        <v>1334.1517334</v>
      </c>
      <c r="I608">
        <v>1329.2875977000001</v>
      </c>
      <c r="J608">
        <v>1328.6917725000001</v>
      </c>
      <c r="K608">
        <v>550</v>
      </c>
      <c r="L608">
        <v>0</v>
      </c>
      <c r="M608">
        <v>0</v>
      </c>
      <c r="N608">
        <v>550</v>
      </c>
    </row>
    <row r="609" spans="1:14" x14ac:dyDescent="0.25">
      <c r="A609">
        <v>373.44830899999999</v>
      </c>
      <c r="B609" s="1">
        <f>DATE(2011,5,9) + TIME(10,45,33)</f>
        <v>40672.448298611111</v>
      </c>
      <c r="C609">
        <v>80</v>
      </c>
      <c r="D609">
        <v>79.810813904</v>
      </c>
      <c r="E609">
        <v>50</v>
      </c>
      <c r="F609">
        <v>49.181755066000001</v>
      </c>
      <c r="G609">
        <v>1335.9986572</v>
      </c>
      <c r="H609">
        <v>1334.1590576000001</v>
      </c>
      <c r="I609">
        <v>1329.2843018000001</v>
      </c>
      <c r="J609">
        <v>1328.6864014</v>
      </c>
      <c r="K609">
        <v>550</v>
      </c>
      <c r="L609">
        <v>0</v>
      </c>
      <c r="M609">
        <v>0</v>
      </c>
      <c r="N609">
        <v>550</v>
      </c>
    </row>
    <row r="610" spans="1:14" x14ac:dyDescent="0.25">
      <c r="A610">
        <v>373.75863299999997</v>
      </c>
      <c r="B610" s="1">
        <f>DATE(2011,5,9) + TIME(18,12,25)</f>
        <v>40672.758622685185</v>
      </c>
      <c r="C610">
        <v>80</v>
      </c>
      <c r="D610">
        <v>79.827201842999997</v>
      </c>
      <c r="E610">
        <v>50</v>
      </c>
      <c r="F610">
        <v>49.159053802000003</v>
      </c>
      <c r="G610">
        <v>1336.0057373</v>
      </c>
      <c r="H610">
        <v>1334.1650391000001</v>
      </c>
      <c r="I610">
        <v>1329.2808838000001</v>
      </c>
      <c r="J610">
        <v>1328.6810303</v>
      </c>
      <c r="K610">
        <v>550</v>
      </c>
      <c r="L610">
        <v>0</v>
      </c>
      <c r="M610">
        <v>0</v>
      </c>
      <c r="N610">
        <v>550</v>
      </c>
    </row>
    <row r="611" spans="1:14" x14ac:dyDescent="0.25">
      <c r="A611">
        <v>374.07449000000003</v>
      </c>
      <c r="B611" s="1">
        <f>DATE(2011,5,10) + TIME(1,47,15)</f>
        <v>40673.074479166666</v>
      </c>
      <c r="C611">
        <v>80</v>
      </c>
      <c r="D611">
        <v>79.840560913000004</v>
      </c>
      <c r="E611">
        <v>50</v>
      </c>
      <c r="F611">
        <v>49.136123656999999</v>
      </c>
      <c r="G611">
        <v>1336.0093993999999</v>
      </c>
      <c r="H611">
        <v>1334.1687012</v>
      </c>
      <c r="I611">
        <v>1329.2774658000001</v>
      </c>
      <c r="J611">
        <v>1328.6755370999999</v>
      </c>
      <c r="K611">
        <v>550</v>
      </c>
      <c r="L611">
        <v>0</v>
      </c>
      <c r="M611">
        <v>0</v>
      </c>
      <c r="N611">
        <v>550</v>
      </c>
    </row>
    <row r="612" spans="1:14" x14ac:dyDescent="0.25">
      <c r="A612">
        <v>374.396818</v>
      </c>
      <c r="B612" s="1">
        <f>DATE(2011,5,10) + TIME(9,31,25)</f>
        <v>40673.396817129629</v>
      </c>
      <c r="C612">
        <v>80</v>
      </c>
      <c r="D612">
        <v>79.851448059000006</v>
      </c>
      <c r="E612">
        <v>50</v>
      </c>
      <c r="F612">
        <v>49.112895966000004</v>
      </c>
      <c r="G612">
        <v>1336.012207</v>
      </c>
      <c r="H612">
        <v>1334.171875</v>
      </c>
      <c r="I612">
        <v>1329.2739257999999</v>
      </c>
      <c r="J612">
        <v>1328.6699219</v>
      </c>
      <c r="K612">
        <v>550</v>
      </c>
      <c r="L612">
        <v>0</v>
      </c>
      <c r="M612">
        <v>0</v>
      </c>
      <c r="N612">
        <v>550</v>
      </c>
    </row>
    <row r="613" spans="1:14" x14ac:dyDescent="0.25">
      <c r="A613">
        <v>374.72631999999999</v>
      </c>
      <c r="B613" s="1">
        <f>DATE(2011,5,10) + TIME(17,25,54)</f>
        <v>40673.726319444446</v>
      </c>
      <c r="C613">
        <v>80</v>
      </c>
      <c r="D613">
        <v>79.860328674000002</v>
      </c>
      <c r="E613">
        <v>50</v>
      </c>
      <c r="F613">
        <v>49.089336394999997</v>
      </c>
      <c r="G613">
        <v>1336.0144043</v>
      </c>
      <c r="H613">
        <v>1334.1746826000001</v>
      </c>
      <c r="I613">
        <v>1329.2702637</v>
      </c>
      <c r="J613">
        <v>1328.6643065999999</v>
      </c>
      <c r="K613">
        <v>550</v>
      </c>
      <c r="L613">
        <v>0</v>
      </c>
      <c r="M613">
        <v>0</v>
      </c>
      <c r="N613">
        <v>550</v>
      </c>
    </row>
    <row r="614" spans="1:14" x14ac:dyDescent="0.25">
      <c r="A614">
        <v>375.06377600000002</v>
      </c>
      <c r="B614" s="1">
        <f>DATE(2011,5,11) + TIME(1,31,50)</f>
        <v>40674.063773148147</v>
      </c>
      <c r="C614">
        <v>80</v>
      </c>
      <c r="D614">
        <v>79.867576599000003</v>
      </c>
      <c r="E614">
        <v>50</v>
      </c>
      <c r="F614">
        <v>49.065399169999999</v>
      </c>
      <c r="G614">
        <v>1336.0158690999999</v>
      </c>
      <c r="H614">
        <v>1334.1770019999999</v>
      </c>
      <c r="I614">
        <v>1329.2666016000001</v>
      </c>
      <c r="J614">
        <v>1328.6585693</v>
      </c>
      <c r="K614">
        <v>550</v>
      </c>
      <c r="L614">
        <v>0</v>
      </c>
      <c r="M614">
        <v>0</v>
      </c>
      <c r="N614">
        <v>550</v>
      </c>
    </row>
    <row r="615" spans="1:14" x14ac:dyDescent="0.25">
      <c r="A615">
        <v>375.41004700000002</v>
      </c>
      <c r="B615" s="1">
        <f>DATE(2011,5,11) + TIME(9,50,28)</f>
        <v>40674.410046296296</v>
      </c>
      <c r="C615">
        <v>80</v>
      </c>
      <c r="D615">
        <v>79.873481749999996</v>
      </c>
      <c r="E615">
        <v>50</v>
      </c>
      <c r="F615">
        <v>49.041027069000002</v>
      </c>
      <c r="G615">
        <v>1336.0167236</v>
      </c>
      <c r="H615">
        <v>1334.1790771000001</v>
      </c>
      <c r="I615">
        <v>1329.2628173999999</v>
      </c>
      <c r="J615">
        <v>1328.6527100000001</v>
      </c>
      <c r="K615">
        <v>550</v>
      </c>
      <c r="L615">
        <v>0</v>
      </c>
      <c r="M615">
        <v>0</v>
      </c>
      <c r="N615">
        <v>550</v>
      </c>
    </row>
    <row r="616" spans="1:14" x14ac:dyDescent="0.25">
      <c r="A616">
        <v>375.76605599999999</v>
      </c>
      <c r="B616" s="1">
        <f>DATE(2011,5,11) + TIME(18,23,7)</f>
        <v>40674.766053240739</v>
      </c>
      <c r="C616">
        <v>80</v>
      </c>
      <c r="D616">
        <v>79.878288268999995</v>
      </c>
      <c r="E616">
        <v>50</v>
      </c>
      <c r="F616">
        <v>49.016170502000001</v>
      </c>
      <c r="G616">
        <v>1336.0170897999999</v>
      </c>
      <c r="H616">
        <v>1334.1807861</v>
      </c>
      <c r="I616">
        <v>1329.2590332</v>
      </c>
      <c r="J616">
        <v>1328.6467285000001</v>
      </c>
      <c r="K616">
        <v>550</v>
      </c>
      <c r="L616">
        <v>0</v>
      </c>
      <c r="M616">
        <v>0</v>
      </c>
      <c r="N616">
        <v>550</v>
      </c>
    </row>
    <row r="617" spans="1:14" x14ac:dyDescent="0.25">
      <c r="A617">
        <v>376.13282199999998</v>
      </c>
      <c r="B617" s="1">
        <f>DATE(2011,5,12) + TIME(3,11,15)</f>
        <v>40675.1328125</v>
      </c>
      <c r="C617">
        <v>80</v>
      </c>
      <c r="D617">
        <v>79.882217406999999</v>
      </c>
      <c r="E617">
        <v>50</v>
      </c>
      <c r="F617">
        <v>48.990776062000002</v>
      </c>
      <c r="G617">
        <v>1336.0169678</v>
      </c>
      <c r="H617">
        <v>1334.1821289</v>
      </c>
      <c r="I617">
        <v>1329.2551269999999</v>
      </c>
      <c r="J617">
        <v>1328.640625</v>
      </c>
      <c r="K617">
        <v>550</v>
      </c>
      <c r="L617">
        <v>0</v>
      </c>
      <c r="M617">
        <v>0</v>
      </c>
      <c r="N617">
        <v>550</v>
      </c>
    </row>
    <row r="618" spans="1:14" x14ac:dyDescent="0.25">
      <c r="A618">
        <v>376.51147900000001</v>
      </c>
      <c r="B618" s="1">
        <f>DATE(2011,5,12) + TIME(12,16,31)</f>
        <v>40675.511469907404</v>
      </c>
      <c r="C618">
        <v>80</v>
      </c>
      <c r="D618">
        <v>79.885414123999993</v>
      </c>
      <c r="E618">
        <v>50</v>
      </c>
      <c r="F618">
        <v>48.964778899999999</v>
      </c>
      <c r="G618">
        <v>1336.0162353999999</v>
      </c>
      <c r="H618">
        <v>1334.1833495999999</v>
      </c>
      <c r="I618">
        <v>1329.2509766000001</v>
      </c>
      <c r="J618">
        <v>1328.6343993999999</v>
      </c>
      <c r="K618">
        <v>550</v>
      </c>
      <c r="L618">
        <v>0</v>
      </c>
      <c r="M618">
        <v>0</v>
      </c>
      <c r="N618">
        <v>550</v>
      </c>
    </row>
    <row r="619" spans="1:14" x14ac:dyDescent="0.25">
      <c r="A619">
        <v>376.903299</v>
      </c>
      <c r="B619" s="1">
        <f>DATE(2011,5,12) + TIME(21,40,45)</f>
        <v>40675.903298611112</v>
      </c>
      <c r="C619">
        <v>80</v>
      </c>
      <c r="D619">
        <v>79.888015746999997</v>
      </c>
      <c r="E619">
        <v>50</v>
      </c>
      <c r="F619">
        <v>48.938106537000003</v>
      </c>
      <c r="G619">
        <v>1336.0151367000001</v>
      </c>
      <c r="H619">
        <v>1334.1843262</v>
      </c>
      <c r="I619">
        <v>1329.2468262</v>
      </c>
      <c r="J619">
        <v>1328.6279297000001</v>
      </c>
      <c r="K619">
        <v>550</v>
      </c>
      <c r="L619">
        <v>0</v>
      </c>
      <c r="M619">
        <v>0</v>
      </c>
      <c r="N619">
        <v>550</v>
      </c>
    </row>
    <row r="620" spans="1:14" x14ac:dyDescent="0.25">
      <c r="A620">
        <v>377.31087000000002</v>
      </c>
      <c r="B620" s="1">
        <f>DATE(2011,5,13) + TIME(7,27,39)</f>
        <v>40676.310868055552</v>
      </c>
      <c r="C620">
        <v>80</v>
      </c>
      <c r="D620">
        <v>79.890136718999997</v>
      </c>
      <c r="E620">
        <v>50</v>
      </c>
      <c r="F620">
        <v>48.910610198999997</v>
      </c>
      <c r="G620">
        <v>1336.0136719</v>
      </c>
      <c r="H620">
        <v>1334.1850586</v>
      </c>
      <c r="I620">
        <v>1329.2425536999999</v>
      </c>
      <c r="J620">
        <v>1328.6213379000001</v>
      </c>
      <c r="K620">
        <v>550</v>
      </c>
      <c r="L620">
        <v>0</v>
      </c>
      <c r="M620">
        <v>0</v>
      </c>
      <c r="N620">
        <v>550</v>
      </c>
    </row>
    <row r="621" spans="1:14" x14ac:dyDescent="0.25">
      <c r="A621">
        <v>377.73669899999999</v>
      </c>
      <c r="B621" s="1">
        <f>DATE(2011,5,13) + TIME(17,40,50)</f>
        <v>40676.736689814818</v>
      </c>
      <c r="C621">
        <v>80</v>
      </c>
      <c r="D621">
        <v>79.891868591000005</v>
      </c>
      <c r="E621">
        <v>50</v>
      </c>
      <c r="F621">
        <v>48.882152556999998</v>
      </c>
      <c r="G621">
        <v>1336.0117187999999</v>
      </c>
      <c r="H621">
        <v>1334.1855469</v>
      </c>
      <c r="I621">
        <v>1329.2381591999999</v>
      </c>
      <c r="J621">
        <v>1328.6145019999999</v>
      </c>
      <c r="K621">
        <v>550</v>
      </c>
      <c r="L621">
        <v>0</v>
      </c>
      <c r="M621">
        <v>0</v>
      </c>
      <c r="N621">
        <v>550</v>
      </c>
    </row>
    <row r="622" spans="1:14" x14ac:dyDescent="0.25">
      <c r="A622">
        <v>378.17476699999997</v>
      </c>
      <c r="B622" s="1">
        <f>DATE(2011,5,14) + TIME(4,11,39)</f>
        <v>40677.174756944441</v>
      </c>
      <c r="C622">
        <v>80</v>
      </c>
      <c r="D622">
        <v>79.893257141000007</v>
      </c>
      <c r="E622">
        <v>50</v>
      </c>
      <c r="F622">
        <v>48.853122710999997</v>
      </c>
      <c r="G622">
        <v>1336.0092772999999</v>
      </c>
      <c r="H622">
        <v>1334.1859131000001</v>
      </c>
      <c r="I622">
        <v>1329.2335204999999</v>
      </c>
      <c r="J622">
        <v>1328.6074219</v>
      </c>
      <c r="K622">
        <v>550</v>
      </c>
      <c r="L622">
        <v>0</v>
      </c>
      <c r="M622">
        <v>0</v>
      </c>
      <c r="N622">
        <v>550</v>
      </c>
    </row>
    <row r="623" spans="1:14" x14ac:dyDescent="0.25">
      <c r="A623">
        <v>378.62662399999999</v>
      </c>
      <c r="B623" s="1">
        <f>DATE(2011,5,14) + TIME(15,2,20)</f>
        <v>40677.626620370371</v>
      </c>
      <c r="C623">
        <v>80</v>
      </c>
      <c r="D623">
        <v>79.894371032999999</v>
      </c>
      <c r="E623">
        <v>50</v>
      </c>
      <c r="F623">
        <v>48.823432922000002</v>
      </c>
      <c r="G623">
        <v>1336.0065918</v>
      </c>
      <c r="H623">
        <v>1334.1860352000001</v>
      </c>
      <c r="I623">
        <v>1329.2288818</v>
      </c>
      <c r="J623">
        <v>1328.6002197</v>
      </c>
      <c r="K623">
        <v>550</v>
      </c>
      <c r="L623">
        <v>0</v>
      </c>
      <c r="M623">
        <v>0</v>
      </c>
      <c r="N623">
        <v>550</v>
      </c>
    </row>
    <row r="624" spans="1:14" x14ac:dyDescent="0.25">
      <c r="A624">
        <v>379.09370000000001</v>
      </c>
      <c r="B624" s="1">
        <f>DATE(2011,5,15) + TIME(2,14,55)</f>
        <v>40678.093692129631</v>
      </c>
      <c r="C624">
        <v>80</v>
      </c>
      <c r="D624">
        <v>79.895263671999999</v>
      </c>
      <c r="E624">
        <v>50</v>
      </c>
      <c r="F624">
        <v>48.793010711999997</v>
      </c>
      <c r="G624">
        <v>1336.0035399999999</v>
      </c>
      <c r="H624">
        <v>1334.1859131000001</v>
      </c>
      <c r="I624">
        <v>1329.223999</v>
      </c>
      <c r="J624">
        <v>1328.5927733999999</v>
      </c>
      <c r="K624">
        <v>550</v>
      </c>
      <c r="L624">
        <v>0</v>
      </c>
      <c r="M624">
        <v>0</v>
      </c>
      <c r="N624">
        <v>550</v>
      </c>
    </row>
    <row r="625" spans="1:14" x14ac:dyDescent="0.25">
      <c r="A625">
        <v>379.57760500000001</v>
      </c>
      <c r="B625" s="1">
        <f>DATE(2011,5,15) + TIME(13,51,45)</f>
        <v>40678.577604166669</v>
      </c>
      <c r="C625">
        <v>80</v>
      </c>
      <c r="D625">
        <v>79.895973205999994</v>
      </c>
      <c r="E625">
        <v>50</v>
      </c>
      <c r="F625">
        <v>48.761775970000002</v>
      </c>
      <c r="G625">
        <v>1336.0001221</v>
      </c>
      <c r="H625">
        <v>1334.1857910000001</v>
      </c>
      <c r="I625">
        <v>1329.2191161999999</v>
      </c>
      <c r="J625">
        <v>1328.5852050999999</v>
      </c>
      <c r="K625">
        <v>550</v>
      </c>
      <c r="L625">
        <v>0</v>
      </c>
      <c r="M625">
        <v>0</v>
      </c>
      <c r="N625">
        <v>550</v>
      </c>
    </row>
    <row r="626" spans="1:14" x14ac:dyDescent="0.25">
      <c r="A626">
        <v>380.08029800000003</v>
      </c>
      <c r="B626" s="1">
        <f>DATE(2011,5,16) + TIME(1,55,37)</f>
        <v>40679.080289351848</v>
      </c>
      <c r="C626">
        <v>80</v>
      </c>
      <c r="D626">
        <v>79.896537781000006</v>
      </c>
      <c r="E626">
        <v>50</v>
      </c>
      <c r="F626">
        <v>48.729629516999999</v>
      </c>
      <c r="G626">
        <v>1335.9964600000001</v>
      </c>
      <c r="H626">
        <v>1334.1854248</v>
      </c>
      <c r="I626">
        <v>1329.2139893000001</v>
      </c>
      <c r="J626">
        <v>1328.5772704999999</v>
      </c>
      <c r="K626">
        <v>550</v>
      </c>
      <c r="L626">
        <v>0</v>
      </c>
      <c r="M626">
        <v>0</v>
      </c>
      <c r="N626">
        <v>550</v>
      </c>
    </row>
    <row r="627" spans="1:14" x14ac:dyDescent="0.25">
      <c r="A627">
        <v>380.60388499999999</v>
      </c>
      <c r="B627" s="1">
        <f>DATE(2011,5,16) + TIME(14,29,35)</f>
        <v>40679.603877314818</v>
      </c>
      <c r="C627">
        <v>80</v>
      </c>
      <c r="D627">
        <v>79.896980286000002</v>
      </c>
      <c r="E627">
        <v>50</v>
      </c>
      <c r="F627">
        <v>48.696460723999998</v>
      </c>
      <c r="G627">
        <v>1335.9924315999999</v>
      </c>
      <c r="H627">
        <v>1334.1849365</v>
      </c>
      <c r="I627">
        <v>1329.2086182</v>
      </c>
      <c r="J627">
        <v>1328.5690918</v>
      </c>
      <c r="K627">
        <v>550</v>
      </c>
      <c r="L627">
        <v>0</v>
      </c>
      <c r="M627">
        <v>0</v>
      </c>
      <c r="N627">
        <v>550</v>
      </c>
    </row>
    <row r="628" spans="1:14" x14ac:dyDescent="0.25">
      <c r="A628">
        <v>381.15059300000001</v>
      </c>
      <c r="B628" s="1">
        <f>DATE(2011,5,17) + TIME(3,36,51)</f>
        <v>40680.150590277779</v>
      </c>
      <c r="C628">
        <v>80</v>
      </c>
      <c r="D628">
        <v>79.897323607999994</v>
      </c>
      <c r="E628">
        <v>50</v>
      </c>
      <c r="F628">
        <v>48.662170410000002</v>
      </c>
      <c r="G628">
        <v>1335.9880370999999</v>
      </c>
      <c r="H628">
        <v>1334.1843262</v>
      </c>
      <c r="I628">
        <v>1329.203125</v>
      </c>
      <c r="J628">
        <v>1328.5606689000001</v>
      </c>
      <c r="K628">
        <v>550</v>
      </c>
      <c r="L628">
        <v>0</v>
      </c>
      <c r="M628">
        <v>0</v>
      </c>
      <c r="N628">
        <v>550</v>
      </c>
    </row>
    <row r="629" spans="1:14" x14ac:dyDescent="0.25">
      <c r="A629">
        <v>381.71116599999999</v>
      </c>
      <c r="B629" s="1">
        <f>DATE(2011,5,17) + TIME(17,4,4)</f>
        <v>40680.711157407408</v>
      </c>
      <c r="C629">
        <v>80</v>
      </c>
      <c r="D629">
        <v>79.897575377999999</v>
      </c>
      <c r="E629">
        <v>50</v>
      </c>
      <c r="F629">
        <v>48.627292633000003</v>
      </c>
      <c r="G629">
        <v>1335.9833983999999</v>
      </c>
      <c r="H629">
        <v>1334.1835937999999</v>
      </c>
      <c r="I629">
        <v>1329.1973877</v>
      </c>
      <c r="J629">
        <v>1328.5520019999999</v>
      </c>
      <c r="K629">
        <v>550</v>
      </c>
      <c r="L629">
        <v>0</v>
      </c>
      <c r="M629">
        <v>0</v>
      </c>
      <c r="N629">
        <v>550</v>
      </c>
    </row>
    <row r="630" spans="1:14" x14ac:dyDescent="0.25">
      <c r="A630">
        <v>382.273708</v>
      </c>
      <c r="B630" s="1">
        <f>DATE(2011,5,18) + TIME(6,34,8)</f>
        <v>40681.2737037037</v>
      </c>
      <c r="C630">
        <v>80</v>
      </c>
      <c r="D630">
        <v>79.897750853999995</v>
      </c>
      <c r="E630">
        <v>50</v>
      </c>
      <c r="F630">
        <v>48.592498779000003</v>
      </c>
      <c r="G630">
        <v>1335.9786377</v>
      </c>
      <c r="H630">
        <v>1334.1827393000001</v>
      </c>
      <c r="I630">
        <v>1329.1916504000001</v>
      </c>
      <c r="J630">
        <v>1328.5430908000001</v>
      </c>
      <c r="K630">
        <v>550</v>
      </c>
      <c r="L630">
        <v>0</v>
      </c>
      <c r="M630">
        <v>0</v>
      </c>
      <c r="N630">
        <v>550</v>
      </c>
    </row>
    <row r="631" spans="1:14" x14ac:dyDescent="0.25">
      <c r="A631">
        <v>382.839833</v>
      </c>
      <c r="B631" s="1">
        <f>DATE(2011,5,18) + TIME(20,9,21)</f>
        <v>40681.839826388888</v>
      </c>
      <c r="C631">
        <v>80</v>
      </c>
      <c r="D631">
        <v>79.897865295000003</v>
      </c>
      <c r="E631">
        <v>50</v>
      </c>
      <c r="F631">
        <v>48.557704926</v>
      </c>
      <c r="G631">
        <v>1335.9737548999999</v>
      </c>
      <c r="H631">
        <v>1334.1817627</v>
      </c>
      <c r="I631">
        <v>1329.1859131000001</v>
      </c>
      <c r="J631">
        <v>1328.5341797000001</v>
      </c>
      <c r="K631">
        <v>550</v>
      </c>
      <c r="L631">
        <v>0</v>
      </c>
      <c r="M631">
        <v>0</v>
      </c>
      <c r="N631">
        <v>550</v>
      </c>
    </row>
    <row r="632" spans="1:14" x14ac:dyDescent="0.25">
      <c r="A632">
        <v>383.411227</v>
      </c>
      <c r="B632" s="1">
        <f>DATE(2011,5,19) + TIME(9,52,10)</f>
        <v>40682.411226851851</v>
      </c>
      <c r="C632">
        <v>80</v>
      </c>
      <c r="D632">
        <v>79.897933960000003</v>
      </c>
      <c r="E632">
        <v>50</v>
      </c>
      <c r="F632">
        <v>48.52281189</v>
      </c>
      <c r="G632">
        <v>1335.9688721</v>
      </c>
      <c r="H632">
        <v>1334.1807861</v>
      </c>
      <c r="I632">
        <v>1329.1800536999999</v>
      </c>
      <c r="J632">
        <v>1328.5252685999999</v>
      </c>
      <c r="K632">
        <v>550</v>
      </c>
      <c r="L632">
        <v>0</v>
      </c>
      <c r="M632">
        <v>0</v>
      </c>
      <c r="N632">
        <v>550</v>
      </c>
    </row>
    <row r="633" spans="1:14" x14ac:dyDescent="0.25">
      <c r="A633">
        <v>383.98948100000001</v>
      </c>
      <c r="B633" s="1">
        <f>DATE(2011,5,19) + TIME(23,44,51)</f>
        <v>40682.989479166667</v>
      </c>
      <c r="C633">
        <v>80</v>
      </c>
      <c r="D633">
        <v>79.897956848000007</v>
      </c>
      <c r="E633">
        <v>50</v>
      </c>
      <c r="F633">
        <v>48.487747192</v>
      </c>
      <c r="G633">
        <v>1335.9638672000001</v>
      </c>
      <c r="H633">
        <v>1334.1798096</v>
      </c>
      <c r="I633">
        <v>1329.1741943</v>
      </c>
      <c r="J633">
        <v>1328.5162353999999</v>
      </c>
      <c r="K633">
        <v>550</v>
      </c>
      <c r="L633">
        <v>0</v>
      </c>
      <c r="M633">
        <v>0</v>
      </c>
      <c r="N633">
        <v>550</v>
      </c>
    </row>
    <row r="634" spans="1:14" x14ac:dyDescent="0.25">
      <c r="A634">
        <v>384.57604300000003</v>
      </c>
      <c r="B634" s="1">
        <f>DATE(2011,5,20) + TIME(13,49,30)</f>
        <v>40683.576041666667</v>
      </c>
      <c r="C634">
        <v>80</v>
      </c>
      <c r="D634">
        <v>79.897956848000007</v>
      </c>
      <c r="E634">
        <v>50</v>
      </c>
      <c r="F634">
        <v>48.45242691</v>
      </c>
      <c r="G634">
        <v>1335.9588623</v>
      </c>
      <c r="H634">
        <v>1334.1787108999999</v>
      </c>
      <c r="I634">
        <v>1329.1683350000001</v>
      </c>
      <c r="J634">
        <v>1328.5072021000001</v>
      </c>
      <c r="K634">
        <v>550</v>
      </c>
      <c r="L634">
        <v>0</v>
      </c>
      <c r="M634">
        <v>0</v>
      </c>
      <c r="N634">
        <v>550</v>
      </c>
    </row>
    <row r="635" spans="1:14" x14ac:dyDescent="0.25">
      <c r="A635">
        <v>385.17255999999998</v>
      </c>
      <c r="B635" s="1">
        <f>DATE(2011,5,21) + TIME(4,8,29)</f>
        <v>40684.17255787037</v>
      </c>
      <c r="C635">
        <v>80</v>
      </c>
      <c r="D635">
        <v>79.897926330999994</v>
      </c>
      <c r="E635">
        <v>50</v>
      </c>
      <c r="F635">
        <v>48.416774750000002</v>
      </c>
      <c r="G635">
        <v>1335.9537353999999</v>
      </c>
      <c r="H635">
        <v>1334.1776123</v>
      </c>
      <c r="I635">
        <v>1329.1623535000001</v>
      </c>
      <c r="J635">
        <v>1328.4980469</v>
      </c>
      <c r="K635">
        <v>550</v>
      </c>
      <c r="L635">
        <v>0</v>
      </c>
      <c r="M635">
        <v>0</v>
      </c>
      <c r="N635">
        <v>550</v>
      </c>
    </row>
    <row r="636" spans="1:14" x14ac:dyDescent="0.25">
      <c r="A636">
        <v>385.78074299999997</v>
      </c>
      <c r="B636" s="1">
        <f>DATE(2011,5,21) + TIME(18,44,16)</f>
        <v>40684.780740740738</v>
      </c>
      <c r="C636">
        <v>80</v>
      </c>
      <c r="D636">
        <v>79.897880553999997</v>
      </c>
      <c r="E636">
        <v>50</v>
      </c>
      <c r="F636">
        <v>48.380702972000002</v>
      </c>
      <c r="G636">
        <v>1335.9486084</v>
      </c>
      <c r="H636">
        <v>1334.1765137</v>
      </c>
      <c r="I636">
        <v>1329.15625</v>
      </c>
      <c r="J636">
        <v>1328.4887695</v>
      </c>
      <c r="K636">
        <v>550</v>
      </c>
      <c r="L636">
        <v>0</v>
      </c>
      <c r="M636">
        <v>0</v>
      </c>
      <c r="N636">
        <v>550</v>
      </c>
    </row>
    <row r="637" spans="1:14" x14ac:dyDescent="0.25">
      <c r="A637">
        <v>386.40241500000002</v>
      </c>
      <c r="B637" s="1">
        <f>DATE(2011,5,22) + TIME(9,39,28)</f>
        <v>40685.402407407404</v>
      </c>
      <c r="C637">
        <v>80</v>
      </c>
      <c r="D637">
        <v>79.89781189</v>
      </c>
      <c r="E637">
        <v>50</v>
      </c>
      <c r="F637">
        <v>48.344123840000002</v>
      </c>
      <c r="G637">
        <v>1335.9434814000001</v>
      </c>
      <c r="H637">
        <v>1334.175293</v>
      </c>
      <c r="I637">
        <v>1329.1501464999999</v>
      </c>
      <c r="J637">
        <v>1328.4792480000001</v>
      </c>
      <c r="K637">
        <v>550</v>
      </c>
      <c r="L637">
        <v>0</v>
      </c>
      <c r="M637">
        <v>0</v>
      </c>
      <c r="N637">
        <v>550</v>
      </c>
    </row>
    <row r="638" spans="1:14" x14ac:dyDescent="0.25">
      <c r="A638">
        <v>387.03953999999999</v>
      </c>
      <c r="B638" s="1">
        <f>DATE(2011,5,23) + TIME(0,56,56)</f>
        <v>40686.039537037039</v>
      </c>
      <c r="C638">
        <v>80</v>
      </c>
      <c r="D638">
        <v>79.897727966000005</v>
      </c>
      <c r="E638">
        <v>50</v>
      </c>
      <c r="F638">
        <v>48.306945800999998</v>
      </c>
      <c r="G638">
        <v>1335.9382324000001</v>
      </c>
      <c r="H638">
        <v>1334.1741943</v>
      </c>
      <c r="I638">
        <v>1329.1439209</v>
      </c>
      <c r="J638">
        <v>1328.4696045000001</v>
      </c>
      <c r="K638">
        <v>550</v>
      </c>
      <c r="L638">
        <v>0</v>
      </c>
      <c r="M638">
        <v>0</v>
      </c>
      <c r="N638">
        <v>550</v>
      </c>
    </row>
    <row r="639" spans="1:14" x14ac:dyDescent="0.25">
      <c r="A639">
        <v>387.69428399999998</v>
      </c>
      <c r="B639" s="1">
        <f>DATE(2011,5,23) + TIME(16,39,46)</f>
        <v>40686.694282407407</v>
      </c>
      <c r="C639">
        <v>80</v>
      </c>
      <c r="D639">
        <v>79.897628784000005</v>
      </c>
      <c r="E639">
        <v>50</v>
      </c>
      <c r="F639">
        <v>48.269062042000002</v>
      </c>
      <c r="G639">
        <v>1335.9329834</v>
      </c>
      <c r="H639">
        <v>1334.1730957</v>
      </c>
      <c r="I639">
        <v>1329.1375731999999</v>
      </c>
      <c r="J639">
        <v>1328.4598389</v>
      </c>
      <c r="K639">
        <v>550</v>
      </c>
      <c r="L639">
        <v>0</v>
      </c>
      <c r="M639">
        <v>0</v>
      </c>
      <c r="N639">
        <v>550</v>
      </c>
    </row>
    <row r="640" spans="1:14" x14ac:dyDescent="0.25">
      <c r="A640">
        <v>388.36904199999998</v>
      </c>
      <c r="B640" s="1">
        <f>DATE(2011,5,24) + TIME(8,51,25)</f>
        <v>40687.369039351855</v>
      </c>
      <c r="C640">
        <v>80</v>
      </c>
      <c r="D640">
        <v>79.897514342999997</v>
      </c>
      <c r="E640">
        <v>50</v>
      </c>
      <c r="F640">
        <v>48.230369568</v>
      </c>
      <c r="G640">
        <v>1335.9277344</v>
      </c>
      <c r="H640">
        <v>1334.171875</v>
      </c>
      <c r="I640">
        <v>1329.1311035000001</v>
      </c>
      <c r="J640">
        <v>1328.4498291</v>
      </c>
      <c r="K640">
        <v>550</v>
      </c>
      <c r="L640">
        <v>0</v>
      </c>
      <c r="M640">
        <v>0</v>
      </c>
      <c r="N640">
        <v>550</v>
      </c>
    </row>
    <row r="641" spans="1:14" x14ac:dyDescent="0.25">
      <c r="A641">
        <v>389.06646599999999</v>
      </c>
      <c r="B641" s="1">
        <f>DATE(2011,5,25) + TIME(1,35,42)</f>
        <v>40688.066458333335</v>
      </c>
      <c r="C641">
        <v>80</v>
      </c>
      <c r="D641">
        <v>79.897399902000004</v>
      </c>
      <c r="E641">
        <v>50</v>
      </c>
      <c r="F641">
        <v>48.190738678000002</v>
      </c>
      <c r="G641">
        <v>1335.9223632999999</v>
      </c>
      <c r="H641">
        <v>1334.1706543</v>
      </c>
      <c r="I641">
        <v>1329.1243896000001</v>
      </c>
      <c r="J641">
        <v>1328.4394531</v>
      </c>
      <c r="K641">
        <v>550</v>
      </c>
      <c r="L641">
        <v>0</v>
      </c>
      <c r="M641">
        <v>0</v>
      </c>
      <c r="N641">
        <v>550</v>
      </c>
    </row>
    <row r="642" spans="1:14" x14ac:dyDescent="0.25">
      <c r="A642">
        <v>389.79359399999998</v>
      </c>
      <c r="B642" s="1">
        <f>DATE(2011,5,25) + TIME(19,2,46)</f>
        <v>40688.793587962966</v>
      </c>
      <c r="C642">
        <v>80</v>
      </c>
      <c r="D642">
        <v>79.897262573000006</v>
      </c>
      <c r="E642">
        <v>50</v>
      </c>
      <c r="F642">
        <v>48.149848937999998</v>
      </c>
      <c r="G642">
        <v>1335.9168701000001</v>
      </c>
      <c r="H642">
        <v>1334.1694336</v>
      </c>
      <c r="I642">
        <v>1329.1175536999999</v>
      </c>
      <c r="J642">
        <v>1328.4288329999999</v>
      </c>
      <c r="K642">
        <v>550</v>
      </c>
      <c r="L642">
        <v>0</v>
      </c>
      <c r="M642">
        <v>0</v>
      </c>
      <c r="N642">
        <v>550</v>
      </c>
    </row>
    <row r="643" spans="1:14" x14ac:dyDescent="0.25">
      <c r="A643">
        <v>390.54340200000001</v>
      </c>
      <c r="B643" s="1">
        <f>DATE(2011,5,26) + TIME(13,2,29)</f>
        <v>40689.543391203704</v>
      </c>
      <c r="C643">
        <v>80</v>
      </c>
      <c r="D643">
        <v>79.897125243999994</v>
      </c>
      <c r="E643">
        <v>50</v>
      </c>
      <c r="F643">
        <v>48.1080513</v>
      </c>
      <c r="G643">
        <v>1335.9112548999999</v>
      </c>
      <c r="H643">
        <v>1334.1682129000001</v>
      </c>
      <c r="I643">
        <v>1329.1104736</v>
      </c>
      <c r="J643">
        <v>1328.4178466999999</v>
      </c>
      <c r="K643">
        <v>550</v>
      </c>
      <c r="L643">
        <v>0</v>
      </c>
      <c r="M643">
        <v>0</v>
      </c>
      <c r="N643">
        <v>550</v>
      </c>
    </row>
    <row r="644" spans="1:14" x14ac:dyDescent="0.25">
      <c r="A644">
        <v>391.308764</v>
      </c>
      <c r="B644" s="1">
        <f>DATE(2011,5,27) + TIME(7,24,37)</f>
        <v>40690.308761574073</v>
      </c>
      <c r="C644">
        <v>80</v>
      </c>
      <c r="D644">
        <v>79.896980286000002</v>
      </c>
      <c r="E644">
        <v>50</v>
      </c>
      <c r="F644">
        <v>48.065696715999998</v>
      </c>
      <c r="G644">
        <v>1335.9057617000001</v>
      </c>
      <c r="H644">
        <v>1334.1671143000001</v>
      </c>
      <c r="I644">
        <v>1329.1032714999999</v>
      </c>
      <c r="J644">
        <v>1328.4066161999999</v>
      </c>
      <c r="K644">
        <v>550</v>
      </c>
      <c r="L644">
        <v>0</v>
      </c>
      <c r="M644">
        <v>0</v>
      </c>
      <c r="N644">
        <v>550</v>
      </c>
    </row>
    <row r="645" spans="1:14" x14ac:dyDescent="0.25">
      <c r="A645">
        <v>392.09205800000001</v>
      </c>
      <c r="B645" s="1">
        <f>DATE(2011,5,28) + TIME(2,12,33)</f>
        <v>40691.092048611114</v>
      </c>
      <c r="C645">
        <v>80</v>
      </c>
      <c r="D645">
        <v>79.896827697999996</v>
      </c>
      <c r="E645">
        <v>50</v>
      </c>
      <c r="F645">
        <v>48.022686004999997</v>
      </c>
      <c r="G645">
        <v>1335.9001464999999</v>
      </c>
      <c r="H645">
        <v>1334.1658935999999</v>
      </c>
      <c r="I645">
        <v>1329.0958252</v>
      </c>
      <c r="J645">
        <v>1328.3952637</v>
      </c>
      <c r="K645">
        <v>550</v>
      </c>
      <c r="L645">
        <v>0</v>
      </c>
      <c r="M645">
        <v>0</v>
      </c>
      <c r="N645">
        <v>550</v>
      </c>
    </row>
    <row r="646" spans="1:14" x14ac:dyDescent="0.25">
      <c r="A646">
        <v>392.89574099999999</v>
      </c>
      <c r="B646" s="1">
        <f>DATE(2011,5,28) + TIME(21,29,52)</f>
        <v>40691.895740740743</v>
      </c>
      <c r="C646">
        <v>80</v>
      </c>
      <c r="D646">
        <v>79.896675110000004</v>
      </c>
      <c r="E646">
        <v>50</v>
      </c>
      <c r="F646">
        <v>47.978916167999998</v>
      </c>
      <c r="G646">
        <v>1335.8945312000001</v>
      </c>
      <c r="H646">
        <v>1334.1646728999999</v>
      </c>
      <c r="I646">
        <v>1329.0883789</v>
      </c>
      <c r="J646">
        <v>1328.3835449000001</v>
      </c>
      <c r="K646">
        <v>550</v>
      </c>
      <c r="L646">
        <v>0</v>
      </c>
      <c r="M646">
        <v>0</v>
      </c>
      <c r="N646">
        <v>550</v>
      </c>
    </row>
    <row r="647" spans="1:14" x14ac:dyDescent="0.25">
      <c r="A647">
        <v>393.72258399999998</v>
      </c>
      <c r="B647" s="1">
        <f>DATE(2011,5,29) + TIME(17,20,31)</f>
        <v>40692.722581018519</v>
      </c>
      <c r="C647">
        <v>80</v>
      </c>
      <c r="D647">
        <v>79.896514893000003</v>
      </c>
      <c r="E647">
        <v>50</v>
      </c>
      <c r="F647">
        <v>47.934272765999999</v>
      </c>
      <c r="G647">
        <v>1335.8890381000001</v>
      </c>
      <c r="H647">
        <v>1334.1634521000001</v>
      </c>
      <c r="I647">
        <v>1329.0808105000001</v>
      </c>
      <c r="J647">
        <v>1328.371582</v>
      </c>
      <c r="K647">
        <v>550</v>
      </c>
      <c r="L647">
        <v>0</v>
      </c>
      <c r="M647">
        <v>0</v>
      </c>
      <c r="N647">
        <v>550</v>
      </c>
    </row>
    <row r="648" spans="1:14" x14ac:dyDescent="0.25">
      <c r="A648">
        <v>394.57561399999997</v>
      </c>
      <c r="B648" s="1">
        <f>DATE(2011,5,30) + TIME(13,48,53)</f>
        <v>40693.575613425928</v>
      </c>
      <c r="C648">
        <v>80</v>
      </c>
      <c r="D648">
        <v>79.896354674999998</v>
      </c>
      <c r="E648">
        <v>50</v>
      </c>
      <c r="F648">
        <v>47.888626099</v>
      </c>
      <c r="G648">
        <v>1335.8835449000001</v>
      </c>
      <c r="H648">
        <v>1334.1623535000001</v>
      </c>
      <c r="I648">
        <v>1329.0729980000001</v>
      </c>
      <c r="J648">
        <v>1328.359375</v>
      </c>
      <c r="K648">
        <v>550</v>
      </c>
      <c r="L648">
        <v>0</v>
      </c>
      <c r="M648">
        <v>0</v>
      </c>
      <c r="N648">
        <v>550</v>
      </c>
    </row>
    <row r="649" spans="1:14" x14ac:dyDescent="0.25">
      <c r="A649">
        <v>395.45840199999998</v>
      </c>
      <c r="B649" s="1">
        <f>DATE(2011,5,31) + TIME(11,0,5)</f>
        <v>40694.458391203705</v>
      </c>
      <c r="C649">
        <v>80</v>
      </c>
      <c r="D649">
        <v>79.896194457999997</v>
      </c>
      <c r="E649">
        <v>50</v>
      </c>
      <c r="F649">
        <v>47.841835021999998</v>
      </c>
      <c r="G649">
        <v>1335.8779297000001</v>
      </c>
      <c r="H649">
        <v>1334.1611327999999</v>
      </c>
      <c r="I649">
        <v>1329.0649414</v>
      </c>
      <c r="J649">
        <v>1328.3469238</v>
      </c>
      <c r="K649">
        <v>550</v>
      </c>
      <c r="L649">
        <v>0</v>
      </c>
      <c r="M649">
        <v>0</v>
      </c>
      <c r="N649">
        <v>550</v>
      </c>
    </row>
    <row r="650" spans="1:14" x14ac:dyDescent="0.25">
      <c r="A650">
        <v>396</v>
      </c>
      <c r="B650" s="1">
        <f>DATE(2011,6,1) + TIME(0,0,0)</f>
        <v>40695</v>
      </c>
      <c r="C650">
        <v>80</v>
      </c>
      <c r="D650">
        <v>79.896064757999994</v>
      </c>
      <c r="E650">
        <v>50</v>
      </c>
      <c r="F650">
        <v>47.811325072999999</v>
      </c>
      <c r="G650">
        <v>1335.8724365</v>
      </c>
      <c r="H650">
        <v>1334.1600341999999</v>
      </c>
      <c r="I650">
        <v>1329.057251</v>
      </c>
      <c r="J650">
        <v>1328.3349608999999</v>
      </c>
      <c r="K650">
        <v>550</v>
      </c>
      <c r="L650">
        <v>0</v>
      </c>
      <c r="M650">
        <v>0</v>
      </c>
      <c r="N650">
        <v>550</v>
      </c>
    </row>
    <row r="651" spans="1:14" x14ac:dyDescent="0.25">
      <c r="A651">
        <v>396.916898</v>
      </c>
      <c r="B651" s="1">
        <f>DATE(2011,6,1) + TIME(22,0,19)</f>
        <v>40695.916886574072</v>
      </c>
      <c r="C651">
        <v>80</v>
      </c>
      <c r="D651">
        <v>79.895912170000003</v>
      </c>
      <c r="E651">
        <v>50</v>
      </c>
      <c r="F651">
        <v>47.763652802000003</v>
      </c>
      <c r="G651">
        <v>1335.8691406</v>
      </c>
      <c r="H651">
        <v>1334.1593018000001</v>
      </c>
      <c r="I651">
        <v>1329.0513916</v>
      </c>
      <c r="J651">
        <v>1328.3255615</v>
      </c>
      <c r="K651">
        <v>550</v>
      </c>
      <c r="L651">
        <v>0</v>
      </c>
      <c r="M651">
        <v>0</v>
      </c>
      <c r="N651">
        <v>550</v>
      </c>
    </row>
    <row r="652" spans="1:14" x14ac:dyDescent="0.25">
      <c r="A652">
        <v>397.86517400000002</v>
      </c>
      <c r="B652" s="1">
        <f>DATE(2011,6,2) + TIME(20,45,50)</f>
        <v>40696.865162037036</v>
      </c>
      <c r="C652">
        <v>80</v>
      </c>
      <c r="D652">
        <v>79.895759583</v>
      </c>
      <c r="E652">
        <v>50</v>
      </c>
      <c r="F652">
        <v>47.714759827000002</v>
      </c>
      <c r="G652">
        <v>1335.8636475000001</v>
      </c>
      <c r="H652">
        <v>1334.1582031</v>
      </c>
      <c r="I652">
        <v>1329.0429687999999</v>
      </c>
      <c r="J652">
        <v>1328.3123779</v>
      </c>
      <c r="K652">
        <v>550</v>
      </c>
      <c r="L652">
        <v>0</v>
      </c>
      <c r="M652">
        <v>0</v>
      </c>
      <c r="N652">
        <v>550</v>
      </c>
    </row>
    <row r="653" spans="1:14" x14ac:dyDescent="0.25">
      <c r="A653">
        <v>398.82602500000002</v>
      </c>
      <c r="B653" s="1">
        <f>DATE(2011,6,3) + TIME(19,49,28)</f>
        <v>40697.826018518521</v>
      </c>
      <c r="C653">
        <v>80</v>
      </c>
      <c r="D653">
        <v>79.895606994999994</v>
      </c>
      <c r="E653">
        <v>50</v>
      </c>
      <c r="F653">
        <v>47.665458678999997</v>
      </c>
      <c r="G653">
        <v>1335.8581543</v>
      </c>
      <c r="H653">
        <v>1334.1571045000001</v>
      </c>
      <c r="I653">
        <v>1329.0344238</v>
      </c>
      <c r="J653">
        <v>1328.2988281</v>
      </c>
      <c r="K653">
        <v>550</v>
      </c>
      <c r="L653">
        <v>0</v>
      </c>
      <c r="M653">
        <v>0</v>
      </c>
      <c r="N653">
        <v>550</v>
      </c>
    </row>
    <row r="654" spans="1:14" x14ac:dyDescent="0.25">
      <c r="A654">
        <v>399.80329599999999</v>
      </c>
      <c r="B654" s="1">
        <f>DATE(2011,6,4) + TIME(19,16,44)</f>
        <v>40698.803287037037</v>
      </c>
      <c r="C654">
        <v>80</v>
      </c>
      <c r="D654">
        <v>79.895446777000004</v>
      </c>
      <c r="E654">
        <v>50</v>
      </c>
      <c r="F654">
        <v>47.615612030000001</v>
      </c>
      <c r="G654">
        <v>1335.8527832</v>
      </c>
      <c r="H654">
        <v>1334.1560059000001</v>
      </c>
      <c r="I654">
        <v>1329.0257568</v>
      </c>
      <c r="J654">
        <v>1328.2851562000001</v>
      </c>
      <c r="K654">
        <v>550</v>
      </c>
      <c r="L654">
        <v>0</v>
      </c>
      <c r="M654">
        <v>0</v>
      </c>
      <c r="N654">
        <v>550</v>
      </c>
    </row>
    <row r="655" spans="1:14" x14ac:dyDescent="0.25">
      <c r="A655">
        <v>400.80081200000001</v>
      </c>
      <c r="B655" s="1">
        <f>DATE(2011,6,5) + TIME(19,13,10)</f>
        <v>40699.800810185188</v>
      </c>
      <c r="C655">
        <v>80</v>
      </c>
      <c r="D655">
        <v>79.895294188999998</v>
      </c>
      <c r="E655">
        <v>50</v>
      </c>
      <c r="F655">
        <v>47.565086364999999</v>
      </c>
      <c r="G655">
        <v>1335.8474120999999</v>
      </c>
      <c r="H655">
        <v>1334.1550293</v>
      </c>
      <c r="I655">
        <v>1329.0169678</v>
      </c>
      <c r="J655">
        <v>1328.2711182</v>
      </c>
      <c r="K655">
        <v>550</v>
      </c>
      <c r="L655">
        <v>0</v>
      </c>
      <c r="M655">
        <v>0</v>
      </c>
      <c r="N655">
        <v>550</v>
      </c>
    </row>
    <row r="656" spans="1:14" x14ac:dyDescent="0.25">
      <c r="A656">
        <v>401.822675</v>
      </c>
      <c r="B656" s="1">
        <f>DATE(2011,6,6) + TIME(19,44,39)</f>
        <v>40700.82267361111</v>
      </c>
      <c r="C656">
        <v>80</v>
      </c>
      <c r="D656">
        <v>79.895141601999995</v>
      </c>
      <c r="E656">
        <v>50</v>
      </c>
      <c r="F656">
        <v>47.513740540000001</v>
      </c>
      <c r="G656">
        <v>1335.8420410000001</v>
      </c>
      <c r="H656">
        <v>1334.1539307</v>
      </c>
      <c r="I656">
        <v>1329.0080565999999</v>
      </c>
      <c r="J656">
        <v>1328.2569579999999</v>
      </c>
      <c r="K656">
        <v>550</v>
      </c>
      <c r="L656">
        <v>0</v>
      </c>
      <c r="M656">
        <v>0</v>
      </c>
      <c r="N656">
        <v>550</v>
      </c>
    </row>
    <row r="657" spans="1:14" x14ac:dyDescent="0.25">
      <c r="A657">
        <v>402.86535800000001</v>
      </c>
      <c r="B657" s="1">
        <f>DATE(2011,6,7) + TIME(20,46,6)</f>
        <v>40701.865347222221</v>
      </c>
      <c r="C657">
        <v>80</v>
      </c>
      <c r="D657">
        <v>79.894989014000004</v>
      </c>
      <c r="E657">
        <v>50</v>
      </c>
      <c r="F657">
        <v>47.461723327999998</v>
      </c>
      <c r="G657">
        <v>1335.8367920000001</v>
      </c>
      <c r="H657">
        <v>1334.1529541</v>
      </c>
      <c r="I657">
        <v>1328.9990233999999</v>
      </c>
      <c r="J657">
        <v>1328.2425536999999</v>
      </c>
      <c r="K657">
        <v>550</v>
      </c>
      <c r="L657">
        <v>0</v>
      </c>
      <c r="M657">
        <v>0</v>
      </c>
      <c r="N657">
        <v>550</v>
      </c>
    </row>
    <row r="658" spans="1:14" x14ac:dyDescent="0.25">
      <c r="A658">
        <v>403.93072599999999</v>
      </c>
      <c r="B658" s="1">
        <f>DATE(2011,6,8) + TIME(22,20,14)</f>
        <v>40702.930717592593</v>
      </c>
      <c r="C658">
        <v>80</v>
      </c>
      <c r="D658">
        <v>79.894836425999998</v>
      </c>
      <c r="E658">
        <v>50</v>
      </c>
      <c r="F658">
        <v>47.408996582</v>
      </c>
      <c r="G658">
        <v>1335.8316649999999</v>
      </c>
      <c r="H658">
        <v>1334.1519774999999</v>
      </c>
      <c r="I658">
        <v>1328.9897461</v>
      </c>
      <c r="J658">
        <v>1328.2277832</v>
      </c>
      <c r="K658">
        <v>550</v>
      </c>
      <c r="L658">
        <v>0</v>
      </c>
      <c r="M658">
        <v>0</v>
      </c>
      <c r="N658">
        <v>550</v>
      </c>
    </row>
    <row r="659" spans="1:14" x14ac:dyDescent="0.25">
      <c r="A659">
        <v>405.02338500000002</v>
      </c>
      <c r="B659" s="1">
        <f>DATE(2011,6,10) + TIME(0,33,40)</f>
        <v>40704.023379629631</v>
      </c>
      <c r="C659">
        <v>80</v>
      </c>
      <c r="D659">
        <v>79.894691467000001</v>
      </c>
      <c r="E659">
        <v>50</v>
      </c>
      <c r="F659">
        <v>47.355396270999996</v>
      </c>
      <c r="G659">
        <v>1335.8265381000001</v>
      </c>
      <c r="H659">
        <v>1334.151001</v>
      </c>
      <c r="I659">
        <v>1328.9804687999999</v>
      </c>
      <c r="J659">
        <v>1328.2128906</v>
      </c>
      <c r="K659">
        <v>550</v>
      </c>
      <c r="L659">
        <v>0</v>
      </c>
      <c r="M659">
        <v>0</v>
      </c>
      <c r="N659">
        <v>550</v>
      </c>
    </row>
    <row r="660" spans="1:14" x14ac:dyDescent="0.25">
      <c r="A660">
        <v>406.14762300000001</v>
      </c>
      <c r="B660" s="1">
        <f>DATE(2011,6,11) + TIME(3,32,34)</f>
        <v>40705.147615740738</v>
      </c>
      <c r="C660">
        <v>80</v>
      </c>
      <c r="D660">
        <v>79.894554138000004</v>
      </c>
      <c r="E660">
        <v>50</v>
      </c>
      <c r="F660">
        <v>47.300788879000002</v>
      </c>
      <c r="G660">
        <v>1335.8215332</v>
      </c>
      <c r="H660">
        <v>1334.1500243999999</v>
      </c>
      <c r="I660">
        <v>1328.9710693</v>
      </c>
      <c r="J660">
        <v>1328.1976318</v>
      </c>
      <c r="K660">
        <v>550</v>
      </c>
      <c r="L660">
        <v>0</v>
      </c>
      <c r="M660">
        <v>0</v>
      </c>
      <c r="N660">
        <v>550</v>
      </c>
    </row>
    <row r="661" spans="1:14" x14ac:dyDescent="0.25">
      <c r="A661">
        <v>407.308176</v>
      </c>
      <c r="B661" s="1">
        <f>DATE(2011,6,12) + TIME(7,23,46)</f>
        <v>40706.308171296296</v>
      </c>
      <c r="C661">
        <v>80</v>
      </c>
      <c r="D661">
        <v>79.894416809000006</v>
      </c>
      <c r="E661">
        <v>50</v>
      </c>
      <c r="F661">
        <v>47.245021819999998</v>
      </c>
      <c r="G661">
        <v>1335.8164062000001</v>
      </c>
      <c r="H661">
        <v>1334.1490478999999</v>
      </c>
      <c r="I661">
        <v>1328.9614257999999</v>
      </c>
      <c r="J661">
        <v>1328.1820068</v>
      </c>
      <c r="K661">
        <v>550</v>
      </c>
      <c r="L661">
        <v>0</v>
      </c>
      <c r="M661">
        <v>0</v>
      </c>
      <c r="N661">
        <v>550</v>
      </c>
    </row>
    <row r="662" spans="1:14" x14ac:dyDescent="0.25">
      <c r="A662">
        <v>408.51199300000002</v>
      </c>
      <c r="B662" s="1">
        <f>DATE(2011,6,13) + TIME(12,17,16)</f>
        <v>40707.511990740742</v>
      </c>
      <c r="C662">
        <v>80</v>
      </c>
      <c r="D662">
        <v>79.894279479999994</v>
      </c>
      <c r="E662">
        <v>50</v>
      </c>
      <c r="F662">
        <v>47.187881470000001</v>
      </c>
      <c r="G662">
        <v>1335.8112793</v>
      </c>
      <c r="H662">
        <v>1334.1480713000001</v>
      </c>
      <c r="I662">
        <v>1328.9515381000001</v>
      </c>
      <c r="J662">
        <v>1328.1660156</v>
      </c>
      <c r="K662">
        <v>550</v>
      </c>
      <c r="L662">
        <v>0</v>
      </c>
      <c r="M662">
        <v>0</v>
      </c>
      <c r="N662">
        <v>550</v>
      </c>
    </row>
    <row r="663" spans="1:14" x14ac:dyDescent="0.25">
      <c r="A663">
        <v>409.781586</v>
      </c>
      <c r="B663" s="1">
        <f>DATE(2011,6,14) + TIME(18,45,28)</f>
        <v>40708.781574074077</v>
      </c>
      <c r="C663">
        <v>80</v>
      </c>
      <c r="D663">
        <v>79.894149780000006</v>
      </c>
      <c r="E663">
        <v>50</v>
      </c>
      <c r="F663">
        <v>47.128604889000002</v>
      </c>
      <c r="G663">
        <v>1335.8062743999999</v>
      </c>
      <c r="H663">
        <v>1334.1470947</v>
      </c>
      <c r="I663">
        <v>1328.9414062000001</v>
      </c>
      <c r="J663">
        <v>1328.1495361</v>
      </c>
      <c r="K663">
        <v>550</v>
      </c>
      <c r="L663">
        <v>0</v>
      </c>
      <c r="M663">
        <v>0</v>
      </c>
      <c r="N663">
        <v>550</v>
      </c>
    </row>
    <row r="664" spans="1:14" x14ac:dyDescent="0.25">
      <c r="A664">
        <v>411.11145699999997</v>
      </c>
      <c r="B664" s="1">
        <f>DATE(2011,6,16) + TIME(2,40,29)</f>
        <v>40710.111446759256</v>
      </c>
      <c r="C664">
        <v>80</v>
      </c>
      <c r="D664">
        <v>79.894020080999994</v>
      </c>
      <c r="E664">
        <v>50</v>
      </c>
      <c r="F664">
        <v>47.067443848000003</v>
      </c>
      <c r="G664">
        <v>1335.8010254000001</v>
      </c>
      <c r="H664">
        <v>1334.1461182</v>
      </c>
      <c r="I664">
        <v>1328.9309082</v>
      </c>
      <c r="J664">
        <v>1328.1324463000001</v>
      </c>
      <c r="K664">
        <v>550</v>
      </c>
      <c r="L664">
        <v>0</v>
      </c>
      <c r="M664">
        <v>0</v>
      </c>
      <c r="N664">
        <v>550</v>
      </c>
    </row>
    <row r="665" spans="1:14" x14ac:dyDescent="0.25">
      <c r="A665">
        <v>412.46378299999998</v>
      </c>
      <c r="B665" s="1">
        <f>DATE(2011,6,17) + TIME(11,7,50)</f>
        <v>40711.463773148149</v>
      </c>
      <c r="C665">
        <v>80</v>
      </c>
      <c r="D665">
        <v>79.893898010000001</v>
      </c>
      <c r="E665">
        <v>50</v>
      </c>
      <c r="F665">
        <v>47.005802154999998</v>
      </c>
      <c r="G665">
        <v>1335.7957764</v>
      </c>
      <c r="H665">
        <v>1334.1452637</v>
      </c>
      <c r="I665">
        <v>1328.9201660000001</v>
      </c>
      <c r="J665">
        <v>1328.114624</v>
      </c>
      <c r="K665">
        <v>550</v>
      </c>
      <c r="L665">
        <v>0</v>
      </c>
      <c r="M665">
        <v>0</v>
      </c>
      <c r="N665">
        <v>550</v>
      </c>
    </row>
    <row r="666" spans="1:14" x14ac:dyDescent="0.25">
      <c r="A666">
        <v>413.843209</v>
      </c>
      <c r="B666" s="1">
        <f>DATE(2011,6,18) + TIME(20,14,13)</f>
        <v>40712.843206018515</v>
      </c>
      <c r="C666">
        <v>80</v>
      </c>
      <c r="D666">
        <v>79.893775939999998</v>
      </c>
      <c r="E666">
        <v>50</v>
      </c>
      <c r="F666">
        <v>46.943714141999997</v>
      </c>
      <c r="G666">
        <v>1335.7906493999999</v>
      </c>
      <c r="H666">
        <v>1334.1442870999999</v>
      </c>
      <c r="I666">
        <v>1328.9093018000001</v>
      </c>
      <c r="J666">
        <v>1328.0966797000001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415.24763100000001</v>
      </c>
      <c r="B667" s="1">
        <f>DATE(2011,6,20) + TIME(5,56,35)</f>
        <v>40714.247627314813</v>
      </c>
      <c r="C667">
        <v>80</v>
      </c>
      <c r="D667">
        <v>79.893653869999994</v>
      </c>
      <c r="E667">
        <v>50</v>
      </c>
      <c r="F667">
        <v>46.881446838000002</v>
      </c>
      <c r="G667">
        <v>1335.7855225000001</v>
      </c>
      <c r="H667">
        <v>1334.1433105000001</v>
      </c>
      <c r="I667">
        <v>1328.8983154</v>
      </c>
      <c r="J667">
        <v>1328.0783690999999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416.67460699999998</v>
      </c>
      <c r="B668" s="1">
        <f>DATE(2011,6,21) + TIME(16,11,26)</f>
        <v>40715.67460648148</v>
      </c>
      <c r="C668">
        <v>80</v>
      </c>
      <c r="D668">
        <v>79.893547057999996</v>
      </c>
      <c r="E668">
        <v>50</v>
      </c>
      <c r="F668">
        <v>46.819335938000002</v>
      </c>
      <c r="G668">
        <v>1335.7805175999999</v>
      </c>
      <c r="H668">
        <v>1334.1424560999999</v>
      </c>
      <c r="I668">
        <v>1328.887207</v>
      </c>
      <c r="J668">
        <v>1328.0599365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418.11267700000002</v>
      </c>
      <c r="B669" s="1">
        <f>DATE(2011,6,23) + TIME(2,42,15)</f>
        <v>40717.112673611111</v>
      </c>
      <c r="C669">
        <v>80</v>
      </c>
      <c r="D669">
        <v>79.893440247000001</v>
      </c>
      <c r="E669">
        <v>50</v>
      </c>
      <c r="F669">
        <v>46.758045197000001</v>
      </c>
      <c r="G669">
        <v>1335.7756348</v>
      </c>
      <c r="H669">
        <v>1334.1414795000001</v>
      </c>
      <c r="I669">
        <v>1328.8762207</v>
      </c>
      <c r="J669">
        <v>1328.0412598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419.56878899999998</v>
      </c>
      <c r="B670" s="1">
        <f>DATE(2011,6,24) + TIME(13,39,3)</f>
        <v>40718.568784722222</v>
      </c>
      <c r="C670">
        <v>80</v>
      </c>
      <c r="D670">
        <v>79.893341063999998</v>
      </c>
      <c r="E670">
        <v>50</v>
      </c>
      <c r="F670">
        <v>46.697727202999999</v>
      </c>
      <c r="G670">
        <v>1335.770874</v>
      </c>
      <c r="H670">
        <v>1334.140625</v>
      </c>
      <c r="I670">
        <v>1328.8652344</v>
      </c>
      <c r="J670">
        <v>1328.0225829999999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421.05024700000001</v>
      </c>
      <c r="B671" s="1">
        <f>DATE(2011,6,26) + TIME(1,12,21)</f>
        <v>40720.050243055557</v>
      </c>
      <c r="C671">
        <v>80</v>
      </c>
      <c r="D671">
        <v>79.893249511999997</v>
      </c>
      <c r="E671">
        <v>50</v>
      </c>
      <c r="F671">
        <v>46.638572693</v>
      </c>
      <c r="G671">
        <v>1335.7661132999999</v>
      </c>
      <c r="H671">
        <v>1334.1397704999999</v>
      </c>
      <c r="I671">
        <v>1328.8542480000001</v>
      </c>
      <c r="J671">
        <v>1328.0037841999999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422.56401699999998</v>
      </c>
      <c r="B672" s="1">
        <f>DATE(2011,6,27) + TIME(13,32,11)</f>
        <v>40721.564016203702</v>
      </c>
      <c r="C672">
        <v>80</v>
      </c>
      <c r="D672">
        <v>79.893165588000002</v>
      </c>
      <c r="E672">
        <v>50</v>
      </c>
      <c r="F672">
        <v>46.580890656000001</v>
      </c>
      <c r="G672">
        <v>1335.7614745999999</v>
      </c>
      <c r="H672">
        <v>1334.1387939000001</v>
      </c>
      <c r="I672">
        <v>1328.8433838000001</v>
      </c>
      <c r="J672">
        <v>1327.9849853999999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424.11759999999998</v>
      </c>
      <c r="B673" s="1">
        <f>DATE(2011,6,29) + TIME(2,49,20)</f>
        <v>40723.117592592593</v>
      </c>
      <c r="C673">
        <v>80</v>
      </c>
      <c r="D673">
        <v>79.893089294000006</v>
      </c>
      <c r="E673">
        <v>50</v>
      </c>
      <c r="F673">
        <v>46.525112151999998</v>
      </c>
      <c r="G673">
        <v>1335.7568358999999</v>
      </c>
      <c r="H673">
        <v>1334.1379394999999</v>
      </c>
      <c r="I673">
        <v>1328.8323975000001</v>
      </c>
      <c r="J673">
        <v>1327.9658202999999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425.720078</v>
      </c>
      <c r="B674" s="1">
        <f>DATE(2011,6,30) + TIME(17,16,54)</f>
        <v>40724.720069444447</v>
      </c>
      <c r="C674">
        <v>80</v>
      </c>
      <c r="D674">
        <v>79.893020629999995</v>
      </c>
      <c r="E674">
        <v>50</v>
      </c>
      <c r="F674">
        <v>46.471801757999998</v>
      </c>
      <c r="G674">
        <v>1335.7523193</v>
      </c>
      <c r="H674">
        <v>1334.1369629000001</v>
      </c>
      <c r="I674">
        <v>1328.8214111</v>
      </c>
      <c r="J674">
        <v>1327.9465332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426</v>
      </c>
      <c r="B675" s="1">
        <f>DATE(2011,7,1) + TIME(0,0,0)</f>
        <v>40725</v>
      </c>
      <c r="C675">
        <v>80</v>
      </c>
      <c r="D675">
        <v>79.892974854000002</v>
      </c>
      <c r="E675">
        <v>50</v>
      </c>
      <c r="F675">
        <v>46.460556029999999</v>
      </c>
      <c r="G675">
        <v>1335.7478027</v>
      </c>
      <c r="H675">
        <v>1334.1361084</v>
      </c>
      <c r="I675">
        <v>1328.8118896000001</v>
      </c>
      <c r="J675">
        <v>1327.9300536999999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427.66047900000001</v>
      </c>
      <c r="B676" s="1">
        <f>DATE(2011,7,2) + TIME(15,51,5)</f>
        <v>40726.660474537035</v>
      </c>
      <c r="C676">
        <v>80</v>
      </c>
      <c r="D676">
        <v>79.892936707000004</v>
      </c>
      <c r="E676">
        <v>50</v>
      </c>
      <c r="F676">
        <v>46.412353516000003</v>
      </c>
      <c r="G676">
        <v>1335.7468262</v>
      </c>
      <c r="H676">
        <v>1334.1358643000001</v>
      </c>
      <c r="I676">
        <v>1328.8079834</v>
      </c>
      <c r="J676">
        <v>1327.9226074000001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429.42745200000002</v>
      </c>
      <c r="B677" s="1">
        <f>DATE(2011,7,4) + TIME(10,15,31)</f>
        <v>40728.427442129629</v>
      </c>
      <c r="C677">
        <v>80</v>
      </c>
      <c r="D677">
        <v>79.892890929999993</v>
      </c>
      <c r="E677">
        <v>50</v>
      </c>
      <c r="F677">
        <v>46.367992401000002</v>
      </c>
      <c r="G677">
        <v>1335.7423096</v>
      </c>
      <c r="H677">
        <v>1334.1348877</v>
      </c>
      <c r="I677">
        <v>1328.7969971</v>
      </c>
      <c r="J677">
        <v>1327.9029541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431.29530899999997</v>
      </c>
      <c r="B678" s="1">
        <f>DATE(2011,7,6) + TIME(7,5,14)</f>
        <v>40730.295300925929</v>
      </c>
      <c r="C678">
        <v>80</v>
      </c>
      <c r="D678">
        <v>79.892852782999995</v>
      </c>
      <c r="E678">
        <v>50</v>
      </c>
      <c r="F678">
        <v>46.32976532</v>
      </c>
      <c r="G678">
        <v>1335.7375488</v>
      </c>
      <c r="H678">
        <v>1334.1339111</v>
      </c>
      <c r="I678">
        <v>1328.7857666</v>
      </c>
      <c r="J678">
        <v>1327.8823242000001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433.18519199999997</v>
      </c>
      <c r="B679" s="1">
        <f>DATE(2011,7,8) + TIME(4,26,40)</f>
        <v>40732.185185185182</v>
      </c>
      <c r="C679">
        <v>80</v>
      </c>
      <c r="D679">
        <v>79.892807007000002</v>
      </c>
      <c r="E679">
        <v>50</v>
      </c>
      <c r="F679">
        <v>46.301242827999999</v>
      </c>
      <c r="G679">
        <v>1335.7326660000001</v>
      </c>
      <c r="H679">
        <v>1334.1328125</v>
      </c>
      <c r="I679">
        <v>1328.7742920000001</v>
      </c>
      <c r="J679">
        <v>1327.8612060999999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435.10939100000002</v>
      </c>
      <c r="B680" s="1">
        <f>DATE(2011,7,10) + TIME(2,37,31)</f>
        <v>40734.109386574077</v>
      </c>
      <c r="C680">
        <v>80</v>
      </c>
      <c r="D680">
        <v>79.892768860000004</v>
      </c>
      <c r="E680">
        <v>50</v>
      </c>
      <c r="F680">
        <v>46.284805298000002</v>
      </c>
      <c r="G680">
        <v>1335.7279053</v>
      </c>
      <c r="H680">
        <v>1334.1317139</v>
      </c>
      <c r="I680">
        <v>1328.7629394999999</v>
      </c>
      <c r="J680">
        <v>1327.8400879000001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437.05749400000002</v>
      </c>
      <c r="B681" s="1">
        <f>DATE(2011,7,12) + TIME(1,22,47)</f>
        <v>40736.057488425926</v>
      </c>
      <c r="C681">
        <v>80</v>
      </c>
      <c r="D681">
        <v>79.892738342000001</v>
      </c>
      <c r="E681">
        <v>50</v>
      </c>
      <c r="F681">
        <v>46.283283234000002</v>
      </c>
      <c r="G681">
        <v>1335.7231445</v>
      </c>
      <c r="H681">
        <v>1334.1306152</v>
      </c>
      <c r="I681">
        <v>1328.7518310999999</v>
      </c>
      <c r="J681">
        <v>1327.8189697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439.050703</v>
      </c>
      <c r="B682" s="1">
        <f>DATE(2011,7,14) + TIME(1,13,0)</f>
        <v>40738.050694444442</v>
      </c>
      <c r="C682">
        <v>80</v>
      </c>
      <c r="D682">
        <v>79.892723083000007</v>
      </c>
      <c r="E682">
        <v>50</v>
      </c>
      <c r="F682">
        <v>46.299697876000003</v>
      </c>
      <c r="G682">
        <v>1335.7185059000001</v>
      </c>
      <c r="H682">
        <v>1334.1295166</v>
      </c>
      <c r="I682">
        <v>1328.7410889</v>
      </c>
      <c r="J682">
        <v>1327.7980957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441.10426999999999</v>
      </c>
      <c r="B683" s="1">
        <f>DATE(2011,7,16) + TIME(2,30,8)</f>
        <v>40740.104259259257</v>
      </c>
      <c r="C683">
        <v>80</v>
      </c>
      <c r="D683">
        <v>79.892707825000002</v>
      </c>
      <c r="E683">
        <v>50</v>
      </c>
      <c r="F683">
        <v>46.337841034</v>
      </c>
      <c r="G683">
        <v>1335.7138672000001</v>
      </c>
      <c r="H683">
        <v>1334.128418</v>
      </c>
      <c r="I683">
        <v>1328.7304687999999</v>
      </c>
      <c r="J683">
        <v>1327.7773437999999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443.18682100000001</v>
      </c>
      <c r="B684" s="1">
        <f>DATE(2011,7,18) + TIME(4,29,1)</f>
        <v>40742.18681712963</v>
      </c>
      <c r="C684">
        <v>80</v>
      </c>
      <c r="D684">
        <v>79.892700195000003</v>
      </c>
      <c r="E684">
        <v>50</v>
      </c>
      <c r="F684">
        <v>46.401508331000002</v>
      </c>
      <c r="G684">
        <v>1335.7093506000001</v>
      </c>
      <c r="H684">
        <v>1334.1271973</v>
      </c>
      <c r="I684">
        <v>1328.7200928</v>
      </c>
      <c r="J684">
        <v>1327.7569579999999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445.290437</v>
      </c>
      <c r="B685" s="1">
        <f>DATE(2011,7,20) + TIME(6,58,13)</f>
        <v>40744.29042824074</v>
      </c>
      <c r="C685">
        <v>80</v>
      </c>
      <c r="D685">
        <v>79.892707825000002</v>
      </c>
      <c r="E685">
        <v>50</v>
      </c>
      <c r="F685">
        <v>46.494224547999998</v>
      </c>
      <c r="G685">
        <v>1335.7047118999999</v>
      </c>
      <c r="H685">
        <v>1334.1260986</v>
      </c>
      <c r="I685">
        <v>1328.7102050999999</v>
      </c>
      <c r="J685">
        <v>1327.7369385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447.43493899999999</v>
      </c>
      <c r="B686" s="1">
        <f>DATE(2011,7,22) + TIME(10,26,18)</f>
        <v>40746.434930555559</v>
      </c>
      <c r="C686">
        <v>80</v>
      </c>
      <c r="D686">
        <v>79.892715453999998</v>
      </c>
      <c r="E686">
        <v>50</v>
      </c>
      <c r="F686">
        <v>46.620124816999997</v>
      </c>
      <c r="G686">
        <v>1335.7003173999999</v>
      </c>
      <c r="H686">
        <v>1334.1248779</v>
      </c>
      <c r="I686">
        <v>1328.7008057</v>
      </c>
      <c r="J686">
        <v>1327.7176514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449.61805900000002</v>
      </c>
      <c r="B687" s="1">
        <f>DATE(2011,7,24) + TIME(14,50,0)</f>
        <v>40748.618055555555</v>
      </c>
      <c r="C687">
        <v>80</v>
      </c>
      <c r="D687">
        <v>79.892738342000001</v>
      </c>
      <c r="E687">
        <v>50</v>
      </c>
      <c r="F687">
        <v>46.783340453999998</v>
      </c>
      <c r="G687">
        <v>1335.6959228999999</v>
      </c>
      <c r="H687">
        <v>1334.1236572</v>
      </c>
      <c r="I687">
        <v>1328.6918945</v>
      </c>
      <c r="J687">
        <v>1327.6989745999999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451.84160700000001</v>
      </c>
      <c r="B688" s="1">
        <f>DATE(2011,7,26) + TIME(20,11,54)</f>
        <v>40750.841597222221</v>
      </c>
      <c r="C688">
        <v>80</v>
      </c>
      <c r="D688">
        <v>79.892761230000005</v>
      </c>
      <c r="E688">
        <v>50</v>
      </c>
      <c r="F688">
        <v>46.987747192</v>
      </c>
      <c r="G688">
        <v>1335.6915283000001</v>
      </c>
      <c r="H688">
        <v>1334.1224365</v>
      </c>
      <c r="I688">
        <v>1328.6833495999999</v>
      </c>
      <c r="J688">
        <v>1327.6811522999999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454.11491799999999</v>
      </c>
      <c r="B689" s="1">
        <f>DATE(2011,7,29) + TIME(2,45,28)</f>
        <v>40753.114907407406</v>
      </c>
      <c r="C689">
        <v>80</v>
      </c>
      <c r="D689">
        <v>79.892799377000003</v>
      </c>
      <c r="E689">
        <v>50</v>
      </c>
      <c r="F689">
        <v>47.237258910999998</v>
      </c>
      <c r="G689">
        <v>1335.6871338000001</v>
      </c>
      <c r="H689">
        <v>1334.1210937999999</v>
      </c>
      <c r="I689">
        <v>1328.6754149999999</v>
      </c>
      <c r="J689">
        <v>1327.6641846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456.41751499999998</v>
      </c>
      <c r="B690" s="1">
        <f>DATE(2011,7,31) + TIME(10,1,13)</f>
        <v>40755.417511574073</v>
      </c>
      <c r="C690">
        <v>80</v>
      </c>
      <c r="D690">
        <v>79.892845154</v>
      </c>
      <c r="E690">
        <v>50</v>
      </c>
      <c r="F690">
        <v>47.533489226999997</v>
      </c>
      <c r="G690">
        <v>1335.6828613</v>
      </c>
      <c r="H690">
        <v>1334.1198730000001</v>
      </c>
      <c r="I690">
        <v>1328.6680908000001</v>
      </c>
      <c r="J690">
        <v>1327.6481934000001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457</v>
      </c>
      <c r="B691" s="1">
        <f>DATE(2011,8,1) + TIME(0,0,0)</f>
        <v>40756</v>
      </c>
      <c r="C691">
        <v>80</v>
      </c>
      <c r="D691">
        <v>79.892807007000002</v>
      </c>
      <c r="E691">
        <v>50</v>
      </c>
      <c r="F691">
        <v>47.659030913999999</v>
      </c>
      <c r="G691">
        <v>1335.6788329999999</v>
      </c>
      <c r="H691">
        <v>1334.1186522999999</v>
      </c>
      <c r="I691">
        <v>1328.6643065999999</v>
      </c>
      <c r="J691">
        <v>1327.6354980000001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459.35586699999999</v>
      </c>
      <c r="B692" s="1">
        <f>DATE(2011,8,3) + TIME(8,32,26)</f>
        <v>40758.355856481481</v>
      </c>
      <c r="C692">
        <v>80</v>
      </c>
      <c r="D692">
        <v>79.892890929999993</v>
      </c>
      <c r="E692">
        <v>50</v>
      </c>
      <c r="F692">
        <v>47.999088286999999</v>
      </c>
      <c r="G692">
        <v>1335.6776123</v>
      </c>
      <c r="H692">
        <v>1334.1181641000001</v>
      </c>
      <c r="I692">
        <v>1328.6588135</v>
      </c>
      <c r="J692">
        <v>1327.6289062000001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461.768438</v>
      </c>
      <c r="B693" s="1">
        <f>DATE(2011,8,5) + TIME(18,26,33)</f>
        <v>40760.768437500003</v>
      </c>
      <c r="C693">
        <v>80</v>
      </c>
      <c r="D693">
        <v>79.892967224000003</v>
      </c>
      <c r="E693">
        <v>50</v>
      </c>
      <c r="F693">
        <v>48.396747589</v>
      </c>
      <c r="G693">
        <v>1335.6734618999999</v>
      </c>
      <c r="H693">
        <v>1334.1169434000001</v>
      </c>
      <c r="I693">
        <v>1328.6530762</v>
      </c>
      <c r="J693">
        <v>1327.6158447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464.23021</v>
      </c>
      <c r="B694" s="1">
        <f>DATE(2011,8,8) + TIME(5,31,30)</f>
        <v>40763.230208333334</v>
      </c>
      <c r="C694">
        <v>80</v>
      </c>
      <c r="D694">
        <v>79.893035889000004</v>
      </c>
      <c r="E694">
        <v>50</v>
      </c>
      <c r="F694">
        <v>48.848171233999999</v>
      </c>
      <c r="G694">
        <v>1335.6693115</v>
      </c>
      <c r="H694">
        <v>1334.1156006000001</v>
      </c>
      <c r="I694">
        <v>1328.6477050999999</v>
      </c>
      <c r="J694">
        <v>1327.6037598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466.73893099999998</v>
      </c>
      <c r="B695" s="1">
        <f>DATE(2011,8,10) + TIME(17,44,3)</f>
        <v>40765.738923611112</v>
      </c>
      <c r="C695">
        <v>80</v>
      </c>
      <c r="D695">
        <v>79.893119811999995</v>
      </c>
      <c r="E695">
        <v>50</v>
      </c>
      <c r="F695">
        <v>49.348644256999997</v>
      </c>
      <c r="G695">
        <v>1335.6652832</v>
      </c>
      <c r="H695">
        <v>1334.1142577999999</v>
      </c>
      <c r="I695">
        <v>1328.6429443</v>
      </c>
      <c r="J695">
        <v>1327.5928954999999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469.30813999999998</v>
      </c>
      <c r="B696" s="1">
        <f>DATE(2011,8,13) + TIME(7,23,43)</f>
        <v>40768.308136574073</v>
      </c>
      <c r="C696">
        <v>80</v>
      </c>
      <c r="D696">
        <v>79.893203735</v>
      </c>
      <c r="E696">
        <v>50</v>
      </c>
      <c r="F696">
        <v>49.894058227999999</v>
      </c>
      <c r="G696">
        <v>1335.6612548999999</v>
      </c>
      <c r="H696">
        <v>1334.1129149999999</v>
      </c>
      <c r="I696">
        <v>1328.6386719</v>
      </c>
      <c r="J696">
        <v>1327.5832519999999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471.93531200000001</v>
      </c>
      <c r="B697" s="1">
        <f>DATE(2011,8,15) + TIME(22,26,50)</f>
        <v>40770.935300925928</v>
      </c>
      <c r="C697">
        <v>80</v>
      </c>
      <c r="D697">
        <v>79.893295288000004</v>
      </c>
      <c r="E697">
        <v>50</v>
      </c>
      <c r="F697">
        <v>50.478324890000003</v>
      </c>
      <c r="G697">
        <v>1335.6572266000001</v>
      </c>
      <c r="H697">
        <v>1334.1116943</v>
      </c>
      <c r="I697">
        <v>1328.6350098</v>
      </c>
      <c r="J697">
        <v>1327.5748291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474.61516499999999</v>
      </c>
      <c r="B698" s="1">
        <f>DATE(2011,8,18) + TIME(14,45,50)</f>
        <v>40773.615162037036</v>
      </c>
      <c r="C698">
        <v>80</v>
      </c>
      <c r="D698">
        <v>79.893402100000003</v>
      </c>
      <c r="E698">
        <v>50</v>
      </c>
      <c r="F698">
        <v>51.094490051000001</v>
      </c>
      <c r="G698">
        <v>1335.6531981999999</v>
      </c>
      <c r="H698">
        <v>1334.1103516000001</v>
      </c>
      <c r="I698">
        <v>1328.6318358999999</v>
      </c>
      <c r="J698">
        <v>1327.5675048999999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477.35008499999998</v>
      </c>
      <c r="B699" s="1">
        <f>DATE(2011,8,21) + TIME(8,24,7)</f>
        <v>40776.350081018521</v>
      </c>
      <c r="C699">
        <v>80</v>
      </c>
      <c r="D699">
        <v>79.893508910999998</v>
      </c>
      <c r="E699">
        <v>50</v>
      </c>
      <c r="F699">
        <v>51.735591888000002</v>
      </c>
      <c r="G699">
        <v>1335.6492920000001</v>
      </c>
      <c r="H699">
        <v>1334.1090088000001</v>
      </c>
      <c r="I699">
        <v>1328.6293945</v>
      </c>
      <c r="J699">
        <v>1327.5615233999999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480.14407799999998</v>
      </c>
      <c r="B700" s="1">
        <f>DATE(2011,8,24) + TIME(3,27,28)</f>
        <v>40779.144074074073</v>
      </c>
      <c r="C700">
        <v>80</v>
      </c>
      <c r="D700">
        <v>79.893630981000001</v>
      </c>
      <c r="E700">
        <v>50</v>
      </c>
      <c r="F700">
        <v>52.394973755000002</v>
      </c>
      <c r="G700">
        <v>1335.6455077999999</v>
      </c>
      <c r="H700">
        <v>1334.1076660000001</v>
      </c>
      <c r="I700">
        <v>1328.6274414</v>
      </c>
      <c r="J700">
        <v>1327.5565185999999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483.00796500000001</v>
      </c>
      <c r="B701" s="1">
        <f>DATE(2011,8,27) + TIME(0,11,28)</f>
        <v>40782.007962962962</v>
      </c>
      <c r="C701">
        <v>80</v>
      </c>
      <c r="D701">
        <v>79.893753051999994</v>
      </c>
      <c r="E701">
        <v>50</v>
      </c>
      <c r="F701">
        <v>53.067161560000002</v>
      </c>
      <c r="G701">
        <v>1335.6417236</v>
      </c>
      <c r="H701">
        <v>1334.1064452999999</v>
      </c>
      <c r="I701">
        <v>1328.6259766000001</v>
      </c>
      <c r="J701">
        <v>1327.5526123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485.93969499999997</v>
      </c>
      <c r="B702" s="1">
        <f>DATE(2011,8,29) + TIME(22,33,9)</f>
        <v>40784.939687500002</v>
      </c>
      <c r="C702">
        <v>80</v>
      </c>
      <c r="D702">
        <v>79.893890381000006</v>
      </c>
      <c r="E702">
        <v>50</v>
      </c>
      <c r="F702">
        <v>53.746124268000003</v>
      </c>
      <c r="G702">
        <v>1335.6380615</v>
      </c>
      <c r="H702">
        <v>1334.1051024999999</v>
      </c>
      <c r="I702">
        <v>1328.6251221</v>
      </c>
      <c r="J702">
        <v>1327.5496826000001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488</v>
      </c>
      <c r="B703" s="1">
        <f>DATE(2011,9,1) + TIME(0,0,0)</f>
        <v>40787</v>
      </c>
      <c r="C703">
        <v>80</v>
      </c>
      <c r="D703">
        <v>79.893959045000003</v>
      </c>
      <c r="E703">
        <v>50</v>
      </c>
      <c r="F703">
        <v>54.304744720000002</v>
      </c>
      <c r="G703">
        <v>1335.6343993999999</v>
      </c>
      <c r="H703">
        <v>1334.1040039</v>
      </c>
      <c r="I703">
        <v>1328.6258545000001</v>
      </c>
      <c r="J703">
        <v>1327.5479736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490.98350599999998</v>
      </c>
      <c r="B704" s="1">
        <f>DATE(2011,9,3) + TIME(23,36,14)</f>
        <v>40789.983495370368</v>
      </c>
      <c r="C704">
        <v>80</v>
      </c>
      <c r="D704">
        <v>79.894119262999993</v>
      </c>
      <c r="E704">
        <v>50</v>
      </c>
      <c r="F704">
        <v>54.926120758000003</v>
      </c>
      <c r="G704">
        <v>1335.6318358999999</v>
      </c>
      <c r="H704">
        <v>1334.1030272999999</v>
      </c>
      <c r="I704">
        <v>1328.6243896000001</v>
      </c>
      <c r="J704">
        <v>1327.5469971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494.07284099999998</v>
      </c>
      <c r="B705" s="1">
        <f>DATE(2011,9,7) + TIME(1,44,53)</f>
        <v>40793.072835648149</v>
      </c>
      <c r="C705">
        <v>80</v>
      </c>
      <c r="D705">
        <v>79.894287109000004</v>
      </c>
      <c r="E705">
        <v>50</v>
      </c>
      <c r="F705">
        <v>55.563747405999997</v>
      </c>
      <c r="G705">
        <v>1335.628418</v>
      </c>
      <c r="H705">
        <v>1334.1019286999999</v>
      </c>
      <c r="I705">
        <v>1328.6247559000001</v>
      </c>
      <c r="J705">
        <v>1327.5458983999999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497.25956100000002</v>
      </c>
      <c r="B706" s="1">
        <f>DATE(2011,9,10) + TIME(6,13,46)</f>
        <v>40796.259560185186</v>
      </c>
      <c r="C706">
        <v>80</v>
      </c>
      <c r="D706">
        <v>79.894454956000004</v>
      </c>
      <c r="E706">
        <v>50</v>
      </c>
      <c r="F706">
        <v>56.203411101999997</v>
      </c>
      <c r="G706">
        <v>1335.625</v>
      </c>
      <c r="H706">
        <v>1334.1007079999999</v>
      </c>
      <c r="I706">
        <v>1328.6254882999999</v>
      </c>
      <c r="J706">
        <v>1327.5455322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500.52113700000001</v>
      </c>
      <c r="B707" s="1">
        <f>DATE(2011,9,13) + TIME(12,30,26)</f>
        <v>40799.521134259259</v>
      </c>
      <c r="C707">
        <v>80</v>
      </c>
      <c r="D707">
        <v>79.894630432</v>
      </c>
      <c r="E707">
        <v>50</v>
      </c>
      <c r="F707">
        <v>56.833934784</v>
      </c>
      <c r="G707">
        <v>1335.621582</v>
      </c>
      <c r="H707">
        <v>1334.0996094</v>
      </c>
      <c r="I707">
        <v>1328.6264647999999</v>
      </c>
      <c r="J707">
        <v>1327.5457764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503.852936</v>
      </c>
      <c r="B708" s="1">
        <f>DATE(2011,9,16) + TIME(20,28,13)</f>
        <v>40802.85292824074</v>
      </c>
      <c r="C708">
        <v>80</v>
      </c>
      <c r="D708">
        <v>79.894805907999995</v>
      </c>
      <c r="E708">
        <v>50</v>
      </c>
      <c r="F708">
        <v>57.447975159000002</v>
      </c>
      <c r="G708">
        <v>1335.6182861</v>
      </c>
      <c r="H708">
        <v>1334.0986327999999</v>
      </c>
      <c r="I708">
        <v>1328.6278076000001</v>
      </c>
      <c r="J708">
        <v>1327.5463867000001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507.28917000000001</v>
      </c>
      <c r="B709" s="1">
        <f>DATE(2011,9,20) + TIME(6,56,24)</f>
        <v>40806.289166666669</v>
      </c>
      <c r="C709">
        <v>80</v>
      </c>
      <c r="D709">
        <v>79.894996642999999</v>
      </c>
      <c r="E709">
        <v>50</v>
      </c>
      <c r="F709">
        <v>58.043491363999998</v>
      </c>
      <c r="G709">
        <v>1335.6151123</v>
      </c>
      <c r="H709">
        <v>1334.0975341999999</v>
      </c>
      <c r="I709">
        <v>1328.6293945</v>
      </c>
      <c r="J709">
        <v>1327.5473632999999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510.81776000000002</v>
      </c>
      <c r="B710" s="1">
        <f>DATE(2011,9,23) + TIME(19,37,34)</f>
        <v>40809.817754629628</v>
      </c>
      <c r="C710">
        <v>80</v>
      </c>
      <c r="D710">
        <v>79.895195006999998</v>
      </c>
      <c r="E710">
        <v>50</v>
      </c>
      <c r="F710">
        <v>58.617752074999999</v>
      </c>
      <c r="G710">
        <v>1335.6119385</v>
      </c>
      <c r="H710">
        <v>1334.0965576000001</v>
      </c>
      <c r="I710">
        <v>1328.6311035000001</v>
      </c>
      <c r="J710">
        <v>1327.5484618999999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514.42934300000002</v>
      </c>
      <c r="B711" s="1">
        <f>DATE(2011,9,27) + TIME(10,18,15)</f>
        <v>40813.429340277777</v>
      </c>
      <c r="C711">
        <v>80</v>
      </c>
      <c r="D711">
        <v>79.895401000999996</v>
      </c>
      <c r="E711">
        <v>50</v>
      </c>
      <c r="F711">
        <v>59.168186188</v>
      </c>
      <c r="G711">
        <v>1335.6087646000001</v>
      </c>
      <c r="H711">
        <v>1334.0955810999999</v>
      </c>
      <c r="I711">
        <v>1328.6329346</v>
      </c>
      <c r="J711">
        <v>1327.5498047000001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518</v>
      </c>
      <c r="B712" s="1">
        <f>DATE(2011,10,1) + TIME(0,0,0)</f>
        <v>40817</v>
      </c>
      <c r="C712">
        <v>80</v>
      </c>
      <c r="D712">
        <v>79.895606994999994</v>
      </c>
      <c r="E712">
        <v>50</v>
      </c>
      <c r="F712">
        <v>59.686080933</v>
      </c>
      <c r="G712">
        <v>1335.6057129000001</v>
      </c>
      <c r="H712">
        <v>1334.0947266000001</v>
      </c>
      <c r="I712">
        <v>1328.6350098</v>
      </c>
      <c r="J712">
        <v>1327.5512695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521.66843800000004</v>
      </c>
      <c r="B713" s="1">
        <f>DATE(2011,10,4) + TIME(16,2,33)</f>
        <v>40820.668437499997</v>
      </c>
      <c r="C713">
        <v>80</v>
      </c>
      <c r="D713">
        <v>79.895820618000002</v>
      </c>
      <c r="E713">
        <v>50</v>
      </c>
      <c r="F713">
        <v>60.174110413000001</v>
      </c>
      <c r="G713">
        <v>1335.6029053</v>
      </c>
      <c r="H713">
        <v>1334.0938721</v>
      </c>
      <c r="I713">
        <v>1328.6369629000001</v>
      </c>
      <c r="J713">
        <v>1327.5528564000001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525.53990499999998</v>
      </c>
      <c r="B714" s="1">
        <f>DATE(2011,10,8) + TIME(12,57,27)</f>
        <v>40824.539895833332</v>
      </c>
      <c r="C714">
        <v>80</v>
      </c>
      <c r="D714">
        <v>79.896057128999999</v>
      </c>
      <c r="E714">
        <v>50</v>
      </c>
      <c r="F714">
        <v>60.641181946000003</v>
      </c>
      <c r="G714">
        <v>1335.6000977000001</v>
      </c>
      <c r="H714">
        <v>1334.0931396000001</v>
      </c>
      <c r="I714">
        <v>1328.6390381000001</v>
      </c>
      <c r="J714">
        <v>1327.5543213000001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529.530126</v>
      </c>
      <c r="B715" s="1">
        <f>DATE(2011,10,12) + TIME(12,43,22)</f>
        <v>40828.530115740738</v>
      </c>
      <c r="C715">
        <v>80</v>
      </c>
      <c r="D715">
        <v>79.896293639999996</v>
      </c>
      <c r="E715">
        <v>50</v>
      </c>
      <c r="F715">
        <v>61.088771819999998</v>
      </c>
      <c r="G715">
        <v>1335.5972899999999</v>
      </c>
      <c r="H715">
        <v>1334.0922852000001</v>
      </c>
      <c r="I715">
        <v>1328.6412353999999</v>
      </c>
      <c r="J715">
        <v>1327.5556641000001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533.58457199999998</v>
      </c>
      <c r="B716" s="1">
        <f>DATE(2011,10,16) + TIME(14,1,47)</f>
        <v>40832.58457175926</v>
      </c>
      <c r="C716">
        <v>80</v>
      </c>
      <c r="D716">
        <v>79.896545410000002</v>
      </c>
      <c r="E716">
        <v>50</v>
      </c>
      <c r="F716">
        <v>61.513130187999998</v>
      </c>
      <c r="G716">
        <v>1335.5944824000001</v>
      </c>
      <c r="H716">
        <v>1334.0915527</v>
      </c>
      <c r="I716">
        <v>1328.6434326000001</v>
      </c>
      <c r="J716">
        <v>1327.5571289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537.71351300000003</v>
      </c>
      <c r="B717" s="1">
        <f>DATE(2011,10,20) + TIME(17,7,27)</f>
        <v>40836.713506944441</v>
      </c>
      <c r="C717">
        <v>80</v>
      </c>
      <c r="D717">
        <v>79.896797179999993</v>
      </c>
      <c r="E717">
        <v>50</v>
      </c>
      <c r="F717">
        <v>61.912681579999997</v>
      </c>
      <c r="G717">
        <v>1335.5917969</v>
      </c>
      <c r="H717">
        <v>1334.0909423999999</v>
      </c>
      <c r="I717">
        <v>1328.6457519999999</v>
      </c>
      <c r="J717">
        <v>1327.5584716999999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541.955243</v>
      </c>
      <c r="B718" s="1">
        <f>DATE(2011,10,24) + TIME(22,55,32)</f>
        <v>40840.955231481479</v>
      </c>
      <c r="C718">
        <v>80</v>
      </c>
      <c r="D718">
        <v>79.897056579999997</v>
      </c>
      <c r="E718">
        <v>50</v>
      </c>
      <c r="F718">
        <v>62.289230347</v>
      </c>
      <c r="G718">
        <v>1335.5892334</v>
      </c>
      <c r="H718">
        <v>1334.090332</v>
      </c>
      <c r="I718">
        <v>1328.6479492000001</v>
      </c>
      <c r="J718">
        <v>1327.5596923999999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546.37269300000003</v>
      </c>
      <c r="B719" s="1">
        <f>DATE(2011,10,29) + TIME(8,56,40)</f>
        <v>40845.372685185182</v>
      </c>
      <c r="C719">
        <v>80</v>
      </c>
      <c r="D719">
        <v>79.897331238000007</v>
      </c>
      <c r="E719">
        <v>50</v>
      </c>
      <c r="F719">
        <v>62.646476745999998</v>
      </c>
      <c r="G719">
        <v>1335.5867920000001</v>
      </c>
      <c r="H719">
        <v>1334.0897216999999</v>
      </c>
      <c r="I719">
        <v>1328.6501464999999</v>
      </c>
      <c r="J719">
        <v>1327.5609131000001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549</v>
      </c>
      <c r="B720" s="1">
        <f>DATE(2011,11,1) + TIME(0,0,0)</f>
        <v>40848</v>
      </c>
      <c r="C720">
        <v>80</v>
      </c>
      <c r="D720">
        <v>79.897453307999996</v>
      </c>
      <c r="E720">
        <v>50</v>
      </c>
      <c r="F720">
        <v>62.918342590000002</v>
      </c>
      <c r="G720">
        <v>1335.5843506000001</v>
      </c>
      <c r="H720">
        <v>1334.0892334</v>
      </c>
      <c r="I720">
        <v>1328.6531981999999</v>
      </c>
      <c r="J720">
        <v>1327.5623779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549.000001</v>
      </c>
      <c r="B721" s="1">
        <f>DATE(2011,11,1) + TIME(0,0,0)</f>
        <v>40848</v>
      </c>
      <c r="C721">
        <v>80</v>
      </c>
      <c r="D721">
        <v>79.897430420000006</v>
      </c>
      <c r="E721">
        <v>50</v>
      </c>
      <c r="F721">
        <v>62.918373107999997</v>
      </c>
      <c r="G721">
        <v>1333.8790283000001</v>
      </c>
      <c r="H721">
        <v>1333.8742675999999</v>
      </c>
      <c r="I721">
        <v>1330.1400146000001</v>
      </c>
      <c r="J721">
        <v>1328.9241943</v>
      </c>
      <c r="K721">
        <v>0</v>
      </c>
      <c r="L721">
        <v>550</v>
      </c>
      <c r="M721">
        <v>550</v>
      </c>
      <c r="N721">
        <v>0</v>
      </c>
    </row>
    <row r="722" spans="1:14" x14ac:dyDescent="0.25">
      <c r="A722">
        <v>549.00000399999999</v>
      </c>
      <c r="B722" s="1">
        <f>DATE(2011,11,1) + TIME(0,0,0)</f>
        <v>40848</v>
      </c>
      <c r="C722">
        <v>80</v>
      </c>
      <c r="D722">
        <v>79.897377014</v>
      </c>
      <c r="E722">
        <v>50</v>
      </c>
      <c r="F722">
        <v>62.918422698999997</v>
      </c>
      <c r="G722">
        <v>1333.5236815999999</v>
      </c>
      <c r="H722">
        <v>1333.5339355000001</v>
      </c>
      <c r="I722">
        <v>1330.5380858999999</v>
      </c>
      <c r="J722">
        <v>1329.4077147999999</v>
      </c>
      <c r="K722">
        <v>0</v>
      </c>
      <c r="L722">
        <v>550</v>
      </c>
      <c r="M722">
        <v>550</v>
      </c>
      <c r="N722">
        <v>0</v>
      </c>
    </row>
    <row r="723" spans="1:14" x14ac:dyDescent="0.25">
      <c r="A723">
        <v>549.00001299999997</v>
      </c>
      <c r="B723" s="1">
        <f>DATE(2011,11,1) + TIME(0,0,1)</f>
        <v>40848.000011574077</v>
      </c>
      <c r="C723">
        <v>80</v>
      </c>
      <c r="D723">
        <v>79.897315978999998</v>
      </c>
      <c r="E723">
        <v>50</v>
      </c>
      <c r="F723">
        <v>62.918453217</v>
      </c>
      <c r="G723">
        <v>1333.0786132999999</v>
      </c>
      <c r="H723">
        <v>1333.0689697</v>
      </c>
      <c r="I723">
        <v>1331.1342772999999</v>
      </c>
      <c r="J723">
        <v>1330.0177002</v>
      </c>
      <c r="K723">
        <v>0</v>
      </c>
      <c r="L723">
        <v>550</v>
      </c>
      <c r="M723">
        <v>550</v>
      </c>
      <c r="N723">
        <v>0</v>
      </c>
    </row>
    <row r="724" spans="1:14" x14ac:dyDescent="0.25">
      <c r="A724">
        <v>549.00004000000001</v>
      </c>
      <c r="B724" s="1">
        <f>DATE(2011,11,1) + TIME(0,0,3)</f>
        <v>40848.000034722223</v>
      </c>
      <c r="C724">
        <v>80</v>
      </c>
      <c r="D724">
        <v>79.897239685000002</v>
      </c>
      <c r="E724">
        <v>50</v>
      </c>
      <c r="F724">
        <v>62.918388366999999</v>
      </c>
      <c r="G724">
        <v>1332.6027832</v>
      </c>
      <c r="H724">
        <v>1332.5566406</v>
      </c>
      <c r="I724">
        <v>1331.8249512</v>
      </c>
      <c r="J724">
        <v>1330.6846923999999</v>
      </c>
      <c r="K724">
        <v>0</v>
      </c>
      <c r="L724">
        <v>550</v>
      </c>
      <c r="M724">
        <v>550</v>
      </c>
      <c r="N724">
        <v>0</v>
      </c>
    </row>
    <row r="725" spans="1:14" x14ac:dyDescent="0.25">
      <c r="A725">
        <v>549.00012100000004</v>
      </c>
      <c r="B725" s="1">
        <f>DATE(2011,11,1) + TIME(0,0,10)</f>
        <v>40848.000115740739</v>
      </c>
      <c r="C725">
        <v>80</v>
      </c>
      <c r="D725">
        <v>79.897163391000007</v>
      </c>
      <c r="E725">
        <v>50</v>
      </c>
      <c r="F725">
        <v>62.917999268000003</v>
      </c>
      <c r="G725">
        <v>1332.1120605000001</v>
      </c>
      <c r="H725">
        <v>1332.0255127</v>
      </c>
      <c r="I725">
        <v>1332.5238036999999</v>
      </c>
      <c r="J725">
        <v>1331.3553466999999</v>
      </c>
      <c r="K725">
        <v>0</v>
      </c>
      <c r="L725">
        <v>550</v>
      </c>
      <c r="M725">
        <v>550</v>
      </c>
      <c r="N725">
        <v>0</v>
      </c>
    </row>
    <row r="726" spans="1:14" x14ac:dyDescent="0.25">
      <c r="A726">
        <v>549.00036399999999</v>
      </c>
      <c r="B726" s="1">
        <f>DATE(2011,11,1) + TIME(0,0,31)</f>
        <v>40848.000358796293</v>
      </c>
      <c r="C726">
        <v>80</v>
      </c>
      <c r="D726">
        <v>79.897079468000001</v>
      </c>
      <c r="E726">
        <v>50</v>
      </c>
      <c r="F726">
        <v>62.916606903000002</v>
      </c>
      <c r="G726">
        <v>1331.6407471</v>
      </c>
      <c r="H726">
        <v>1331.5118408000001</v>
      </c>
      <c r="I726">
        <v>1333.1762695</v>
      </c>
      <c r="J726">
        <v>1331.9704589999999</v>
      </c>
      <c r="K726">
        <v>0</v>
      </c>
      <c r="L726">
        <v>550</v>
      </c>
      <c r="M726">
        <v>550</v>
      </c>
      <c r="N726">
        <v>0</v>
      </c>
    </row>
    <row r="727" spans="1:14" x14ac:dyDescent="0.25">
      <c r="A727">
        <v>549.00109299999997</v>
      </c>
      <c r="B727" s="1">
        <f>DATE(2011,11,1) + TIME(0,1,34)</f>
        <v>40848.001087962963</v>
      </c>
      <c r="C727">
        <v>80</v>
      </c>
      <c r="D727">
        <v>79.896957396999994</v>
      </c>
      <c r="E727">
        <v>50</v>
      </c>
      <c r="F727">
        <v>62.912094115999999</v>
      </c>
      <c r="G727">
        <v>1331.2670897999999</v>
      </c>
      <c r="H727">
        <v>1331.1057129000001</v>
      </c>
      <c r="I727">
        <v>1333.6861572</v>
      </c>
      <c r="J727">
        <v>1332.4410399999999</v>
      </c>
      <c r="K727">
        <v>0</v>
      </c>
      <c r="L727">
        <v>550</v>
      </c>
      <c r="M727">
        <v>550</v>
      </c>
      <c r="N727">
        <v>0</v>
      </c>
    </row>
    <row r="728" spans="1:14" x14ac:dyDescent="0.25">
      <c r="A728">
        <v>549.00328000000002</v>
      </c>
      <c r="B728" s="1">
        <f>DATE(2011,11,1) + TIME(0,4,43)</f>
        <v>40848.003275462965</v>
      </c>
      <c r="C728">
        <v>80</v>
      </c>
      <c r="D728">
        <v>79.896713257000002</v>
      </c>
      <c r="E728">
        <v>50</v>
      </c>
      <c r="F728">
        <v>62.898155211999999</v>
      </c>
      <c r="G728">
        <v>1331.0351562000001</v>
      </c>
      <c r="H728">
        <v>1330.8590088000001</v>
      </c>
      <c r="I728">
        <v>1333.9914550999999</v>
      </c>
      <c r="J728">
        <v>1332.7207031</v>
      </c>
      <c r="K728">
        <v>0</v>
      </c>
      <c r="L728">
        <v>550</v>
      </c>
      <c r="M728">
        <v>550</v>
      </c>
      <c r="N728">
        <v>0</v>
      </c>
    </row>
    <row r="729" spans="1:14" x14ac:dyDescent="0.25">
      <c r="A729">
        <v>549.00984100000005</v>
      </c>
      <c r="B729" s="1">
        <f>DATE(2011,11,1) + TIME(0,14,10)</f>
        <v>40848.009837962964</v>
      </c>
      <c r="C729">
        <v>80</v>
      </c>
      <c r="D729">
        <v>79.896049500000004</v>
      </c>
      <c r="E729">
        <v>50</v>
      </c>
      <c r="F729">
        <v>62.856044769</v>
      </c>
      <c r="G729">
        <v>1330.9200439000001</v>
      </c>
      <c r="H729">
        <v>1330.7395019999999</v>
      </c>
      <c r="I729">
        <v>1334.1232910000001</v>
      </c>
      <c r="J729">
        <v>1332.8417969</v>
      </c>
      <c r="K729">
        <v>0</v>
      </c>
      <c r="L729">
        <v>550</v>
      </c>
      <c r="M729">
        <v>550</v>
      </c>
      <c r="N729">
        <v>0</v>
      </c>
    </row>
    <row r="730" spans="1:14" x14ac:dyDescent="0.25">
      <c r="A730">
        <v>549.02952400000004</v>
      </c>
      <c r="B730" s="1">
        <f>DATE(2011,11,1) + TIME(0,42,30)</f>
        <v>40848.029513888891</v>
      </c>
      <c r="C730">
        <v>80</v>
      </c>
      <c r="D730">
        <v>79.894119262999993</v>
      </c>
      <c r="E730">
        <v>50</v>
      </c>
      <c r="F730">
        <v>62.730838775999999</v>
      </c>
      <c r="G730">
        <v>1330.8771973</v>
      </c>
      <c r="H730">
        <v>1330.6954346</v>
      </c>
      <c r="I730">
        <v>1334.1538086</v>
      </c>
      <c r="J730">
        <v>1332.8691406</v>
      </c>
      <c r="K730">
        <v>0</v>
      </c>
      <c r="L730">
        <v>550</v>
      </c>
      <c r="M730">
        <v>550</v>
      </c>
      <c r="N730">
        <v>0</v>
      </c>
    </row>
    <row r="731" spans="1:14" x14ac:dyDescent="0.25">
      <c r="A731">
        <v>549.088573</v>
      </c>
      <c r="B731" s="1">
        <f>DATE(2011,11,1) + TIME(2,7,32)</f>
        <v>40848.088564814818</v>
      </c>
      <c r="C731">
        <v>80</v>
      </c>
      <c r="D731">
        <v>79.888359070000007</v>
      </c>
      <c r="E731">
        <v>50</v>
      </c>
      <c r="F731">
        <v>62.367675781000003</v>
      </c>
      <c r="G731">
        <v>1330.8658447</v>
      </c>
      <c r="H731">
        <v>1330.6827393000001</v>
      </c>
      <c r="I731">
        <v>1334.1508789</v>
      </c>
      <c r="J731">
        <v>1332.8654785000001</v>
      </c>
      <c r="K731">
        <v>0</v>
      </c>
      <c r="L731">
        <v>550</v>
      </c>
      <c r="M731">
        <v>550</v>
      </c>
      <c r="N731">
        <v>0</v>
      </c>
    </row>
    <row r="732" spans="1:14" x14ac:dyDescent="0.25">
      <c r="A732">
        <v>549.180027</v>
      </c>
      <c r="B732" s="1">
        <f>DATE(2011,11,1) + TIME(4,19,14)</f>
        <v>40848.180023148147</v>
      </c>
      <c r="C732">
        <v>80</v>
      </c>
      <c r="D732">
        <v>79.879432678000001</v>
      </c>
      <c r="E732">
        <v>50</v>
      </c>
      <c r="F732">
        <v>61.833545684999997</v>
      </c>
      <c r="G732">
        <v>1330.8590088000001</v>
      </c>
      <c r="H732">
        <v>1330.6729736</v>
      </c>
      <c r="I732">
        <v>1334.1445312000001</v>
      </c>
      <c r="J732">
        <v>1332.8583983999999</v>
      </c>
      <c r="K732">
        <v>0</v>
      </c>
      <c r="L732">
        <v>550</v>
      </c>
      <c r="M732">
        <v>550</v>
      </c>
      <c r="N732">
        <v>0</v>
      </c>
    </row>
    <row r="733" spans="1:14" x14ac:dyDescent="0.25">
      <c r="A733">
        <v>549.27568599999995</v>
      </c>
      <c r="B733" s="1">
        <f>DATE(2011,11,1) + TIME(6,36,59)</f>
        <v>40848.275682870371</v>
      </c>
      <c r="C733">
        <v>80</v>
      </c>
      <c r="D733">
        <v>79.870071410999998</v>
      </c>
      <c r="E733">
        <v>50</v>
      </c>
      <c r="F733">
        <v>61.303821564000003</v>
      </c>
      <c r="G733">
        <v>1330.8508300999999</v>
      </c>
      <c r="H733">
        <v>1330.6605225000001</v>
      </c>
      <c r="I733">
        <v>1334.1394043</v>
      </c>
      <c r="J733">
        <v>1332.8525391000001</v>
      </c>
      <c r="K733">
        <v>0</v>
      </c>
      <c r="L733">
        <v>550</v>
      </c>
      <c r="M733">
        <v>550</v>
      </c>
      <c r="N733">
        <v>0</v>
      </c>
    </row>
    <row r="734" spans="1:14" x14ac:dyDescent="0.25">
      <c r="A734">
        <v>549.37569900000005</v>
      </c>
      <c r="B734" s="1">
        <f>DATE(2011,11,1) + TIME(9,1,0)</f>
        <v>40848.375694444447</v>
      </c>
      <c r="C734">
        <v>80</v>
      </c>
      <c r="D734">
        <v>79.860244750999996</v>
      </c>
      <c r="E734">
        <v>50</v>
      </c>
      <c r="F734">
        <v>60.779514313</v>
      </c>
      <c r="G734">
        <v>1330.8425293</v>
      </c>
      <c r="H734">
        <v>1330.6479492000001</v>
      </c>
      <c r="I734">
        <v>1334.1347656</v>
      </c>
      <c r="J734">
        <v>1332.8470459</v>
      </c>
      <c r="K734">
        <v>0</v>
      </c>
      <c r="L734">
        <v>550</v>
      </c>
      <c r="M734">
        <v>550</v>
      </c>
      <c r="N734">
        <v>0</v>
      </c>
    </row>
    <row r="735" spans="1:14" x14ac:dyDescent="0.25">
      <c r="A735">
        <v>549.48036100000002</v>
      </c>
      <c r="B735" s="1">
        <f>DATE(2011,11,1) + TIME(11,31,43)</f>
        <v>40848.480358796296</v>
      </c>
      <c r="C735">
        <v>80</v>
      </c>
      <c r="D735">
        <v>79.849937439000001</v>
      </c>
      <c r="E735">
        <v>50</v>
      </c>
      <c r="F735">
        <v>60.260929107999999</v>
      </c>
      <c r="G735">
        <v>1330.8341064000001</v>
      </c>
      <c r="H735">
        <v>1330.6352539</v>
      </c>
      <c r="I735">
        <v>1334.1306152</v>
      </c>
      <c r="J735">
        <v>1332.8417969</v>
      </c>
      <c r="K735">
        <v>0</v>
      </c>
      <c r="L735">
        <v>550</v>
      </c>
      <c r="M735">
        <v>550</v>
      </c>
      <c r="N735">
        <v>0</v>
      </c>
    </row>
    <row r="736" spans="1:14" x14ac:dyDescent="0.25">
      <c r="A736">
        <v>549.59001499999999</v>
      </c>
      <c r="B736" s="1">
        <f>DATE(2011,11,1) + TIME(14,9,37)</f>
        <v>40848.590011574073</v>
      </c>
      <c r="C736">
        <v>80</v>
      </c>
      <c r="D736">
        <v>79.839103699000006</v>
      </c>
      <c r="E736">
        <v>50</v>
      </c>
      <c r="F736">
        <v>59.748138427999997</v>
      </c>
      <c r="G736">
        <v>1330.8256836</v>
      </c>
      <c r="H736">
        <v>1330.6224365</v>
      </c>
      <c r="I736">
        <v>1334.1269531</v>
      </c>
      <c r="J736">
        <v>1332.8369141000001</v>
      </c>
      <c r="K736">
        <v>0</v>
      </c>
      <c r="L736">
        <v>550</v>
      </c>
      <c r="M736">
        <v>550</v>
      </c>
      <c r="N736">
        <v>0</v>
      </c>
    </row>
    <row r="737" spans="1:14" x14ac:dyDescent="0.25">
      <c r="A737">
        <v>549.70503699999995</v>
      </c>
      <c r="B737" s="1">
        <f>DATE(2011,11,1) + TIME(16,55,15)</f>
        <v>40848.705034722225</v>
      </c>
      <c r="C737">
        <v>80</v>
      </c>
      <c r="D737">
        <v>79.827705382999994</v>
      </c>
      <c r="E737">
        <v>50</v>
      </c>
      <c r="F737">
        <v>59.241405487000002</v>
      </c>
      <c r="G737">
        <v>1330.8171387</v>
      </c>
      <c r="H737">
        <v>1330.6094971</v>
      </c>
      <c r="I737">
        <v>1334.1239014</v>
      </c>
      <c r="J737">
        <v>1332.8323975000001</v>
      </c>
      <c r="K737">
        <v>0</v>
      </c>
      <c r="L737">
        <v>550</v>
      </c>
      <c r="M737">
        <v>550</v>
      </c>
      <c r="N737">
        <v>0</v>
      </c>
    </row>
    <row r="738" spans="1:14" x14ac:dyDescent="0.25">
      <c r="A738">
        <v>549.82583099999999</v>
      </c>
      <c r="B738" s="1">
        <f>DATE(2011,11,1) + TIME(19,49,11)</f>
        <v>40848.825821759259</v>
      </c>
      <c r="C738">
        <v>80</v>
      </c>
      <c r="D738">
        <v>79.815711974999999</v>
      </c>
      <c r="E738">
        <v>50</v>
      </c>
      <c r="F738">
        <v>58.741264342999997</v>
      </c>
      <c r="G738">
        <v>1330.8084716999999</v>
      </c>
      <c r="H738">
        <v>1330.5963135</v>
      </c>
      <c r="I738">
        <v>1334.1213379000001</v>
      </c>
      <c r="J738">
        <v>1332.8282471</v>
      </c>
      <c r="K738">
        <v>0</v>
      </c>
      <c r="L738">
        <v>550</v>
      </c>
      <c r="M738">
        <v>550</v>
      </c>
      <c r="N738">
        <v>0</v>
      </c>
    </row>
    <row r="739" spans="1:14" x14ac:dyDescent="0.25">
      <c r="A739">
        <v>549.95278599999995</v>
      </c>
      <c r="B739" s="1">
        <f>DATE(2011,11,1) + TIME(22,52,0)</f>
        <v>40848.952777777777</v>
      </c>
      <c r="C739">
        <v>80</v>
      </c>
      <c r="D739">
        <v>79.803077697999996</v>
      </c>
      <c r="E739">
        <v>50</v>
      </c>
      <c r="F739">
        <v>58.248313904</v>
      </c>
      <c r="G739">
        <v>1330.7995605000001</v>
      </c>
      <c r="H739">
        <v>1330.5830077999999</v>
      </c>
      <c r="I739">
        <v>1334.1193848</v>
      </c>
      <c r="J739">
        <v>1332.8245850000001</v>
      </c>
      <c r="K739">
        <v>0</v>
      </c>
      <c r="L739">
        <v>550</v>
      </c>
      <c r="M739">
        <v>550</v>
      </c>
      <c r="N739">
        <v>0</v>
      </c>
    </row>
    <row r="740" spans="1:14" x14ac:dyDescent="0.25">
      <c r="A740">
        <v>550.08647800000006</v>
      </c>
      <c r="B740" s="1">
        <f>DATE(2011,11,2) + TIME(2,4,31)</f>
        <v>40849.086469907408</v>
      </c>
      <c r="C740">
        <v>80</v>
      </c>
      <c r="D740">
        <v>79.789741516000007</v>
      </c>
      <c r="E740">
        <v>50</v>
      </c>
      <c r="F740">
        <v>57.762645720999998</v>
      </c>
      <c r="G740">
        <v>1330.7906493999999</v>
      </c>
      <c r="H740">
        <v>1330.5694579999999</v>
      </c>
      <c r="I740">
        <v>1334.1180420000001</v>
      </c>
      <c r="J740">
        <v>1332.8212891000001</v>
      </c>
      <c r="K740">
        <v>0</v>
      </c>
      <c r="L740">
        <v>550</v>
      </c>
      <c r="M740">
        <v>550</v>
      </c>
      <c r="N740">
        <v>0</v>
      </c>
    </row>
    <row r="741" spans="1:14" x14ac:dyDescent="0.25">
      <c r="A741">
        <v>550.22747200000003</v>
      </c>
      <c r="B741" s="1">
        <f>DATE(2011,11,2) + TIME(5,27,33)</f>
        <v>40849.227465277778</v>
      </c>
      <c r="C741">
        <v>80</v>
      </c>
      <c r="D741">
        <v>79.775657654</v>
      </c>
      <c r="E741">
        <v>50</v>
      </c>
      <c r="F741">
        <v>57.284675598</v>
      </c>
      <c r="G741">
        <v>1330.7814940999999</v>
      </c>
      <c r="H741">
        <v>1330.5556641000001</v>
      </c>
      <c r="I741">
        <v>1334.1174315999999</v>
      </c>
      <c r="J741">
        <v>1332.8184814000001</v>
      </c>
      <c r="K741">
        <v>0</v>
      </c>
      <c r="L741">
        <v>550</v>
      </c>
      <c r="M741">
        <v>550</v>
      </c>
      <c r="N741">
        <v>0</v>
      </c>
    </row>
    <row r="742" spans="1:14" x14ac:dyDescent="0.25">
      <c r="A742">
        <v>550.376395</v>
      </c>
      <c r="B742" s="1">
        <f>DATE(2011,11,2) + TIME(9,2,0)</f>
        <v>40849.376388888886</v>
      </c>
      <c r="C742">
        <v>80</v>
      </c>
      <c r="D742">
        <v>79.760757446</v>
      </c>
      <c r="E742">
        <v>50</v>
      </c>
      <c r="F742">
        <v>56.814826965000002</v>
      </c>
      <c r="G742">
        <v>1330.7722168</v>
      </c>
      <c r="H742">
        <v>1330.541626</v>
      </c>
      <c r="I742">
        <v>1334.1175536999999</v>
      </c>
      <c r="J742">
        <v>1332.8160399999999</v>
      </c>
      <c r="K742">
        <v>0</v>
      </c>
      <c r="L742">
        <v>550</v>
      </c>
      <c r="M742">
        <v>550</v>
      </c>
      <c r="N742">
        <v>0</v>
      </c>
    </row>
    <row r="743" spans="1:14" x14ac:dyDescent="0.25">
      <c r="A743">
        <v>550.53394900000001</v>
      </c>
      <c r="B743" s="1">
        <f>DATE(2011,11,2) + TIME(12,48,53)</f>
        <v>40849.533946759257</v>
      </c>
      <c r="C743">
        <v>80</v>
      </c>
      <c r="D743">
        <v>79.744979857999994</v>
      </c>
      <c r="E743">
        <v>50</v>
      </c>
      <c r="F743">
        <v>56.353610992</v>
      </c>
      <c r="G743">
        <v>1330.7628173999999</v>
      </c>
      <c r="H743">
        <v>1330.5273437999999</v>
      </c>
      <c r="I743">
        <v>1334.1184082</v>
      </c>
      <c r="J743">
        <v>1332.8142089999999</v>
      </c>
      <c r="K743">
        <v>0</v>
      </c>
      <c r="L743">
        <v>550</v>
      </c>
      <c r="M743">
        <v>550</v>
      </c>
      <c r="N743">
        <v>0</v>
      </c>
    </row>
    <row r="744" spans="1:14" x14ac:dyDescent="0.25">
      <c r="A744">
        <v>550.70092</v>
      </c>
      <c r="B744" s="1">
        <f>DATE(2011,11,2) + TIME(16,49,19)</f>
        <v>40849.700914351852</v>
      </c>
      <c r="C744">
        <v>80</v>
      </c>
      <c r="D744">
        <v>79.728248596</v>
      </c>
      <c r="E744">
        <v>50</v>
      </c>
      <c r="F744">
        <v>55.901611328000001</v>
      </c>
      <c r="G744">
        <v>1330.7531738</v>
      </c>
      <c r="H744">
        <v>1330.5126952999999</v>
      </c>
      <c r="I744">
        <v>1334.1199951000001</v>
      </c>
      <c r="J744">
        <v>1332.8128661999999</v>
      </c>
      <c r="K744">
        <v>0</v>
      </c>
      <c r="L744">
        <v>550</v>
      </c>
      <c r="M744">
        <v>550</v>
      </c>
      <c r="N744">
        <v>0</v>
      </c>
    </row>
    <row r="745" spans="1:14" x14ac:dyDescent="0.25">
      <c r="A745">
        <v>550.87818900000002</v>
      </c>
      <c r="B745" s="1">
        <f>DATE(2011,11,2) + TIME(21,4,35)</f>
        <v>40849.878182870372</v>
      </c>
      <c r="C745">
        <v>80</v>
      </c>
      <c r="D745">
        <v>79.710479735999996</v>
      </c>
      <c r="E745">
        <v>50</v>
      </c>
      <c r="F745">
        <v>55.459465027</v>
      </c>
      <c r="G745">
        <v>1330.7434082</v>
      </c>
      <c r="H745">
        <v>1330.4978027</v>
      </c>
      <c r="I745">
        <v>1334.1224365</v>
      </c>
      <c r="J745">
        <v>1332.8120117000001</v>
      </c>
      <c r="K745">
        <v>0</v>
      </c>
      <c r="L745">
        <v>550</v>
      </c>
      <c r="M745">
        <v>550</v>
      </c>
      <c r="N745">
        <v>0</v>
      </c>
    </row>
    <row r="746" spans="1:14" x14ac:dyDescent="0.25">
      <c r="A746">
        <v>551.06675099999995</v>
      </c>
      <c r="B746" s="1">
        <f>DATE(2011,11,3) + TIME(1,36,7)</f>
        <v>40850.066747685189</v>
      </c>
      <c r="C746">
        <v>80</v>
      </c>
      <c r="D746">
        <v>79.691581725999995</v>
      </c>
      <c r="E746">
        <v>50</v>
      </c>
      <c r="F746">
        <v>55.027873993</v>
      </c>
      <c r="G746">
        <v>1330.7332764</v>
      </c>
      <c r="H746">
        <v>1330.4825439000001</v>
      </c>
      <c r="I746">
        <v>1334.1257324000001</v>
      </c>
      <c r="J746">
        <v>1332.8117675999999</v>
      </c>
      <c r="K746">
        <v>0</v>
      </c>
      <c r="L746">
        <v>550</v>
      </c>
      <c r="M746">
        <v>550</v>
      </c>
      <c r="N746">
        <v>0</v>
      </c>
    </row>
    <row r="747" spans="1:14" x14ac:dyDescent="0.25">
      <c r="A747">
        <v>551.26772900000003</v>
      </c>
      <c r="B747" s="1">
        <f>DATE(2011,11,3) + TIME(6,25,31)</f>
        <v>40850.26771990741</v>
      </c>
      <c r="C747">
        <v>80</v>
      </c>
      <c r="D747">
        <v>79.671447753999999</v>
      </c>
      <c r="E747">
        <v>50</v>
      </c>
      <c r="F747">
        <v>54.607608794999997</v>
      </c>
      <c r="G747">
        <v>1330.7230225000001</v>
      </c>
      <c r="H747">
        <v>1330.4669189000001</v>
      </c>
      <c r="I747">
        <v>1334.1298827999999</v>
      </c>
      <c r="J747">
        <v>1332.8121338000001</v>
      </c>
      <c r="K747">
        <v>0</v>
      </c>
      <c r="L747">
        <v>550</v>
      </c>
      <c r="M747">
        <v>550</v>
      </c>
      <c r="N747">
        <v>0</v>
      </c>
    </row>
    <row r="748" spans="1:14" x14ac:dyDescent="0.25">
      <c r="A748">
        <v>551.482395</v>
      </c>
      <c r="B748" s="1">
        <f>DATE(2011,11,3) + TIME(11,34,38)</f>
        <v>40850.48238425926</v>
      </c>
      <c r="C748">
        <v>80</v>
      </c>
      <c r="D748">
        <v>79.649971007999994</v>
      </c>
      <c r="E748">
        <v>50</v>
      </c>
      <c r="F748">
        <v>54.199508667000003</v>
      </c>
      <c r="G748">
        <v>1330.7124022999999</v>
      </c>
      <c r="H748">
        <v>1330.4509277</v>
      </c>
      <c r="I748">
        <v>1334.1350098</v>
      </c>
      <c r="J748">
        <v>1332.8131103999999</v>
      </c>
      <c r="K748">
        <v>0</v>
      </c>
      <c r="L748">
        <v>550</v>
      </c>
      <c r="M748">
        <v>550</v>
      </c>
      <c r="N748">
        <v>0</v>
      </c>
    </row>
    <row r="749" spans="1:14" x14ac:dyDescent="0.25">
      <c r="A749">
        <v>551.71213799999998</v>
      </c>
      <c r="B749" s="1">
        <f>DATE(2011,11,3) + TIME(17,5,28)</f>
        <v>40850.712129629632</v>
      </c>
      <c r="C749">
        <v>80</v>
      </c>
      <c r="D749">
        <v>79.627029418999996</v>
      </c>
      <c r="E749">
        <v>50</v>
      </c>
      <c r="F749">
        <v>53.804573058999999</v>
      </c>
      <c r="G749">
        <v>1330.7014160000001</v>
      </c>
      <c r="H749">
        <v>1330.4344481999999</v>
      </c>
      <c r="I749">
        <v>1334.1411132999999</v>
      </c>
      <c r="J749">
        <v>1332.8148193</v>
      </c>
      <c r="K749">
        <v>0</v>
      </c>
      <c r="L749">
        <v>550</v>
      </c>
      <c r="M749">
        <v>550</v>
      </c>
      <c r="N749">
        <v>0</v>
      </c>
    </row>
    <row r="750" spans="1:14" x14ac:dyDescent="0.25">
      <c r="A750">
        <v>551.95859599999994</v>
      </c>
      <c r="B750" s="1">
        <f>DATE(2011,11,3) + TIME(23,0,22)</f>
        <v>40850.958587962959</v>
      </c>
      <c r="C750">
        <v>80</v>
      </c>
      <c r="D750">
        <v>79.602470397999994</v>
      </c>
      <c r="E750">
        <v>50</v>
      </c>
      <c r="F750">
        <v>53.423767089999998</v>
      </c>
      <c r="G750">
        <v>1330.6901855000001</v>
      </c>
      <c r="H750">
        <v>1330.4173584</v>
      </c>
      <c r="I750">
        <v>1334.1480713000001</v>
      </c>
      <c r="J750">
        <v>1332.8171387</v>
      </c>
      <c r="K750">
        <v>0</v>
      </c>
      <c r="L750">
        <v>550</v>
      </c>
      <c r="M750">
        <v>550</v>
      </c>
      <c r="N750">
        <v>0</v>
      </c>
    </row>
    <row r="751" spans="1:14" x14ac:dyDescent="0.25">
      <c r="A751">
        <v>552.22370000000001</v>
      </c>
      <c r="B751" s="1">
        <f>DATE(2011,11,4) + TIME(5,22,7)</f>
        <v>40851.223692129628</v>
      </c>
      <c r="C751">
        <v>80</v>
      </c>
      <c r="D751">
        <v>79.576141356999997</v>
      </c>
      <c r="E751">
        <v>50</v>
      </c>
      <c r="F751">
        <v>53.058059692</v>
      </c>
      <c r="G751">
        <v>1330.6785889</v>
      </c>
      <c r="H751">
        <v>1330.3997803</v>
      </c>
      <c r="I751">
        <v>1334.1561279</v>
      </c>
      <c r="J751">
        <v>1332.8200684000001</v>
      </c>
      <c r="K751">
        <v>0</v>
      </c>
      <c r="L751">
        <v>550</v>
      </c>
      <c r="M751">
        <v>550</v>
      </c>
      <c r="N751">
        <v>0</v>
      </c>
    </row>
    <row r="752" spans="1:14" x14ac:dyDescent="0.25">
      <c r="A752">
        <v>552.50961400000006</v>
      </c>
      <c r="B752" s="1">
        <f>DATE(2011,11,4) + TIME(12,13,50)</f>
        <v>40851.509606481479</v>
      </c>
      <c r="C752">
        <v>80</v>
      </c>
      <c r="D752">
        <v>79.547851562000005</v>
      </c>
      <c r="E752">
        <v>50</v>
      </c>
      <c r="F752">
        <v>52.708557128999999</v>
      </c>
      <c r="G752">
        <v>1330.6665039</v>
      </c>
      <c r="H752">
        <v>1330.3815918</v>
      </c>
      <c r="I752">
        <v>1334.1651611</v>
      </c>
      <c r="J752">
        <v>1332.8237305</v>
      </c>
      <c r="K752">
        <v>0</v>
      </c>
      <c r="L752">
        <v>550</v>
      </c>
      <c r="M752">
        <v>550</v>
      </c>
      <c r="N752">
        <v>0</v>
      </c>
    </row>
    <row r="753" spans="1:14" x14ac:dyDescent="0.25">
      <c r="A753">
        <v>552.81882900000005</v>
      </c>
      <c r="B753" s="1">
        <f>DATE(2011,11,4) + TIME(19,39,6)</f>
        <v>40851.818819444445</v>
      </c>
      <c r="C753">
        <v>80</v>
      </c>
      <c r="D753">
        <v>79.517402649000005</v>
      </c>
      <c r="E753">
        <v>50</v>
      </c>
      <c r="F753">
        <v>52.376411437999998</v>
      </c>
      <c r="G753">
        <v>1330.6539307</v>
      </c>
      <c r="H753">
        <v>1330.362793</v>
      </c>
      <c r="I753">
        <v>1334.1751709</v>
      </c>
      <c r="J753">
        <v>1332.8280029</v>
      </c>
      <c r="K753">
        <v>0</v>
      </c>
      <c r="L753">
        <v>550</v>
      </c>
      <c r="M753">
        <v>550</v>
      </c>
      <c r="N753">
        <v>0</v>
      </c>
    </row>
    <row r="754" spans="1:14" x14ac:dyDescent="0.25">
      <c r="A754">
        <v>553.154222</v>
      </c>
      <c r="B754" s="1">
        <f>DATE(2011,11,5) + TIME(3,42,4)</f>
        <v>40852.15421296296</v>
      </c>
      <c r="C754">
        <v>80</v>
      </c>
      <c r="D754">
        <v>79.484573363999999</v>
      </c>
      <c r="E754">
        <v>50</v>
      </c>
      <c r="F754">
        <v>52.06281662</v>
      </c>
      <c r="G754">
        <v>1330.6408690999999</v>
      </c>
      <c r="H754">
        <v>1330.3431396000001</v>
      </c>
      <c r="I754">
        <v>1334.1861572</v>
      </c>
      <c r="J754">
        <v>1332.8330077999999</v>
      </c>
      <c r="K754">
        <v>0</v>
      </c>
      <c r="L754">
        <v>550</v>
      </c>
      <c r="M754">
        <v>550</v>
      </c>
      <c r="N754">
        <v>0</v>
      </c>
    </row>
    <row r="755" spans="1:14" x14ac:dyDescent="0.25">
      <c r="A755">
        <v>553.51913000000002</v>
      </c>
      <c r="B755" s="1">
        <f>DATE(2011,11,5) + TIME(12,27,32)</f>
        <v>40852.519120370373</v>
      </c>
      <c r="C755">
        <v>80</v>
      </c>
      <c r="D755">
        <v>79.449089049999998</v>
      </c>
      <c r="E755">
        <v>50</v>
      </c>
      <c r="F755">
        <v>51.768955231</v>
      </c>
      <c r="G755">
        <v>1330.6271973</v>
      </c>
      <c r="H755">
        <v>1330.3226318</v>
      </c>
      <c r="I755">
        <v>1334.1981201000001</v>
      </c>
      <c r="J755">
        <v>1332.8386230000001</v>
      </c>
      <c r="K755">
        <v>0</v>
      </c>
      <c r="L755">
        <v>550</v>
      </c>
      <c r="M755">
        <v>550</v>
      </c>
      <c r="N755">
        <v>0</v>
      </c>
    </row>
    <row r="756" spans="1:14" x14ac:dyDescent="0.25">
      <c r="A756">
        <v>553.91743199999996</v>
      </c>
      <c r="B756" s="1">
        <f>DATE(2011,11,5) + TIME(22,1,6)</f>
        <v>40852.917430555557</v>
      </c>
      <c r="C756">
        <v>80</v>
      </c>
      <c r="D756">
        <v>79.410667419000006</v>
      </c>
      <c r="E756">
        <v>50</v>
      </c>
      <c r="F756">
        <v>51.495990753000001</v>
      </c>
      <c r="G756">
        <v>1330.612793</v>
      </c>
      <c r="H756">
        <v>1330.3011475000001</v>
      </c>
      <c r="I756">
        <v>1334.2109375</v>
      </c>
      <c r="J756">
        <v>1332.8448486</v>
      </c>
      <c r="K756">
        <v>0</v>
      </c>
      <c r="L756">
        <v>550</v>
      </c>
      <c r="M756">
        <v>550</v>
      </c>
      <c r="N756">
        <v>0</v>
      </c>
    </row>
    <row r="757" spans="1:14" x14ac:dyDescent="0.25">
      <c r="A757">
        <v>554.35365100000001</v>
      </c>
      <c r="B757" s="1">
        <f>DATE(2011,11,6) + TIME(8,29,15)</f>
        <v>40853.353645833333</v>
      </c>
      <c r="C757">
        <v>80</v>
      </c>
      <c r="D757">
        <v>79.368972778</v>
      </c>
      <c r="E757">
        <v>50</v>
      </c>
      <c r="F757">
        <v>51.245002747000001</v>
      </c>
      <c r="G757">
        <v>1330.5976562000001</v>
      </c>
      <c r="H757">
        <v>1330.2785644999999</v>
      </c>
      <c r="I757">
        <v>1334.2246094</v>
      </c>
      <c r="J757">
        <v>1332.8518065999999</v>
      </c>
      <c r="K757">
        <v>0</v>
      </c>
      <c r="L757">
        <v>550</v>
      </c>
      <c r="M757">
        <v>550</v>
      </c>
      <c r="N757">
        <v>0</v>
      </c>
    </row>
    <row r="758" spans="1:14" x14ac:dyDescent="0.25">
      <c r="A758">
        <v>554.83307600000001</v>
      </c>
      <c r="B758" s="1">
        <f>DATE(2011,11,6) + TIME(19,59,37)</f>
        <v>40853.833067129628</v>
      </c>
      <c r="C758">
        <v>80</v>
      </c>
      <c r="D758">
        <v>79.323638915999993</v>
      </c>
      <c r="E758">
        <v>50</v>
      </c>
      <c r="F758">
        <v>51.016929626</v>
      </c>
      <c r="G758">
        <v>1330.5816649999999</v>
      </c>
      <c r="H758">
        <v>1330.2547606999999</v>
      </c>
      <c r="I758">
        <v>1334.2388916</v>
      </c>
      <c r="J758">
        <v>1332.8591309000001</v>
      </c>
      <c r="K758">
        <v>0</v>
      </c>
      <c r="L758">
        <v>550</v>
      </c>
      <c r="M758">
        <v>550</v>
      </c>
      <c r="N758">
        <v>0</v>
      </c>
    </row>
    <row r="759" spans="1:14" x14ac:dyDescent="0.25">
      <c r="A759">
        <v>555.36190599999998</v>
      </c>
      <c r="B759" s="1">
        <f>DATE(2011,11,7) + TIME(8,41,8)</f>
        <v>40854.361898148149</v>
      </c>
      <c r="C759">
        <v>80</v>
      </c>
      <c r="D759">
        <v>79.274230957</v>
      </c>
      <c r="E759">
        <v>50</v>
      </c>
      <c r="F759">
        <v>50.812496185000001</v>
      </c>
      <c r="G759">
        <v>1330.5646973</v>
      </c>
      <c r="H759">
        <v>1330.2296143000001</v>
      </c>
      <c r="I759">
        <v>1334.2537841999999</v>
      </c>
      <c r="J759">
        <v>1332.8669434000001</v>
      </c>
      <c r="K759">
        <v>0</v>
      </c>
      <c r="L759">
        <v>550</v>
      </c>
      <c r="M759">
        <v>550</v>
      </c>
      <c r="N759">
        <v>0</v>
      </c>
    </row>
    <row r="760" spans="1:14" x14ac:dyDescent="0.25">
      <c r="A760">
        <v>555.93069600000001</v>
      </c>
      <c r="B760" s="1">
        <f>DATE(2011,11,7) + TIME(22,20,12)</f>
        <v>40854.930694444447</v>
      </c>
      <c r="C760">
        <v>80</v>
      </c>
      <c r="D760">
        <v>79.221679687999995</v>
      </c>
      <c r="E760">
        <v>50</v>
      </c>
      <c r="F760">
        <v>50.636249542000002</v>
      </c>
      <c r="G760">
        <v>1330.5466309000001</v>
      </c>
      <c r="H760">
        <v>1330.203125</v>
      </c>
      <c r="I760">
        <v>1334.2694091999999</v>
      </c>
      <c r="J760">
        <v>1332.8753661999999</v>
      </c>
      <c r="K760">
        <v>0</v>
      </c>
      <c r="L760">
        <v>550</v>
      </c>
      <c r="M760">
        <v>550</v>
      </c>
      <c r="N760">
        <v>0</v>
      </c>
    </row>
    <row r="761" spans="1:14" x14ac:dyDescent="0.25">
      <c r="A761">
        <v>556.51591599999995</v>
      </c>
      <c r="B761" s="1">
        <f>DATE(2011,11,8) + TIME(12,22,55)</f>
        <v>40855.515914351854</v>
      </c>
      <c r="C761">
        <v>80</v>
      </c>
      <c r="D761">
        <v>79.168029785000002</v>
      </c>
      <c r="E761">
        <v>50</v>
      </c>
      <c r="F761">
        <v>50.491683960000003</v>
      </c>
      <c r="G761">
        <v>1330.5279541</v>
      </c>
      <c r="H761">
        <v>1330.1755370999999</v>
      </c>
      <c r="I761">
        <v>1334.2850341999999</v>
      </c>
      <c r="J761">
        <v>1332.8839111</v>
      </c>
      <c r="K761">
        <v>0</v>
      </c>
      <c r="L761">
        <v>550</v>
      </c>
      <c r="M761">
        <v>550</v>
      </c>
      <c r="N761">
        <v>0</v>
      </c>
    </row>
    <row r="762" spans="1:14" x14ac:dyDescent="0.25">
      <c r="A762">
        <v>557.12015499999995</v>
      </c>
      <c r="B762" s="1">
        <f>DATE(2011,11,9) + TIME(2,53,1)</f>
        <v>40856.120150462964</v>
      </c>
      <c r="C762">
        <v>80</v>
      </c>
      <c r="D762">
        <v>79.113098144999995</v>
      </c>
      <c r="E762">
        <v>50</v>
      </c>
      <c r="F762">
        <v>50.373474121000001</v>
      </c>
      <c r="G762">
        <v>1330.5091553</v>
      </c>
      <c r="H762">
        <v>1330.1479492000001</v>
      </c>
      <c r="I762">
        <v>1334.2995605000001</v>
      </c>
      <c r="J762">
        <v>1332.8919678</v>
      </c>
      <c r="K762">
        <v>0</v>
      </c>
      <c r="L762">
        <v>550</v>
      </c>
      <c r="M762">
        <v>550</v>
      </c>
      <c r="N762">
        <v>0</v>
      </c>
    </row>
    <row r="763" spans="1:14" x14ac:dyDescent="0.25">
      <c r="A763">
        <v>557.74510399999997</v>
      </c>
      <c r="B763" s="1">
        <f>DATE(2011,11,9) + TIME(17,52,56)</f>
        <v>40856.745092592595</v>
      </c>
      <c r="C763">
        <v>80</v>
      </c>
      <c r="D763">
        <v>79.056770325000002</v>
      </c>
      <c r="E763">
        <v>50</v>
      </c>
      <c r="F763">
        <v>50.277324677000003</v>
      </c>
      <c r="G763">
        <v>1330.4901123</v>
      </c>
      <c r="H763">
        <v>1330.1202393000001</v>
      </c>
      <c r="I763">
        <v>1334.3131103999999</v>
      </c>
      <c r="J763">
        <v>1332.8995361</v>
      </c>
      <c r="K763">
        <v>0</v>
      </c>
      <c r="L763">
        <v>550</v>
      </c>
      <c r="M763">
        <v>550</v>
      </c>
      <c r="N763">
        <v>0</v>
      </c>
    </row>
    <row r="764" spans="1:14" x14ac:dyDescent="0.25">
      <c r="A764">
        <v>558.39257399999997</v>
      </c>
      <c r="B764" s="1">
        <f>DATE(2011,11,10) + TIME(9,25,18)</f>
        <v>40857.392569444448</v>
      </c>
      <c r="C764">
        <v>80</v>
      </c>
      <c r="D764">
        <v>78.998924255000006</v>
      </c>
      <c r="E764">
        <v>50</v>
      </c>
      <c r="F764">
        <v>50.199581146</v>
      </c>
      <c r="G764">
        <v>1330.4708252</v>
      </c>
      <c r="H764">
        <v>1330.0922852000001</v>
      </c>
      <c r="I764">
        <v>1334.3255615</v>
      </c>
      <c r="J764">
        <v>1332.9064940999999</v>
      </c>
      <c r="K764">
        <v>0</v>
      </c>
      <c r="L764">
        <v>550</v>
      </c>
      <c r="M764">
        <v>550</v>
      </c>
      <c r="N764">
        <v>0</v>
      </c>
    </row>
    <row r="765" spans="1:14" x14ac:dyDescent="0.25">
      <c r="A765">
        <v>559.06450700000005</v>
      </c>
      <c r="B765" s="1">
        <f>DATE(2011,11,11) + TIME(1,32,53)</f>
        <v>40858.064502314817</v>
      </c>
      <c r="C765">
        <v>80</v>
      </c>
      <c r="D765">
        <v>78.939430236999996</v>
      </c>
      <c r="E765">
        <v>50</v>
      </c>
      <c r="F765">
        <v>50.137115479000002</v>
      </c>
      <c r="G765">
        <v>1330.4512939000001</v>
      </c>
      <c r="H765">
        <v>1330.0639647999999</v>
      </c>
      <c r="I765">
        <v>1334.3370361</v>
      </c>
      <c r="J765">
        <v>1332.9128418</v>
      </c>
      <c r="K765">
        <v>0</v>
      </c>
      <c r="L765">
        <v>550</v>
      </c>
      <c r="M765">
        <v>550</v>
      </c>
      <c r="N765">
        <v>0</v>
      </c>
    </row>
    <row r="766" spans="1:14" x14ac:dyDescent="0.25">
      <c r="A766">
        <v>559.76300200000003</v>
      </c>
      <c r="B766" s="1">
        <f>DATE(2011,11,11) + TIME(18,18,43)</f>
        <v>40858.762997685182</v>
      </c>
      <c r="C766">
        <v>80</v>
      </c>
      <c r="D766">
        <v>78.878135681000003</v>
      </c>
      <c r="E766">
        <v>50</v>
      </c>
      <c r="F766">
        <v>50.087257385000001</v>
      </c>
      <c r="G766">
        <v>1330.4313964999999</v>
      </c>
      <c r="H766">
        <v>1330.0351562000001</v>
      </c>
      <c r="I766">
        <v>1334.3472899999999</v>
      </c>
      <c r="J766">
        <v>1332.9185791</v>
      </c>
      <c r="K766">
        <v>0</v>
      </c>
      <c r="L766">
        <v>550</v>
      </c>
      <c r="M766">
        <v>550</v>
      </c>
      <c r="N766">
        <v>0</v>
      </c>
    </row>
    <row r="767" spans="1:14" x14ac:dyDescent="0.25">
      <c r="A767">
        <v>560.49034600000005</v>
      </c>
      <c r="B767" s="1">
        <f>DATE(2011,11,12) + TIME(11,46,5)</f>
        <v>40859.490335648145</v>
      </c>
      <c r="C767">
        <v>80</v>
      </c>
      <c r="D767">
        <v>78.814887999999996</v>
      </c>
      <c r="E767">
        <v>50</v>
      </c>
      <c r="F767">
        <v>50.047748566000003</v>
      </c>
      <c r="G767">
        <v>1330.4111327999999</v>
      </c>
      <c r="H767">
        <v>1330.0061035000001</v>
      </c>
      <c r="I767">
        <v>1334.3566894999999</v>
      </c>
      <c r="J767">
        <v>1332.9238281</v>
      </c>
      <c r="K767">
        <v>0</v>
      </c>
      <c r="L767">
        <v>550</v>
      </c>
      <c r="M767">
        <v>550</v>
      </c>
      <c r="N767">
        <v>0</v>
      </c>
    </row>
    <row r="768" spans="1:14" x14ac:dyDescent="0.25">
      <c r="A768">
        <v>561.24904100000003</v>
      </c>
      <c r="B768" s="1">
        <f>DATE(2011,11,13) + TIME(5,58,37)</f>
        <v>40860.249039351853</v>
      </c>
      <c r="C768">
        <v>80</v>
      </c>
      <c r="D768">
        <v>78.749481200999995</v>
      </c>
      <c r="E768">
        <v>50</v>
      </c>
      <c r="F768">
        <v>50.016670226999999</v>
      </c>
      <c r="G768">
        <v>1330.3903809000001</v>
      </c>
      <c r="H768">
        <v>1329.9764404</v>
      </c>
      <c r="I768">
        <v>1334.3651123</v>
      </c>
      <c r="J768">
        <v>1332.9284668</v>
      </c>
      <c r="K768">
        <v>0</v>
      </c>
      <c r="L768">
        <v>550</v>
      </c>
      <c r="M768">
        <v>550</v>
      </c>
      <c r="N768">
        <v>0</v>
      </c>
    </row>
    <row r="769" spans="1:14" x14ac:dyDescent="0.25">
      <c r="A769">
        <v>562.04183699999999</v>
      </c>
      <c r="B769" s="1">
        <f>DATE(2011,11,14) + TIME(1,0,14)</f>
        <v>40861.041828703703</v>
      </c>
      <c r="C769">
        <v>80</v>
      </c>
      <c r="D769">
        <v>78.681724548000005</v>
      </c>
      <c r="E769">
        <v>50</v>
      </c>
      <c r="F769">
        <v>49.992401123</v>
      </c>
      <c r="G769">
        <v>1330.3692627</v>
      </c>
      <c r="H769">
        <v>1329.9461670000001</v>
      </c>
      <c r="I769">
        <v>1334.3725586</v>
      </c>
      <c r="J769">
        <v>1332.9326172000001</v>
      </c>
      <c r="K769">
        <v>0</v>
      </c>
      <c r="L769">
        <v>550</v>
      </c>
      <c r="M769">
        <v>550</v>
      </c>
      <c r="N769">
        <v>0</v>
      </c>
    </row>
    <row r="770" spans="1:14" x14ac:dyDescent="0.25">
      <c r="A770">
        <v>562.87177699999995</v>
      </c>
      <c r="B770" s="1">
        <f>DATE(2011,11,14) + TIME(20,55,21)</f>
        <v>40861.871770833335</v>
      </c>
      <c r="C770">
        <v>80</v>
      </c>
      <c r="D770">
        <v>78.611381531000006</v>
      </c>
      <c r="E770">
        <v>50</v>
      </c>
      <c r="F770">
        <v>49.973594665999997</v>
      </c>
      <c r="G770">
        <v>1330.3476562000001</v>
      </c>
      <c r="H770">
        <v>1329.9154053</v>
      </c>
      <c r="I770">
        <v>1334.3792725000001</v>
      </c>
      <c r="J770">
        <v>1332.9362793</v>
      </c>
      <c r="K770">
        <v>0</v>
      </c>
      <c r="L770">
        <v>550</v>
      </c>
      <c r="M770">
        <v>550</v>
      </c>
      <c r="N770">
        <v>0</v>
      </c>
    </row>
    <row r="771" spans="1:14" x14ac:dyDescent="0.25">
      <c r="A771">
        <v>563.74202600000001</v>
      </c>
      <c r="B771" s="1">
        <f>DATE(2011,11,15) + TIME(17,48,31)</f>
        <v>40862.742025462961</v>
      </c>
      <c r="C771">
        <v>80</v>
      </c>
      <c r="D771">
        <v>78.538192749000004</v>
      </c>
      <c r="E771">
        <v>50</v>
      </c>
      <c r="F771">
        <v>49.959133147999999</v>
      </c>
      <c r="G771">
        <v>1330.3254394999999</v>
      </c>
      <c r="H771">
        <v>1329.8837891000001</v>
      </c>
      <c r="I771">
        <v>1334.3850098</v>
      </c>
      <c r="J771">
        <v>1332.9393310999999</v>
      </c>
      <c r="K771">
        <v>0</v>
      </c>
      <c r="L771">
        <v>550</v>
      </c>
      <c r="M771">
        <v>550</v>
      </c>
      <c r="N771">
        <v>0</v>
      </c>
    </row>
    <row r="772" spans="1:14" x14ac:dyDescent="0.25">
      <c r="A772">
        <v>564.65634399999999</v>
      </c>
      <c r="B772" s="1">
        <f>DATE(2011,11,16) + TIME(15,45,8)</f>
        <v>40863.656342592592</v>
      </c>
      <c r="C772">
        <v>80</v>
      </c>
      <c r="D772">
        <v>78.461853027000004</v>
      </c>
      <c r="E772">
        <v>50</v>
      </c>
      <c r="F772">
        <v>49.948104858000001</v>
      </c>
      <c r="G772">
        <v>1330.3026123</v>
      </c>
      <c r="H772">
        <v>1329.8514404</v>
      </c>
      <c r="I772">
        <v>1334.3900146000001</v>
      </c>
      <c r="J772">
        <v>1332.9420166</v>
      </c>
      <c r="K772">
        <v>0</v>
      </c>
      <c r="L772">
        <v>550</v>
      </c>
      <c r="M772">
        <v>550</v>
      </c>
      <c r="N772">
        <v>0</v>
      </c>
    </row>
    <row r="773" spans="1:14" x14ac:dyDescent="0.25">
      <c r="A773">
        <v>565.61910399999999</v>
      </c>
      <c r="B773" s="1">
        <f>DATE(2011,11,17) + TIME(14,51,30)</f>
        <v>40864.619097222225</v>
      </c>
      <c r="C773">
        <v>80</v>
      </c>
      <c r="D773">
        <v>78.382011414000004</v>
      </c>
      <c r="E773">
        <v>50</v>
      </c>
      <c r="F773">
        <v>49.939750670999999</v>
      </c>
      <c r="G773">
        <v>1330.2791748</v>
      </c>
      <c r="H773">
        <v>1329.8183594</v>
      </c>
      <c r="I773">
        <v>1334.3944091999999</v>
      </c>
      <c r="J773">
        <v>1332.9442139</v>
      </c>
      <c r="K773">
        <v>0</v>
      </c>
      <c r="L773">
        <v>550</v>
      </c>
      <c r="M773">
        <v>550</v>
      </c>
      <c r="N773">
        <v>0</v>
      </c>
    </row>
    <row r="774" spans="1:14" x14ac:dyDescent="0.25">
      <c r="A774">
        <v>566.63349600000004</v>
      </c>
      <c r="B774" s="1">
        <f>DATE(2011,11,18) + TIME(15,12,14)</f>
        <v>40865.63349537037</v>
      </c>
      <c r="C774">
        <v>80</v>
      </c>
      <c r="D774">
        <v>78.298362732000001</v>
      </c>
      <c r="E774">
        <v>50</v>
      </c>
      <c r="F774">
        <v>49.933467864999997</v>
      </c>
      <c r="G774">
        <v>1330.2550048999999</v>
      </c>
      <c r="H774">
        <v>1329.7841797000001</v>
      </c>
      <c r="I774">
        <v>1334.3979492000001</v>
      </c>
      <c r="J774">
        <v>1332.9460449000001</v>
      </c>
      <c r="K774">
        <v>0</v>
      </c>
      <c r="L774">
        <v>550</v>
      </c>
      <c r="M774">
        <v>550</v>
      </c>
      <c r="N774">
        <v>0</v>
      </c>
    </row>
    <row r="775" spans="1:14" x14ac:dyDescent="0.25">
      <c r="A775">
        <v>567.69820700000002</v>
      </c>
      <c r="B775" s="1">
        <f>DATE(2011,11,19) + TIME(16,45,25)</f>
        <v>40866.698206018518</v>
      </c>
      <c r="C775">
        <v>80</v>
      </c>
      <c r="D775">
        <v>78.210884093999994</v>
      </c>
      <c r="E775">
        <v>50</v>
      </c>
      <c r="F775">
        <v>49.928802490000002</v>
      </c>
      <c r="G775">
        <v>1330.2299805</v>
      </c>
      <c r="H775">
        <v>1329.7491454999999</v>
      </c>
      <c r="I775">
        <v>1334.401001</v>
      </c>
      <c r="J775">
        <v>1332.9473877</v>
      </c>
      <c r="K775">
        <v>0</v>
      </c>
      <c r="L775">
        <v>550</v>
      </c>
      <c r="M775">
        <v>550</v>
      </c>
      <c r="N775">
        <v>0</v>
      </c>
    </row>
    <row r="776" spans="1:14" x14ac:dyDescent="0.25">
      <c r="A776">
        <v>568.81617000000006</v>
      </c>
      <c r="B776" s="1">
        <f>DATE(2011,11,20) + TIME(19,35,17)</f>
        <v>40867.816168981481</v>
      </c>
      <c r="C776">
        <v>80</v>
      </c>
      <c r="D776">
        <v>78.119262695000003</v>
      </c>
      <c r="E776">
        <v>50</v>
      </c>
      <c r="F776">
        <v>49.925346374999997</v>
      </c>
      <c r="G776">
        <v>1330.2043457</v>
      </c>
      <c r="H776">
        <v>1329.7131348</v>
      </c>
      <c r="I776">
        <v>1334.4033202999999</v>
      </c>
      <c r="J776">
        <v>1332.9483643000001</v>
      </c>
      <c r="K776">
        <v>0</v>
      </c>
      <c r="L776">
        <v>550</v>
      </c>
      <c r="M776">
        <v>550</v>
      </c>
      <c r="N776">
        <v>0</v>
      </c>
    </row>
    <row r="777" spans="1:14" x14ac:dyDescent="0.25">
      <c r="A777">
        <v>569.99216999999999</v>
      </c>
      <c r="B777" s="1">
        <f>DATE(2011,11,21) + TIME(23,48,43)</f>
        <v>40868.992164351854</v>
      </c>
      <c r="C777">
        <v>80</v>
      </c>
      <c r="D777">
        <v>78.023025512999993</v>
      </c>
      <c r="E777">
        <v>50</v>
      </c>
      <c r="F777">
        <v>49.922801970999998</v>
      </c>
      <c r="G777">
        <v>1330.1779785000001</v>
      </c>
      <c r="H777">
        <v>1329.6762695</v>
      </c>
      <c r="I777">
        <v>1334.4052733999999</v>
      </c>
      <c r="J777">
        <v>1332.9490966999999</v>
      </c>
      <c r="K777">
        <v>0</v>
      </c>
      <c r="L777">
        <v>550</v>
      </c>
      <c r="M777">
        <v>550</v>
      </c>
      <c r="N777">
        <v>0</v>
      </c>
    </row>
    <row r="778" spans="1:14" x14ac:dyDescent="0.25">
      <c r="A778">
        <v>571.23154799999998</v>
      </c>
      <c r="B778" s="1">
        <f>DATE(2011,11,23) + TIME(5,33,25)</f>
        <v>40870.231539351851</v>
      </c>
      <c r="C778">
        <v>80</v>
      </c>
      <c r="D778">
        <v>77.921661377000007</v>
      </c>
      <c r="E778">
        <v>50</v>
      </c>
      <c r="F778">
        <v>49.920928955000001</v>
      </c>
      <c r="G778">
        <v>1330.1507568</v>
      </c>
      <c r="H778">
        <v>1329.6383057</v>
      </c>
      <c r="I778">
        <v>1334.4066161999999</v>
      </c>
      <c r="J778">
        <v>1332.9495850000001</v>
      </c>
      <c r="K778">
        <v>0</v>
      </c>
      <c r="L778">
        <v>550</v>
      </c>
      <c r="M778">
        <v>550</v>
      </c>
      <c r="N778">
        <v>0</v>
      </c>
    </row>
    <row r="779" spans="1:14" x14ac:dyDescent="0.25">
      <c r="A779">
        <v>572.54069200000004</v>
      </c>
      <c r="B779" s="1">
        <f>DATE(2011,11,24) + TIME(12,58,35)</f>
        <v>40871.540682870371</v>
      </c>
      <c r="C779">
        <v>80</v>
      </c>
      <c r="D779">
        <v>77.814514160000002</v>
      </c>
      <c r="E779">
        <v>50</v>
      </c>
      <c r="F779">
        <v>49.919551849000001</v>
      </c>
      <c r="G779">
        <v>1330.1226807</v>
      </c>
      <c r="H779">
        <v>1329.5992432</v>
      </c>
      <c r="I779">
        <v>1334.4075928</v>
      </c>
      <c r="J779">
        <v>1332.949707</v>
      </c>
      <c r="K779">
        <v>0</v>
      </c>
      <c r="L779">
        <v>550</v>
      </c>
      <c r="M779">
        <v>550</v>
      </c>
      <c r="N779">
        <v>0</v>
      </c>
    </row>
    <row r="780" spans="1:14" x14ac:dyDescent="0.25">
      <c r="A780">
        <v>573.92707800000005</v>
      </c>
      <c r="B780" s="1">
        <f>DATE(2011,11,25) + TIME(22,14,59)</f>
        <v>40872.927071759259</v>
      </c>
      <c r="C780">
        <v>80</v>
      </c>
      <c r="D780">
        <v>77.700866699000002</v>
      </c>
      <c r="E780">
        <v>50</v>
      </c>
      <c r="F780">
        <v>49.918544769</v>
      </c>
      <c r="G780">
        <v>1330.0936279</v>
      </c>
      <c r="H780">
        <v>1329.5589600000001</v>
      </c>
      <c r="I780">
        <v>1334.4080810999999</v>
      </c>
      <c r="J780">
        <v>1332.9495850000001</v>
      </c>
      <c r="K780">
        <v>0</v>
      </c>
      <c r="L780">
        <v>550</v>
      </c>
      <c r="M780">
        <v>550</v>
      </c>
      <c r="N780">
        <v>0</v>
      </c>
    </row>
    <row r="781" spans="1:14" x14ac:dyDescent="0.25">
      <c r="A781">
        <v>575.39897099999996</v>
      </c>
      <c r="B781" s="1">
        <f>DATE(2011,11,27) + TIME(9,34,31)</f>
        <v>40874.398969907408</v>
      </c>
      <c r="C781">
        <v>80</v>
      </c>
      <c r="D781">
        <v>77.579864502000007</v>
      </c>
      <c r="E781">
        <v>50</v>
      </c>
      <c r="F781">
        <v>49.917808532999999</v>
      </c>
      <c r="G781">
        <v>1330.0637207</v>
      </c>
      <c r="H781">
        <v>1329.5173339999999</v>
      </c>
      <c r="I781">
        <v>1334.4083252</v>
      </c>
      <c r="J781">
        <v>1332.9493408000001</v>
      </c>
      <c r="K781">
        <v>0</v>
      </c>
      <c r="L781">
        <v>550</v>
      </c>
      <c r="M781">
        <v>550</v>
      </c>
      <c r="N781">
        <v>0</v>
      </c>
    </row>
    <row r="782" spans="1:14" x14ac:dyDescent="0.25">
      <c r="A782">
        <v>576.96129800000006</v>
      </c>
      <c r="B782" s="1">
        <f>DATE(2011,11,28) + TIME(23,4,16)</f>
        <v>40875.961296296293</v>
      </c>
      <c r="C782">
        <v>80</v>
      </c>
      <c r="D782">
        <v>77.450798035000005</v>
      </c>
      <c r="E782">
        <v>50</v>
      </c>
      <c r="F782">
        <v>49.917278289999999</v>
      </c>
      <c r="G782">
        <v>1330.0325928</v>
      </c>
      <c r="H782">
        <v>1329.4743652</v>
      </c>
      <c r="I782">
        <v>1334.4082031</v>
      </c>
      <c r="J782">
        <v>1332.9488524999999</v>
      </c>
      <c r="K782">
        <v>0</v>
      </c>
      <c r="L782">
        <v>550</v>
      </c>
      <c r="M782">
        <v>550</v>
      </c>
      <c r="N782">
        <v>0</v>
      </c>
    </row>
    <row r="783" spans="1:14" x14ac:dyDescent="0.25">
      <c r="A783">
        <v>578.59986000000004</v>
      </c>
      <c r="B783" s="1">
        <f>DATE(2011,11,30) + TIME(14,23,47)</f>
        <v>40877.599849537037</v>
      </c>
      <c r="C783">
        <v>80</v>
      </c>
      <c r="D783">
        <v>77.314033507999994</v>
      </c>
      <c r="E783">
        <v>50</v>
      </c>
      <c r="F783">
        <v>49.916908264</v>
      </c>
      <c r="G783">
        <v>1330.0003661999999</v>
      </c>
      <c r="H783">
        <v>1329.4300536999999</v>
      </c>
      <c r="I783">
        <v>1334.4077147999999</v>
      </c>
      <c r="J783">
        <v>1332.9482422000001</v>
      </c>
      <c r="K783">
        <v>0</v>
      </c>
      <c r="L783">
        <v>550</v>
      </c>
      <c r="M783">
        <v>550</v>
      </c>
      <c r="N783">
        <v>0</v>
      </c>
    </row>
    <row r="784" spans="1:14" x14ac:dyDescent="0.25">
      <c r="A784">
        <v>579</v>
      </c>
      <c r="B784" s="1">
        <f>DATE(2011,12,1) + TIME(0,0,0)</f>
        <v>40878</v>
      </c>
      <c r="C784">
        <v>80</v>
      </c>
      <c r="D784">
        <v>77.269607543999996</v>
      </c>
      <c r="E784">
        <v>50</v>
      </c>
      <c r="F784">
        <v>49.916831969999997</v>
      </c>
      <c r="G784">
        <v>1329.9692382999999</v>
      </c>
      <c r="H784">
        <v>1329.3881836</v>
      </c>
      <c r="I784">
        <v>1334.4072266000001</v>
      </c>
      <c r="J784">
        <v>1332.9476318</v>
      </c>
      <c r="K784">
        <v>0</v>
      </c>
      <c r="L784">
        <v>550</v>
      </c>
      <c r="M784">
        <v>550</v>
      </c>
      <c r="N784">
        <v>0</v>
      </c>
    </row>
    <row r="785" spans="1:14" x14ac:dyDescent="0.25">
      <c r="A785">
        <v>580.67639499999996</v>
      </c>
      <c r="B785" s="1">
        <f>DATE(2011,12,2) + TIME(16,14,0)</f>
        <v>40879.676388888889</v>
      </c>
      <c r="C785">
        <v>80</v>
      </c>
      <c r="D785">
        <v>77.129364014000004</v>
      </c>
      <c r="E785">
        <v>50</v>
      </c>
      <c r="F785">
        <v>49.916618346999996</v>
      </c>
      <c r="G785">
        <v>1329.9575195</v>
      </c>
      <c r="H785">
        <v>1329.3702393000001</v>
      </c>
      <c r="I785">
        <v>1334.4068603999999</v>
      </c>
      <c r="J785">
        <v>1332.9472656</v>
      </c>
      <c r="K785">
        <v>0</v>
      </c>
      <c r="L785">
        <v>550</v>
      </c>
      <c r="M785">
        <v>550</v>
      </c>
      <c r="N785">
        <v>0</v>
      </c>
    </row>
    <row r="786" spans="1:14" x14ac:dyDescent="0.25">
      <c r="A786">
        <v>582.40734199999997</v>
      </c>
      <c r="B786" s="1">
        <f>DATE(2011,12,4) + TIME(9,46,34)</f>
        <v>40881.407337962963</v>
      </c>
      <c r="C786">
        <v>80</v>
      </c>
      <c r="D786">
        <v>76.981506347999996</v>
      </c>
      <c r="E786">
        <v>50</v>
      </c>
      <c r="F786">
        <v>49.916481017999999</v>
      </c>
      <c r="G786">
        <v>1329.9250488</v>
      </c>
      <c r="H786">
        <v>1329.3259277</v>
      </c>
      <c r="I786">
        <v>1334.4060059000001</v>
      </c>
      <c r="J786">
        <v>1332.9465332</v>
      </c>
      <c r="K786">
        <v>0</v>
      </c>
      <c r="L786">
        <v>550</v>
      </c>
      <c r="M786">
        <v>550</v>
      </c>
      <c r="N786">
        <v>0</v>
      </c>
    </row>
    <row r="787" spans="1:14" x14ac:dyDescent="0.25">
      <c r="A787">
        <v>584.20235100000002</v>
      </c>
      <c r="B787" s="1">
        <f>DATE(2011,12,6) + TIME(4,51,23)</f>
        <v>40883.202349537038</v>
      </c>
      <c r="C787">
        <v>80</v>
      </c>
      <c r="D787">
        <v>76.825477599999999</v>
      </c>
      <c r="E787">
        <v>50</v>
      </c>
      <c r="F787">
        <v>49.916400908999996</v>
      </c>
      <c r="G787">
        <v>1329.8920897999999</v>
      </c>
      <c r="H787">
        <v>1329.2807617000001</v>
      </c>
      <c r="I787">
        <v>1334.4049072</v>
      </c>
      <c r="J787">
        <v>1332.9455565999999</v>
      </c>
      <c r="K787">
        <v>0</v>
      </c>
      <c r="L787">
        <v>550</v>
      </c>
      <c r="M787">
        <v>550</v>
      </c>
      <c r="N787">
        <v>0</v>
      </c>
    </row>
    <row r="788" spans="1:14" x14ac:dyDescent="0.25">
      <c r="A788">
        <v>586.07739700000002</v>
      </c>
      <c r="B788" s="1">
        <f>DATE(2011,12,8) + TIME(1,51,27)</f>
        <v>40885.07739583333</v>
      </c>
      <c r="C788">
        <v>80</v>
      </c>
      <c r="D788">
        <v>76.660186768000003</v>
      </c>
      <c r="E788">
        <v>50</v>
      </c>
      <c r="F788">
        <v>49.916362761999999</v>
      </c>
      <c r="G788">
        <v>1329.8586425999999</v>
      </c>
      <c r="H788">
        <v>1329.2348632999999</v>
      </c>
      <c r="I788">
        <v>1334.4036865</v>
      </c>
      <c r="J788">
        <v>1332.9447021000001</v>
      </c>
      <c r="K788">
        <v>0</v>
      </c>
      <c r="L788">
        <v>550</v>
      </c>
      <c r="M788">
        <v>550</v>
      </c>
      <c r="N788">
        <v>0</v>
      </c>
    </row>
    <row r="789" spans="1:14" x14ac:dyDescent="0.25">
      <c r="A789">
        <v>588.05082400000003</v>
      </c>
      <c r="B789" s="1">
        <f>DATE(2011,12,10) + TIME(1,13,11)</f>
        <v>40887.050821759258</v>
      </c>
      <c r="C789">
        <v>80</v>
      </c>
      <c r="D789">
        <v>76.484184264999996</v>
      </c>
      <c r="E789">
        <v>50</v>
      </c>
      <c r="F789">
        <v>49.916362761999999</v>
      </c>
      <c r="G789">
        <v>1329.8244629000001</v>
      </c>
      <c r="H789">
        <v>1329.1879882999999</v>
      </c>
      <c r="I789">
        <v>1334.4022216999999</v>
      </c>
      <c r="J789">
        <v>1332.9437256000001</v>
      </c>
      <c r="K789">
        <v>0</v>
      </c>
      <c r="L789">
        <v>550</v>
      </c>
      <c r="M789">
        <v>550</v>
      </c>
      <c r="N789">
        <v>0</v>
      </c>
    </row>
    <row r="790" spans="1:14" x14ac:dyDescent="0.25">
      <c r="A790">
        <v>590.14452000000006</v>
      </c>
      <c r="B790" s="1">
        <f>DATE(2011,12,12) + TIME(3,28,6)</f>
        <v>40889.144513888888</v>
      </c>
      <c r="C790">
        <v>80</v>
      </c>
      <c r="D790">
        <v>76.295600891000007</v>
      </c>
      <c r="E790">
        <v>50</v>
      </c>
      <c r="F790">
        <v>49.916385650999999</v>
      </c>
      <c r="G790">
        <v>1329.7893065999999</v>
      </c>
      <c r="H790">
        <v>1329.1400146000001</v>
      </c>
      <c r="I790">
        <v>1334.4007568</v>
      </c>
      <c r="J790">
        <v>1332.942749</v>
      </c>
      <c r="K790">
        <v>0</v>
      </c>
      <c r="L790">
        <v>550</v>
      </c>
      <c r="M790">
        <v>550</v>
      </c>
      <c r="N790">
        <v>0</v>
      </c>
    </row>
    <row r="791" spans="1:14" x14ac:dyDescent="0.25">
      <c r="A791">
        <v>592.33378500000003</v>
      </c>
      <c r="B791" s="1">
        <f>DATE(2011,12,14) + TIME(8,0,39)</f>
        <v>40891.333784722221</v>
      </c>
      <c r="C791">
        <v>80</v>
      </c>
      <c r="D791">
        <v>76.094886779999996</v>
      </c>
      <c r="E791">
        <v>50</v>
      </c>
      <c r="F791">
        <v>49.916431426999999</v>
      </c>
      <c r="G791">
        <v>1329.7532959</v>
      </c>
      <c r="H791">
        <v>1329.0908202999999</v>
      </c>
      <c r="I791">
        <v>1334.3991699000001</v>
      </c>
      <c r="J791">
        <v>1332.9417725000001</v>
      </c>
      <c r="K791">
        <v>0</v>
      </c>
      <c r="L791">
        <v>550</v>
      </c>
      <c r="M791">
        <v>550</v>
      </c>
      <c r="N791">
        <v>0</v>
      </c>
    </row>
    <row r="792" spans="1:14" x14ac:dyDescent="0.25">
      <c r="A792">
        <v>594.62041799999997</v>
      </c>
      <c r="B792" s="1">
        <f>DATE(2011,12,16) + TIME(14,53,24)</f>
        <v>40893.620416666665</v>
      </c>
      <c r="C792">
        <v>80</v>
      </c>
      <c r="D792">
        <v>75.881561278999996</v>
      </c>
      <c r="E792">
        <v>50</v>
      </c>
      <c r="F792">
        <v>49.916492462000001</v>
      </c>
      <c r="G792">
        <v>1329.7164307</v>
      </c>
      <c r="H792">
        <v>1329.0406493999999</v>
      </c>
      <c r="I792">
        <v>1334.3974608999999</v>
      </c>
      <c r="J792">
        <v>1332.9407959</v>
      </c>
      <c r="K792">
        <v>0</v>
      </c>
      <c r="L792">
        <v>550</v>
      </c>
      <c r="M792">
        <v>550</v>
      </c>
      <c r="N792">
        <v>0</v>
      </c>
    </row>
    <row r="793" spans="1:14" x14ac:dyDescent="0.25">
      <c r="A793">
        <v>597.01446399999998</v>
      </c>
      <c r="B793" s="1">
        <f>DATE(2011,12,19) + TIME(0,20,49)</f>
        <v>40896.014456018522</v>
      </c>
      <c r="C793">
        <v>80</v>
      </c>
      <c r="D793">
        <v>75.654685974000003</v>
      </c>
      <c r="E793">
        <v>50</v>
      </c>
      <c r="F793">
        <v>49.916564940999997</v>
      </c>
      <c r="G793">
        <v>1329.6790771000001</v>
      </c>
      <c r="H793">
        <v>1328.989624</v>
      </c>
      <c r="I793">
        <v>1334.3957519999999</v>
      </c>
      <c r="J793">
        <v>1332.9398193</v>
      </c>
      <c r="K793">
        <v>0</v>
      </c>
      <c r="L793">
        <v>550</v>
      </c>
      <c r="M793">
        <v>550</v>
      </c>
      <c r="N793">
        <v>0</v>
      </c>
    </row>
    <row r="794" spans="1:14" x14ac:dyDescent="0.25">
      <c r="A794">
        <v>599.48006199999998</v>
      </c>
      <c r="B794" s="1">
        <f>DATE(2011,12,21) + TIME(11,31,17)</f>
        <v>40898.480057870373</v>
      </c>
      <c r="C794">
        <v>80</v>
      </c>
      <c r="D794">
        <v>75.415649414000001</v>
      </c>
      <c r="E794">
        <v>50</v>
      </c>
      <c r="F794">
        <v>49.916648864999999</v>
      </c>
      <c r="G794">
        <v>1329.6409911999999</v>
      </c>
      <c r="H794">
        <v>1328.9378661999999</v>
      </c>
      <c r="I794">
        <v>1334.3939209</v>
      </c>
      <c r="J794">
        <v>1332.9389647999999</v>
      </c>
      <c r="K794">
        <v>0</v>
      </c>
      <c r="L794">
        <v>550</v>
      </c>
      <c r="M794">
        <v>550</v>
      </c>
      <c r="N794">
        <v>0</v>
      </c>
    </row>
    <row r="795" spans="1:14" x14ac:dyDescent="0.25">
      <c r="A795">
        <v>601.99353900000006</v>
      </c>
      <c r="B795" s="1">
        <f>DATE(2011,12,23) + TIME(23,50,41)</f>
        <v>40900.993530092594</v>
      </c>
      <c r="C795">
        <v>80</v>
      </c>
      <c r="D795">
        <v>75.166122436999999</v>
      </c>
      <c r="E795">
        <v>50</v>
      </c>
      <c r="F795">
        <v>49.916732787999997</v>
      </c>
      <c r="G795">
        <v>1329.6027832</v>
      </c>
      <c r="H795">
        <v>1328.8859863</v>
      </c>
      <c r="I795">
        <v>1334.3920897999999</v>
      </c>
      <c r="J795">
        <v>1332.9381103999999</v>
      </c>
      <c r="K795">
        <v>0</v>
      </c>
      <c r="L795">
        <v>550</v>
      </c>
      <c r="M795">
        <v>550</v>
      </c>
      <c r="N795">
        <v>0</v>
      </c>
    </row>
    <row r="796" spans="1:14" x14ac:dyDescent="0.25">
      <c r="A796">
        <v>604.57802500000003</v>
      </c>
      <c r="B796" s="1">
        <f>DATE(2011,12,26) + TIME(13,52,21)</f>
        <v>40903.578020833331</v>
      </c>
      <c r="C796">
        <v>80</v>
      </c>
      <c r="D796">
        <v>74.905471801999994</v>
      </c>
      <c r="E796">
        <v>50</v>
      </c>
      <c r="F796">
        <v>49.916820526000002</v>
      </c>
      <c r="G796">
        <v>1329.5648193</v>
      </c>
      <c r="H796">
        <v>1328.8342285000001</v>
      </c>
      <c r="I796">
        <v>1334.3901367000001</v>
      </c>
      <c r="J796">
        <v>1332.9372559000001</v>
      </c>
      <c r="K796">
        <v>0</v>
      </c>
      <c r="L796">
        <v>550</v>
      </c>
      <c r="M796">
        <v>550</v>
      </c>
      <c r="N796">
        <v>0</v>
      </c>
    </row>
    <row r="797" spans="1:14" x14ac:dyDescent="0.25">
      <c r="A797">
        <v>607.25789399999996</v>
      </c>
      <c r="B797" s="1">
        <f>DATE(2011,12,29) + TIME(6,11,22)</f>
        <v>40906.257893518516</v>
      </c>
      <c r="C797">
        <v>80</v>
      </c>
      <c r="D797">
        <v>74.632156371999997</v>
      </c>
      <c r="E797">
        <v>50</v>
      </c>
      <c r="F797">
        <v>49.916912078999999</v>
      </c>
      <c r="G797">
        <v>1329.5268555</v>
      </c>
      <c r="H797">
        <v>1328.7825928</v>
      </c>
      <c r="I797">
        <v>1334.3883057</v>
      </c>
      <c r="J797">
        <v>1332.9365233999999</v>
      </c>
      <c r="K797">
        <v>0</v>
      </c>
      <c r="L797">
        <v>550</v>
      </c>
      <c r="M797">
        <v>550</v>
      </c>
      <c r="N797">
        <v>0</v>
      </c>
    </row>
    <row r="798" spans="1:14" x14ac:dyDescent="0.25">
      <c r="A798">
        <v>610</v>
      </c>
      <c r="B798" s="1">
        <f>DATE(2012,1,1) + TIME(0,0,0)</f>
        <v>40909</v>
      </c>
      <c r="C798">
        <v>80</v>
      </c>
      <c r="D798">
        <v>74.347427367999998</v>
      </c>
      <c r="E798">
        <v>50</v>
      </c>
      <c r="F798">
        <v>49.916999816999997</v>
      </c>
      <c r="G798">
        <v>1329.4888916</v>
      </c>
      <c r="H798">
        <v>1328.730957</v>
      </c>
      <c r="I798">
        <v>1334.3863524999999</v>
      </c>
      <c r="J798">
        <v>1332.9359131000001</v>
      </c>
      <c r="K798">
        <v>0</v>
      </c>
      <c r="L798">
        <v>550</v>
      </c>
      <c r="M798">
        <v>550</v>
      </c>
      <c r="N798">
        <v>0</v>
      </c>
    </row>
    <row r="799" spans="1:14" x14ac:dyDescent="0.25">
      <c r="A799">
        <v>612.80217200000004</v>
      </c>
      <c r="B799" s="1">
        <f>DATE(2012,1,3) + TIME(19,15,7)</f>
        <v>40911.802164351851</v>
      </c>
      <c r="C799">
        <v>80</v>
      </c>
      <c r="D799">
        <v>74.051902771000002</v>
      </c>
      <c r="E799">
        <v>50</v>
      </c>
      <c r="F799">
        <v>49.917091370000001</v>
      </c>
      <c r="G799">
        <v>1329.4510498</v>
      </c>
      <c r="H799">
        <v>1328.6796875</v>
      </c>
      <c r="I799">
        <v>1334.3843993999999</v>
      </c>
      <c r="J799">
        <v>1332.9353027</v>
      </c>
      <c r="K799">
        <v>0</v>
      </c>
      <c r="L799">
        <v>550</v>
      </c>
      <c r="M799">
        <v>550</v>
      </c>
      <c r="N799">
        <v>0</v>
      </c>
    </row>
    <row r="800" spans="1:14" x14ac:dyDescent="0.25">
      <c r="A800">
        <v>615.94398699999999</v>
      </c>
      <c r="B800" s="1">
        <f>DATE(2012,1,6) + TIME(22,39,20)</f>
        <v>40914.943981481483</v>
      </c>
      <c r="C800">
        <v>80</v>
      </c>
      <c r="D800">
        <v>73.731681824000006</v>
      </c>
      <c r="E800">
        <v>50</v>
      </c>
      <c r="F800">
        <v>49.917194365999997</v>
      </c>
      <c r="G800">
        <v>1329.4135742000001</v>
      </c>
      <c r="H800">
        <v>1328.6285399999999</v>
      </c>
      <c r="I800">
        <v>1334.3825684000001</v>
      </c>
      <c r="J800">
        <v>1332.9346923999999</v>
      </c>
      <c r="K800">
        <v>0</v>
      </c>
      <c r="L800">
        <v>550</v>
      </c>
      <c r="M800">
        <v>550</v>
      </c>
      <c r="N800">
        <v>0</v>
      </c>
    </row>
    <row r="801" spans="1:14" x14ac:dyDescent="0.25">
      <c r="A801">
        <v>619.19284300000004</v>
      </c>
      <c r="B801" s="1">
        <f>DATE(2012,1,10) + TIME(4,37,41)</f>
        <v>40918.192835648151</v>
      </c>
      <c r="C801">
        <v>80</v>
      </c>
      <c r="D801">
        <v>73.390159607000001</v>
      </c>
      <c r="E801">
        <v>50</v>
      </c>
      <c r="F801">
        <v>49.917293549</v>
      </c>
      <c r="G801">
        <v>1329.3740233999999</v>
      </c>
      <c r="H801">
        <v>1328.5753173999999</v>
      </c>
      <c r="I801">
        <v>1334.3803711</v>
      </c>
      <c r="J801">
        <v>1332.9343262</v>
      </c>
      <c r="K801">
        <v>0</v>
      </c>
      <c r="L801">
        <v>550</v>
      </c>
      <c r="M801">
        <v>550</v>
      </c>
      <c r="N801">
        <v>0</v>
      </c>
    </row>
    <row r="802" spans="1:14" x14ac:dyDescent="0.25">
      <c r="A802">
        <v>622.53369999999995</v>
      </c>
      <c r="B802" s="1">
        <f>DATE(2012,1,13) + TIME(12,48,31)</f>
        <v>40921.533692129633</v>
      </c>
      <c r="C802">
        <v>80</v>
      </c>
      <c r="D802">
        <v>73.030975342000005</v>
      </c>
      <c r="E802">
        <v>50</v>
      </c>
      <c r="F802">
        <v>49.917392731</v>
      </c>
      <c r="G802">
        <v>1329.3339844</v>
      </c>
      <c r="H802">
        <v>1328.5213623</v>
      </c>
      <c r="I802">
        <v>1334.3782959</v>
      </c>
      <c r="J802">
        <v>1332.9338379000001</v>
      </c>
      <c r="K802">
        <v>0</v>
      </c>
      <c r="L802">
        <v>550</v>
      </c>
      <c r="M802">
        <v>550</v>
      </c>
      <c r="N802">
        <v>0</v>
      </c>
    </row>
    <row r="803" spans="1:14" x14ac:dyDescent="0.25">
      <c r="A803">
        <v>626.01498800000002</v>
      </c>
      <c r="B803" s="1">
        <f>DATE(2012,1,17) + TIME(0,21,34)</f>
        <v>40925.014976851853</v>
      </c>
      <c r="C803">
        <v>80</v>
      </c>
      <c r="D803">
        <v>72.653846740999995</v>
      </c>
      <c r="E803">
        <v>50</v>
      </c>
      <c r="F803">
        <v>49.917491912999999</v>
      </c>
      <c r="G803">
        <v>1329.2940673999999</v>
      </c>
      <c r="H803">
        <v>1328.4672852000001</v>
      </c>
      <c r="I803">
        <v>1334.3762207</v>
      </c>
      <c r="J803">
        <v>1332.9334716999999</v>
      </c>
      <c r="K803">
        <v>0</v>
      </c>
      <c r="L803">
        <v>550</v>
      </c>
      <c r="M803">
        <v>550</v>
      </c>
      <c r="N803">
        <v>0</v>
      </c>
    </row>
    <row r="804" spans="1:14" x14ac:dyDescent="0.25">
      <c r="A804">
        <v>629.60498299999995</v>
      </c>
      <c r="B804" s="1">
        <f>DATE(2012,1,20) + TIME(14,31,10)</f>
        <v>40928.60497685185</v>
      </c>
      <c r="C804">
        <v>80</v>
      </c>
      <c r="D804">
        <v>72.259635924999998</v>
      </c>
      <c r="E804">
        <v>50</v>
      </c>
      <c r="F804">
        <v>49.917591094999999</v>
      </c>
      <c r="G804">
        <v>1329.2540283000001</v>
      </c>
      <c r="H804">
        <v>1328.4130858999999</v>
      </c>
      <c r="I804">
        <v>1334.3740233999999</v>
      </c>
      <c r="J804">
        <v>1332.9332274999999</v>
      </c>
      <c r="K804">
        <v>0</v>
      </c>
      <c r="L804">
        <v>550</v>
      </c>
      <c r="M804">
        <v>550</v>
      </c>
      <c r="N804">
        <v>0</v>
      </c>
    </row>
    <row r="805" spans="1:14" x14ac:dyDescent="0.25">
      <c r="A805">
        <v>633.30738699999995</v>
      </c>
      <c r="B805" s="1">
        <f>DATE(2012,1,24) + TIME(7,22,38)</f>
        <v>40932.307384259257</v>
      </c>
      <c r="C805">
        <v>80</v>
      </c>
      <c r="D805">
        <v>71.849136353000006</v>
      </c>
      <c r="E805">
        <v>50</v>
      </c>
      <c r="F805">
        <v>49.917686461999999</v>
      </c>
      <c r="G805">
        <v>1329.2141113</v>
      </c>
      <c r="H805">
        <v>1328.3590088000001</v>
      </c>
      <c r="I805">
        <v>1334.3718262</v>
      </c>
      <c r="J805">
        <v>1332.9331055</v>
      </c>
      <c r="K805">
        <v>0</v>
      </c>
      <c r="L805">
        <v>550</v>
      </c>
      <c r="M805">
        <v>550</v>
      </c>
      <c r="N805">
        <v>0</v>
      </c>
    </row>
    <row r="806" spans="1:14" x14ac:dyDescent="0.25">
      <c r="A806">
        <v>637.11284799999999</v>
      </c>
      <c r="B806" s="1">
        <f>DATE(2012,1,28) + TIME(2,42,30)</f>
        <v>40936.112847222219</v>
      </c>
      <c r="C806">
        <v>80</v>
      </c>
      <c r="D806">
        <v>71.423202515</v>
      </c>
      <c r="E806">
        <v>50</v>
      </c>
      <c r="F806">
        <v>49.917785645000002</v>
      </c>
      <c r="G806">
        <v>1329.1744385</v>
      </c>
      <c r="H806">
        <v>1328.3052978999999</v>
      </c>
      <c r="I806">
        <v>1334.3696289</v>
      </c>
      <c r="J806">
        <v>1332.9329834</v>
      </c>
      <c r="K806">
        <v>0</v>
      </c>
      <c r="L806">
        <v>550</v>
      </c>
      <c r="M806">
        <v>550</v>
      </c>
      <c r="N806">
        <v>0</v>
      </c>
    </row>
    <row r="807" spans="1:14" x14ac:dyDescent="0.25">
      <c r="A807">
        <v>641</v>
      </c>
      <c r="B807" s="1">
        <f>DATE(2012,2,1) + TIME(0,0,0)</f>
        <v>40940</v>
      </c>
      <c r="C807">
        <v>80</v>
      </c>
      <c r="D807">
        <v>70.983520507999998</v>
      </c>
      <c r="E807">
        <v>50</v>
      </c>
      <c r="F807">
        <v>49.917881012000002</v>
      </c>
      <c r="G807">
        <v>1329.1352539</v>
      </c>
      <c r="H807">
        <v>1328.2520752</v>
      </c>
      <c r="I807">
        <v>1334.3674315999999</v>
      </c>
      <c r="J807">
        <v>1332.9328613</v>
      </c>
      <c r="K807">
        <v>0</v>
      </c>
      <c r="L807">
        <v>550</v>
      </c>
      <c r="M807">
        <v>550</v>
      </c>
      <c r="N807">
        <v>0</v>
      </c>
    </row>
    <row r="808" spans="1:14" x14ac:dyDescent="0.25">
      <c r="A808">
        <v>644.93660299999999</v>
      </c>
      <c r="B808" s="1">
        <f>DATE(2012,2,4) + TIME(22,28,42)</f>
        <v>40943.936597222222</v>
      </c>
      <c r="C808">
        <v>80</v>
      </c>
      <c r="D808">
        <v>70.532989502000007</v>
      </c>
      <c r="E808">
        <v>50</v>
      </c>
      <c r="F808">
        <v>49.917976379000002</v>
      </c>
      <c r="G808">
        <v>1329.0965576000001</v>
      </c>
      <c r="H808">
        <v>1328.1995850000001</v>
      </c>
      <c r="I808">
        <v>1334.3652344</v>
      </c>
      <c r="J808">
        <v>1332.9328613</v>
      </c>
      <c r="K808">
        <v>0</v>
      </c>
      <c r="L808">
        <v>550</v>
      </c>
      <c r="M808">
        <v>550</v>
      </c>
      <c r="N808">
        <v>0</v>
      </c>
    </row>
    <row r="809" spans="1:14" x14ac:dyDescent="0.25">
      <c r="A809">
        <v>649.26442499999996</v>
      </c>
      <c r="B809" s="1">
        <f>DATE(2012,2,9) + TIME(6,20,46)</f>
        <v>40948.264421296299</v>
      </c>
      <c r="C809">
        <v>80</v>
      </c>
      <c r="D809">
        <v>70.058975219999994</v>
      </c>
      <c r="E809">
        <v>50</v>
      </c>
      <c r="F809">
        <v>49.918083191000001</v>
      </c>
      <c r="G809">
        <v>1329.0587158000001</v>
      </c>
      <c r="H809">
        <v>1328.1480713000001</v>
      </c>
      <c r="I809">
        <v>1334.3630370999999</v>
      </c>
      <c r="J809">
        <v>1332.9328613</v>
      </c>
      <c r="K809">
        <v>0</v>
      </c>
      <c r="L809">
        <v>550</v>
      </c>
      <c r="M809">
        <v>550</v>
      </c>
      <c r="N809">
        <v>0</v>
      </c>
    </row>
    <row r="810" spans="1:14" x14ac:dyDescent="0.25">
      <c r="A810">
        <v>653.78259800000001</v>
      </c>
      <c r="B810" s="1">
        <f>DATE(2012,2,13) + TIME(18,46,56)</f>
        <v>40952.782592592594</v>
      </c>
      <c r="C810">
        <v>80</v>
      </c>
      <c r="D810">
        <v>69.555290221999996</v>
      </c>
      <c r="E810">
        <v>50</v>
      </c>
      <c r="F810">
        <v>49.918190002000003</v>
      </c>
      <c r="G810">
        <v>1329.0198975000001</v>
      </c>
      <c r="H810">
        <v>1328.0957031</v>
      </c>
      <c r="I810">
        <v>1334.3605957</v>
      </c>
      <c r="J810">
        <v>1332.9329834</v>
      </c>
      <c r="K810">
        <v>0</v>
      </c>
      <c r="L810">
        <v>550</v>
      </c>
      <c r="M810">
        <v>550</v>
      </c>
      <c r="N810">
        <v>0</v>
      </c>
    </row>
    <row r="811" spans="1:14" x14ac:dyDescent="0.25">
      <c r="A811">
        <v>658.49158399999999</v>
      </c>
      <c r="B811" s="1">
        <f>DATE(2012,2,18) + TIME(11,47,52)</f>
        <v>40957.491574074076</v>
      </c>
      <c r="C811">
        <v>80</v>
      </c>
      <c r="D811">
        <v>69.025924683</v>
      </c>
      <c r="E811">
        <v>50</v>
      </c>
      <c r="F811">
        <v>49.918296814000001</v>
      </c>
      <c r="G811">
        <v>1328.9807129000001</v>
      </c>
      <c r="H811">
        <v>1328.0427245999999</v>
      </c>
      <c r="I811">
        <v>1334.3581543</v>
      </c>
      <c r="J811">
        <v>1332.9331055</v>
      </c>
      <c r="K811">
        <v>0</v>
      </c>
      <c r="L811">
        <v>550</v>
      </c>
      <c r="M811">
        <v>550</v>
      </c>
      <c r="N811">
        <v>0</v>
      </c>
    </row>
    <row r="812" spans="1:14" x14ac:dyDescent="0.25">
      <c r="A812">
        <v>663.309574</v>
      </c>
      <c r="B812" s="1">
        <f>DATE(2012,2,23) + TIME(7,25,47)</f>
        <v>40962.309571759259</v>
      </c>
      <c r="C812">
        <v>80</v>
      </c>
      <c r="D812">
        <v>68.475807189999998</v>
      </c>
      <c r="E812">
        <v>50</v>
      </c>
      <c r="F812">
        <v>49.918399811</v>
      </c>
      <c r="G812">
        <v>1328.9417725000001</v>
      </c>
      <c r="H812">
        <v>1327.9897461</v>
      </c>
      <c r="I812">
        <v>1334.3557129000001</v>
      </c>
      <c r="J812">
        <v>1332.9333495999999</v>
      </c>
      <c r="K812">
        <v>0</v>
      </c>
      <c r="L812">
        <v>550</v>
      </c>
      <c r="M812">
        <v>550</v>
      </c>
      <c r="N812">
        <v>0</v>
      </c>
    </row>
    <row r="813" spans="1:14" x14ac:dyDescent="0.25">
      <c r="A813">
        <v>668.22966499999995</v>
      </c>
      <c r="B813" s="1">
        <f>DATE(2012,2,28) + TIME(5,30,43)</f>
        <v>40967.229664351849</v>
      </c>
      <c r="C813">
        <v>80</v>
      </c>
      <c r="D813">
        <v>67.910240173000005</v>
      </c>
      <c r="E813">
        <v>50</v>
      </c>
      <c r="F813">
        <v>49.918506622000002</v>
      </c>
      <c r="G813">
        <v>1328.9033202999999</v>
      </c>
      <c r="H813">
        <v>1327.9375</v>
      </c>
      <c r="I813">
        <v>1334.3531493999999</v>
      </c>
      <c r="J813">
        <v>1332.9335937999999</v>
      </c>
      <c r="K813">
        <v>0</v>
      </c>
      <c r="L813">
        <v>550</v>
      </c>
      <c r="M813">
        <v>550</v>
      </c>
      <c r="N813">
        <v>0</v>
      </c>
    </row>
    <row r="814" spans="1:14" x14ac:dyDescent="0.25">
      <c r="A814">
        <v>670</v>
      </c>
      <c r="B814" s="1">
        <f>DATE(2012,3,1) + TIME(0,0,0)</f>
        <v>40969</v>
      </c>
      <c r="C814">
        <v>80</v>
      </c>
      <c r="D814">
        <v>67.549613953000005</v>
      </c>
      <c r="E814">
        <v>50</v>
      </c>
      <c r="F814">
        <v>49.918498993</v>
      </c>
      <c r="G814">
        <v>1328.8658447</v>
      </c>
      <c r="H814">
        <v>1327.8887939000001</v>
      </c>
      <c r="I814">
        <v>1334.3504639</v>
      </c>
      <c r="J814">
        <v>1332.9337158000001</v>
      </c>
      <c r="K814">
        <v>0</v>
      </c>
      <c r="L814">
        <v>550</v>
      </c>
      <c r="M814">
        <v>550</v>
      </c>
      <c r="N814">
        <v>0</v>
      </c>
    </row>
    <row r="815" spans="1:14" x14ac:dyDescent="0.25">
      <c r="A815">
        <v>675.05897600000003</v>
      </c>
      <c r="B815" s="1">
        <f>DATE(2012,3,6) + TIME(1,24,55)</f>
        <v>40974.058969907404</v>
      </c>
      <c r="C815">
        <v>80</v>
      </c>
      <c r="D815">
        <v>67.070823669000006</v>
      </c>
      <c r="E815">
        <v>50</v>
      </c>
      <c r="F815">
        <v>49.918640136999997</v>
      </c>
      <c r="G815">
        <v>1328.8479004000001</v>
      </c>
      <c r="H815">
        <v>1327.8586425999999</v>
      </c>
      <c r="I815">
        <v>1334.3496094</v>
      </c>
      <c r="J815">
        <v>1332.9338379000001</v>
      </c>
      <c r="K815">
        <v>0</v>
      </c>
      <c r="L815">
        <v>550</v>
      </c>
      <c r="M815">
        <v>550</v>
      </c>
      <c r="N815">
        <v>0</v>
      </c>
    </row>
    <row r="816" spans="1:14" x14ac:dyDescent="0.25">
      <c r="A816">
        <v>680.39023599999996</v>
      </c>
      <c r="B816" s="1">
        <f>DATE(2012,3,11) + TIME(9,21,56)</f>
        <v>40979.390231481484</v>
      </c>
      <c r="C816">
        <v>80</v>
      </c>
      <c r="D816">
        <v>66.503608704000001</v>
      </c>
      <c r="E816">
        <v>50</v>
      </c>
      <c r="F816">
        <v>49.918762207</v>
      </c>
      <c r="G816">
        <v>1328.8150635</v>
      </c>
      <c r="H816">
        <v>1327.8157959</v>
      </c>
      <c r="I816">
        <v>1334.3470459</v>
      </c>
      <c r="J816">
        <v>1332.934082</v>
      </c>
      <c r="K816">
        <v>0</v>
      </c>
      <c r="L816">
        <v>550</v>
      </c>
      <c r="M816">
        <v>550</v>
      </c>
      <c r="N816">
        <v>0</v>
      </c>
    </row>
    <row r="817" spans="1:14" x14ac:dyDescent="0.25">
      <c r="A817">
        <v>685.86055299999998</v>
      </c>
      <c r="B817" s="1">
        <f>DATE(2012,3,16) + TIME(20,39,11)</f>
        <v>40984.860543981478</v>
      </c>
      <c r="C817">
        <v>80</v>
      </c>
      <c r="D817">
        <v>65.892379761000001</v>
      </c>
      <c r="E817">
        <v>50</v>
      </c>
      <c r="F817">
        <v>49.918876648000001</v>
      </c>
      <c r="G817">
        <v>1328.7806396000001</v>
      </c>
      <c r="H817">
        <v>1327.7694091999999</v>
      </c>
      <c r="I817">
        <v>1334.3443603999999</v>
      </c>
      <c r="J817">
        <v>1332.9343262</v>
      </c>
      <c r="K817">
        <v>0</v>
      </c>
      <c r="L817">
        <v>550</v>
      </c>
      <c r="M817">
        <v>550</v>
      </c>
      <c r="N817">
        <v>0</v>
      </c>
    </row>
    <row r="818" spans="1:14" x14ac:dyDescent="0.25">
      <c r="A818">
        <v>691.46887700000002</v>
      </c>
      <c r="B818" s="1">
        <f>DATE(2012,3,22) + TIME(11,15,11)</f>
        <v>40990.468877314815</v>
      </c>
      <c r="C818">
        <v>80</v>
      </c>
      <c r="D818">
        <v>65.258293151999993</v>
      </c>
      <c r="E818">
        <v>50</v>
      </c>
      <c r="F818">
        <v>49.918991089000002</v>
      </c>
      <c r="G818">
        <v>1328.7463379000001</v>
      </c>
      <c r="H818">
        <v>1327.7226562000001</v>
      </c>
      <c r="I818">
        <v>1334.3415527</v>
      </c>
      <c r="J818">
        <v>1332.9345702999999</v>
      </c>
      <c r="K818">
        <v>0</v>
      </c>
      <c r="L818">
        <v>550</v>
      </c>
      <c r="M818">
        <v>550</v>
      </c>
      <c r="N818">
        <v>0</v>
      </c>
    </row>
    <row r="819" spans="1:14" x14ac:dyDescent="0.25">
      <c r="A819">
        <v>697.27333299999998</v>
      </c>
      <c r="B819" s="1">
        <f>DATE(2012,3,28) + TIME(6,33,35)</f>
        <v>40996.273321759261</v>
      </c>
      <c r="C819">
        <v>80</v>
      </c>
      <c r="D819">
        <v>64.606864928999997</v>
      </c>
      <c r="E819">
        <v>50</v>
      </c>
      <c r="F819">
        <v>49.919113158999998</v>
      </c>
      <c r="G819">
        <v>1328.7130127</v>
      </c>
      <c r="H819">
        <v>1327.6767577999999</v>
      </c>
      <c r="I819">
        <v>1334.3387451000001</v>
      </c>
      <c r="J819">
        <v>1332.9348144999999</v>
      </c>
      <c r="K819">
        <v>0</v>
      </c>
      <c r="L819">
        <v>550</v>
      </c>
      <c r="M819">
        <v>550</v>
      </c>
      <c r="N819">
        <v>0</v>
      </c>
    </row>
    <row r="820" spans="1:14" x14ac:dyDescent="0.25">
      <c r="A820">
        <v>701</v>
      </c>
      <c r="B820" s="1">
        <f>DATE(2012,4,1) + TIME(0,0,0)</f>
        <v>41000</v>
      </c>
      <c r="C820">
        <v>80</v>
      </c>
      <c r="D820">
        <v>64.037979125999996</v>
      </c>
      <c r="E820">
        <v>50</v>
      </c>
      <c r="F820">
        <v>49.919147490999997</v>
      </c>
      <c r="G820">
        <v>1328.6802978999999</v>
      </c>
      <c r="H820">
        <v>1327.6329346</v>
      </c>
      <c r="I820">
        <v>1334.3358154</v>
      </c>
      <c r="J820">
        <v>1332.9350586</v>
      </c>
      <c r="K820">
        <v>0</v>
      </c>
      <c r="L820">
        <v>550</v>
      </c>
      <c r="M820">
        <v>550</v>
      </c>
      <c r="N820">
        <v>0</v>
      </c>
    </row>
    <row r="821" spans="1:14" x14ac:dyDescent="0.25">
      <c r="A821">
        <v>707.05801899999994</v>
      </c>
      <c r="B821" s="1">
        <f>DATE(2012,4,7) + TIME(1,23,32)</f>
        <v>41006.058009259257</v>
      </c>
      <c r="C821">
        <v>80</v>
      </c>
      <c r="D821">
        <v>63.468948363999999</v>
      </c>
      <c r="E821">
        <v>50</v>
      </c>
      <c r="F821">
        <v>49.919303894000002</v>
      </c>
      <c r="G821">
        <v>1328.6572266000001</v>
      </c>
      <c r="H821">
        <v>1327.5977783000001</v>
      </c>
      <c r="I821">
        <v>1334.3339844</v>
      </c>
      <c r="J821">
        <v>1332.9351807</v>
      </c>
      <c r="K821">
        <v>0</v>
      </c>
      <c r="L821">
        <v>550</v>
      </c>
      <c r="M821">
        <v>550</v>
      </c>
      <c r="N821">
        <v>0</v>
      </c>
    </row>
    <row r="822" spans="1:14" x14ac:dyDescent="0.25">
      <c r="A822">
        <v>713.40423099999998</v>
      </c>
      <c r="B822" s="1">
        <f>DATE(2012,4,13) + TIME(9,42,5)</f>
        <v>41012.404224537036</v>
      </c>
      <c r="C822">
        <v>80</v>
      </c>
      <c r="D822">
        <v>62.808063507</v>
      </c>
      <c r="E822">
        <v>50</v>
      </c>
      <c r="F822">
        <v>49.919445037999999</v>
      </c>
      <c r="G822">
        <v>1328.6293945</v>
      </c>
      <c r="H822">
        <v>1327.5606689000001</v>
      </c>
      <c r="I822">
        <v>1334.3309326000001</v>
      </c>
      <c r="J822">
        <v>1332.9354248</v>
      </c>
      <c r="K822">
        <v>0</v>
      </c>
      <c r="L822">
        <v>550</v>
      </c>
      <c r="M822">
        <v>550</v>
      </c>
      <c r="N822">
        <v>0</v>
      </c>
    </row>
    <row r="823" spans="1:14" x14ac:dyDescent="0.25">
      <c r="A823">
        <v>720.02780800000005</v>
      </c>
      <c r="B823" s="1">
        <f>DATE(2012,4,20) + TIME(0,40,2)</f>
        <v>41019.027800925927</v>
      </c>
      <c r="C823">
        <v>80</v>
      </c>
      <c r="D823">
        <v>62.106338501000003</v>
      </c>
      <c r="E823">
        <v>50</v>
      </c>
      <c r="F823">
        <v>49.919582366999997</v>
      </c>
      <c r="G823">
        <v>1328.6007079999999</v>
      </c>
      <c r="H823">
        <v>1327.5216064000001</v>
      </c>
      <c r="I823">
        <v>1334.3277588000001</v>
      </c>
      <c r="J823">
        <v>1332.9355469</v>
      </c>
      <c r="K823">
        <v>0</v>
      </c>
      <c r="L823">
        <v>550</v>
      </c>
      <c r="M823">
        <v>550</v>
      </c>
      <c r="N823">
        <v>0</v>
      </c>
    </row>
    <row r="824" spans="1:14" x14ac:dyDescent="0.25">
      <c r="A824">
        <v>726.97056499999997</v>
      </c>
      <c r="B824" s="1">
        <f>DATE(2012,4,26) + TIME(23,17,36)</f>
        <v>41025.970555555556</v>
      </c>
      <c r="C824">
        <v>80</v>
      </c>
      <c r="D824">
        <v>61.379306792999998</v>
      </c>
      <c r="E824">
        <v>50</v>
      </c>
      <c r="F824">
        <v>49.919731140000003</v>
      </c>
      <c r="G824">
        <v>1328.5726318</v>
      </c>
      <c r="H824">
        <v>1327.4829102000001</v>
      </c>
      <c r="I824">
        <v>1334.3245850000001</v>
      </c>
      <c r="J824">
        <v>1332.9356689000001</v>
      </c>
      <c r="K824">
        <v>0</v>
      </c>
      <c r="L824">
        <v>550</v>
      </c>
      <c r="M824">
        <v>550</v>
      </c>
      <c r="N824">
        <v>0</v>
      </c>
    </row>
    <row r="825" spans="1:14" x14ac:dyDescent="0.25">
      <c r="A825">
        <v>731</v>
      </c>
      <c r="B825" s="1">
        <f>DATE(2012,5,1) + TIME(0,0,0)</f>
        <v>41030</v>
      </c>
      <c r="C825">
        <v>80</v>
      </c>
      <c r="D825">
        <v>60.756950377999999</v>
      </c>
      <c r="E825">
        <v>50</v>
      </c>
      <c r="F825">
        <v>49.919761657999999</v>
      </c>
      <c r="G825">
        <v>1328.5450439000001</v>
      </c>
      <c r="H825">
        <v>1327.4462891000001</v>
      </c>
      <c r="I825">
        <v>1334.3211670000001</v>
      </c>
      <c r="J825">
        <v>1332.9356689000001</v>
      </c>
      <c r="K825">
        <v>0</v>
      </c>
      <c r="L825">
        <v>550</v>
      </c>
      <c r="M825">
        <v>550</v>
      </c>
      <c r="N825">
        <v>0</v>
      </c>
    </row>
    <row r="826" spans="1:14" x14ac:dyDescent="0.25">
      <c r="A826">
        <v>731.000001</v>
      </c>
      <c r="B826" s="1">
        <f>DATE(2012,5,1) + TIME(0,0,0)</f>
        <v>41030</v>
      </c>
      <c r="C826">
        <v>80</v>
      </c>
      <c r="D826">
        <v>60.756996155000003</v>
      </c>
      <c r="E826">
        <v>50</v>
      </c>
      <c r="F826">
        <v>49.919738770000002</v>
      </c>
      <c r="G826">
        <v>1330.0734863</v>
      </c>
      <c r="H826">
        <v>1328.8132324000001</v>
      </c>
      <c r="I826">
        <v>1332.7611084</v>
      </c>
      <c r="J826">
        <v>1332.3758545000001</v>
      </c>
      <c r="K826">
        <v>550</v>
      </c>
      <c r="L826">
        <v>0</v>
      </c>
      <c r="M826">
        <v>0</v>
      </c>
      <c r="N826">
        <v>550</v>
      </c>
    </row>
    <row r="827" spans="1:14" x14ac:dyDescent="0.25">
      <c r="A827">
        <v>731.00000399999999</v>
      </c>
      <c r="B827" s="1">
        <f>DATE(2012,5,1) + TIME(0,0,0)</f>
        <v>41030</v>
      </c>
      <c r="C827">
        <v>80</v>
      </c>
      <c r="D827">
        <v>60.757083893000001</v>
      </c>
      <c r="E827">
        <v>50</v>
      </c>
      <c r="F827">
        <v>49.919696807999998</v>
      </c>
      <c r="G827">
        <v>1330.4750977000001</v>
      </c>
      <c r="H827">
        <v>1329.2928466999999</v>
      </c>
      <c r="I827">
        <v>1332.4187012</v>
      </c>
      <c r="J827">
        <v>1332.0313721</v>
      </c>
      <c r="K827">
        <v>550</v>
      </c>
      <c r="L827">
        <v>0</v>
      </c>
      <c r="M827">
        <v>0</v>
      </c>
      <c r="N827">
        <v>550</v>
      </c>
    </row>
    <row r="828" spans="1:14" x14ac:dyDescent="0.25">
      <c r="A828">
        <v>731.00001299999997</v>
      </c>
      <c r="B828" s="1">
        <f>DATE(2012,5,1) + TIME(0,0,1)</f>
        <v>41030.000011574077</v>
      </c>
      <c r="C828">
        <v>80</v>
      </c>
      <c r="D828">
        <v>60.757240295000003</v>
      </c>
      <c r="E828">
        <v>50</v>
      </c>
      <c r="F828">
        <v>49.919631957999997</v>
      </c>
      <c r="G828">
        <v>1331.0852050999999</v>
      </c>
      <c r="H828">
        <v>1329.9216309000001</v>
      </c>
      <c r="I828">
        <v>1331.9337158000001</v>
      </c>
      <c r="J828">
        <v>1331.5373535000001</v>
      </c>
      <c r="K828">
        <v>550</v>
      </c>
      <c r="L828">
        <v>0</v>
      </c>
      <c r="M828">
        <v>0</v>
      </c>
      <c r="N828">
        <v>550</v>
      </c>
    </row>
    <row r="829" spans="1:14" x14ac:dyDescent="0.25">
      <c r="A829">
        <v>731.00004000000001</v>
      </c>
      <c r="B829" s="1">
        <f>DATE(2012,5,1) + TIME(0,0,3)</f>
        <v>41030.000034722223</v>
      </c>
      <c r="C829">
        <v>80</v>
      </c>
      <c r="D829">
        <v>60.757560730000002</v>
      </c>
      <c r="E829">
        <v>50</v>
      </c>
      <c r="F829">
        <v>49.919563293000003</v>
      </c>
      <c r="G829">
        <v>1331.7911377</v>
      </c>
      <c r="H829">
        <v>1330.5991211</v>
      </c>
      <c r="I829">
        <v>1331.401001</v>
      </c>
      <c r="J829">
        <v>1330.9899902</v>
      </c>
      <c r="K829">
        <v>550</v>
      </c>
      <c r="L829">
        <v>0</v>
      </c>
      <c r="M829">
        <v>0</v>
      </c>
      <c r="N829">
        <v>550</v>
      </c>
    </row>
    <row r="830" spans="1:14" x14ac:dyDescent="0.25">
      <c r="A830">
        <v>731.00012100000004</v>
      </c>
      <c r="B830" s="1">
        <f>DATE(2012,5,1) + TIME(0,0,10)</f>
        <v>41030.000115740739</v>
      </c>
      <c r="C830">
        <v>80</v>
      </c>
      <c r="D830">
        <v>60.758354187000002</v>
      </c>
      <c r="E830">
        <v>50</v>
      </c>
      <c r="F830">
        <v>49.919490814</v>
      </c>
      <c r="G830">
        <v>1332.5018310999999</v>
      </c>
      <c r="H830">
        <v>1331.2777100000001</v>
      </c>
      <c r="I830">
        <v>1330.8591309000001</v>
      </c>
      <c r="J830">
        <v>1330.4228516000001</v>
      </c>
      <c r="K830">
        <v>550</v>
      </c>
      <c r="L830">
        <v>0</v>
      </c>
      <c r="M830">
        <v>0</v>
      </c>
      <c r="N830">
        <v>550</v>
      </c>
    </row>
    <row r="831" spans="1:14" x14ac:dyDescent="0.25">
      <c r="A831">
        <v>731.00036399999999</v>
      </c>
      <c r="B831" s="1">
        <f>DATE(2012,5,1) + TIME(0,0,31)</f>
        <v>41030.000358796293</v>
      </c>
      <c r="C831">
        <v>80</v>
      </c>
      <c r="D831">
        <v>60.760612488</v>
      </c>
      <c r="E831">
        <v>50</v>
      </c>
      <c r="F831">
        <v>49.919410706000001</v>
      </c>
      <c r="G831">
        <v>1333.1616211</v>
      </c>
      <c r="H831">
        <v>1331.9071045000001</v>
      </c>
      <c r="I831">
        <v>1330.3305664</v>
      </c>
      <c r="J831">
        <v>1329.8524170000001</v>
      </c>
      <c r="K831">
        <v>550</v>
      </c>
      <c r="L831">
        <v>0</v>
      </c>
      <c r="M831">
        <v>0</v>
      </c>
      <c r="N831">
        <v>550</v>
      </c>
    </row>
    <row r="832" spans="1:14" x14ac:dyDescent="0.25">
      <c r="A832">
        <v>731.00109299999997</v>
      </c>
      <c r="B832" s="1">
        <f>DATE(2012,5,1) + TIME(0,1,34)</f>
        <v>41030.001087962963</v>
      </c>
      <c r="C832">
        <v>80</v>
      </c>
      <c r="D832">
        <v>60.767318725999999</v>
      </c>
      <c r="E832">
        <v>50</v>
      </c>
      <c r="F832">
        <v>49.919300079000003</v>
      </c>
      <c r="G832">
        <v>1333.6680908000001</v>
      </c>
      <c r="H832">
        <v>1332.3886719</v>
      </c>
      <c r="I832">
        <v>1329.8894043</v>
      </c>
      <c r="J832">
        <v>1329.3686522999999</v>
      </c>
      <c r="K832">
        <v>550</v>
      </c>
      <c r="L832">
        <v>0</v>
      </c>
      <c r="M832">
        <v>0</v>
      </c>
      <c r="N832">
        <v>550</v>
      </c>
    </row>
    <row r="833" spans="1:14" x14ac:dyDescent="0.25">
      <c r="A833">
        <v>731.00328000000002</v>
      </c>
      <c r="B833" s="1">
        <f>DATE(2012,5,1) + TIME(0,4,43)</f>
        <v>41030.003275462965</v>
      </c>
      <c r="C833">
        <v>80</v>
      </c>
      <c r="D833">
        <v>60.787460326999998</v>
      </c>
      <c r="E833">
        <v>50</v>
      </c>
      <c r="F833">
        <v>49.919105530000003</v>
      </c>
      <c r="G833">
        <v>1333.9616699000001</v>
      </c>
      <c r="H833">
        <v>1332.6699219</v>
      </c>
      <c r="I833">
        <v>1329.5998535000001</v>
      </c>
      <c r="J833">
        <v>1329.0561522999999</v>
      </c>
      <c r="K833">
        <v>550</v>
      </c>
      <c r="L833">
        <v>0</v>
      </c>
      <c r="M833">
        <v>0</v>
      </c>
      <c r="N833">
        <v>550</v>
      </c>
    </row>
    <row r="834" spans="1:14" x14ac:dyDescent="0.25">
      <c r="A834">
        <v>731.00984100000005</v>
      </c>
      <c r="B834" s="1">
        <f>DATE(2012,5,1) + TIME(0,14,10)</f>
        <v>41030.009837962964</v>
      </c>
      <c r="C834">
        <v>80</v>
      </c>
      <c r="D834">
        <v>60.847793578999998</v>
      </c>
      <c r="E834">
        <v>50</v>
      </c>
      <c r="F834">
        <v>49.918609619000001</v>
      </c>
      <c r="G834">
        <v>1334.0927733999999</v>
      </c>
      <c r="H834">
        <v>1332.7982178</v>
      </c>
      <c r="I834">
        <v>1329.4605713000001</v>
      </c>
      <c r="J834">
        <v>1328.9094238</v>
      </c>
      <c r="K834">
        <v>550</v>
      </c>
      <c r="L834">
        <v>0</v>
      </c>
      <c r="M834">
        <v>0</v>
      </c>
      <c r="N834">
        <v>550</v>
      </c>
    </row>
    <row r="835" spans="1:14" x14ac:dyDescent="0.25">
      <c r="A835">
        <v>731.02952400000004</v>
      </c>
      <c r="B835" s="1">
        <f>DATE(2012,5,1) + TIME(0,42,30)</f>
        <v>41030.029513888891</v>
      </c>
      <c r="C835">
        <v>80</v>
      </c>
      <c r="D835">
        <v>61.027175903</v>
      </c>
      <c r="E835">
        <v>50</v>
      </c>
      <c r="F835">
        <v>49.917171478</v>
      </c>
      <c r="G835">
        <v>1334.1340332</v>
      </c>
      <c r="H835">
        <v>1332.8415527</v>
      </c>
      <c r="I835">
        <v>1329.4233397999999</v>
      </c>
      <c r="J835">
        <v>1328.8706055</v>
      </c>
      <c r="K835">
        <v>550</v>
      </c>
      <c r="L835">
        <v>0</v>
      </c>
      <c r="M835">
        <v>0</v>
      </c>
      <c r="N835">
        <v>550</v>
      </c>
    </row>
    <row r="836" spans="1:14" x14ac:dyDescent="0.25">
      <c r="A836">
        <v>731.088573</v>
      </c>
      <c r="B836" s="1">
        <f>DATE(2012,5,1) + TIME(2,7,32)</f>
        <v>41030.088564814818</v>
      </c>
      <c r="C836">
        <v>80</v>
      </c>
      <c r="D836">
        <v>61.550750731999997</v>
      </c>
      <c r="E836">
        <v>50</v>
      </c>
      <c r="F836">
        <v>49.912906647</v>
      </c>
      <c r="G836">
        <v>1334.1333007999999</v>
      </c>
      <c r="H836">
        <v>1332.8491211</v>
      </c>
      <c r="I836">
        <v>1329.4202881000001</v>
      </c>
      <c r="J836">
        <v>1328.8669434000001</v>
      </c>
      <c r="K836">
        <v>550</v>
      </c>
      <c r="L836">
        <v>0</v>
      </c>
      <c r="M836">
        <v>0</v>
      </c>
      <c r="N836">
        <v>550</v>
      </c>
    </row>
    <row r="837" spans="1:14" x14ac:dyDescent="0.25">
      <c r="A837">
        <v>731.16920000000005</v>
      </c>
      <c r="B837" s="1">
        <f>DATE(2012,5,1) + TIME(4,3,38)</f>
        <v>41030.169189814813</v>
      </c>
      <c r="C837">
        <v>80</v>
      </c>
      <c r="D837">
        <v>62.244869231999999</v>
      </c>
      <c r="E837">
        <v>50</v>
      </c>
      <c r="F837">
        <v>49.907119751000003</v>
      </c>
      <c r="G837">
        <v>1334.1451416</v>
      </c>
      <c r="H837">
        <v>1332.8618164</v>
      </c>
      <c r="I837">
        <v>1329.4196777</v>
      </c>
      <c r="J837">
        <v>1328.8653564000001</v>
      </c>
      <c r="K837">
        <v>550</v>
      </c>
      <c r="L837">
        <v>0</v>
      </c>
      <c r="M837">
        <v>0</v>
      </c>
      <c r="N837">
        <v>550</v>
      </c>
    </row>
    <row r="838" spans="1:14" x14ac:dyDescent="0.25">
      <c r="A838">
        <v>731.25156200000004</v>
      </c>
      <c r="B838" s="1">
        <f>DATE(2012,5,1) + TIME(6,2,14)</f>
        <v>41030.251550925925</v>
      </c>
      <c r="C838">
        <v>80</v>
      </c>
      <c r="D838">
        <v>62.936042786000002</v>
      </c>
      <c r="E838">
        <v>50</v>
      </c>
      <c r="F838">
        <v>49.901226043999998</v>
      </c>
      <c r="G838">
        <v>1334.1722411999999</v>
      </c>
      <c r="H838">
        <v>1332.8831786999999</v>
      </c>
      <c r="I838">
        <v>1329.4189452999999</v>
      </c>
      <c r="J838">
        <v>1328.8632812000001</v>
      </c>
      <c r="K838">
        <v>550</v>
      </c>
      <c r="L838">
        <v>0</v>
      </c>
      <c r="M838">
        <v>0</v>
      </c>
      <c r="N838">
        <v>550</v>
      </c>
    </row>
    <row r="839" spans="1:14" x14ac:dyDescent="0.25">
      <c r="A839">
        <v>731.335736</v>
      </c>
      <c r="B839" s="1">
        <f>DATE(2012,5,1) + TIME(8,3,27)</f>
        <v>41030.335729166669</v>
      </c>
      <c r="C839">
        <v>80</v>
      </c>
      <c r="D839">
        <v>63.623908997000001</v>
      </c>
      <c r="E839">
        <v>50</v>
      </c>
      <c r="F839">
        <v>49.89522934</v>
      </c>
      <c r="G839">
        <v>1334.2014160000001</v>
      </c>
      <c r="H839">
        <v>1332.9056396000001</v>
      </c>
      <c r="I839">
        <v>1329.4180908000001</v>
      </c>
      <c r="J839">
        <v>1328.8612060999999</v>
      </c>
      <c r="K839">
        <v>550</v>
      </c>
      <c r="L839">
        <v>0</v>
      </c>
      <c r="M839">
        <v>0</v>
      </c>
      <c r="N839">
        <v>550</v>
      </c>
    </row>
    <row r="840" spans="1:14" x14ac:dyDescent="0.25">
      <c r="A840">
        <v>731.42179499999997</v>
      </c>
      <c r="B840" s="1">
        <f>DATE(2012,5,1) + TIME(10,7,23)</f>
        <v>41030.421793981484</v>
      </c>
      <c r="C840">
        <v>80</v>
      </c>
      <c r="D840">
        <v>64.30796814</v>
      </c>
      <c r="E840">
        <v>50</v>
      </c>
      <c r="F840">
        <v>49.889118195000002</v>
      </c>
      <c r="G840">
        <v>1334.2325439000001</v>
      </c>
      <c r="H840">
        <v>1332.9293213000001</v>
      </c>
      <c r="I840">
        <v>1329.4172363</v>
      </c>
      <c r="J840">
        <v>1328.8590088000001</v>
      </c>
      <c r="K840">
        <v>550</v>
      </c>
      <c r="L840">
        <v>0</v>
      </c>
      <c r="M840">
        <v>0</v>
      </c>
      <c r="N840">
        <v>550</v>
      </c>
    </row>
    <row r="841" spans="1:14" x14ac:dyDescent="0.25">
      <c r="A841">
        <v>731.50981400000001</v>
      </c>
      <c r="B841" s="1">
        <f>DATE(2012,5,1) + TIME(12,14,7)</f>
        <v>41030.50980324074</v>
      </c>
      <c r="C841">
        <v>80</v>
      </c>
      <c r="D841">
        <v>64.987617493000002</v>
      </c>
      <c r="E841">
        <v>50</v>
      </c>
      <c r="F841">
        <v>49.882892609000002</v>
      </c>
      <c r="G841">
        <v>1334.265625</v>
      </c>
      <c r="H841">
        <v>1332.9542236</v>
      </c>
      <c r="I841">
        <v>1329.4163818</v>
      </c>
      <c r="J841">
        <v>1328.8566894999999</v>
      </c>
      <c r="K841">
        <v>550</v>
      </c>
      <c r="L841">
        <v>0</v>
      </c>
      <c r="M841">
        <v>0</v>
      </c>
      <c r="N841">
        <v>550</v>
      </c>
    </row>
    <row r="842" spans="1:14" x14ac:dyDescent="0.25">
      <c r="A842">
        <v>731.59986300000003</v>
      </c>
      <c r="B842" s="1">
        <f>DATE(2012,5,1) + TIME(14,23,48)</f>
        <v>41030.599861111114</v>
      </c>
      <c r="C842">
        <v>80</v>
      </c>
      <c r="D842">
        <v>65.662284850999995</v>
      </c>
      <c r="E842">
        <v>50</v>
      </c>
      <c r="F842">
        <v>49.876548767000003</v>
      </c>
      <c r="G842">
        <v>1334.3004149999999</v>
      </c>
      <c r="H842">
        <v>1332.9803466999999</v>
      </c>
      <c r="I842">
        <v>1329.4155272999999</v>
      </c>
      <c r="J842">
        <v>1328.8544922000001</v>
      </c>
      <c r="K842">
        <v>550</v>
      </c>
      <c r="L842">
        <v>0</v>
      </c>
      <c r="M842">
        <v>0</v>
      </c>
      <c r="N842">
        <v>550</v>
      </c>
    </row>
    <row r="843" spans="1:14" x14ac:dyDescent="0.25">
      <c r="A843">
        <v>731.692046</v>
      </c>
      <c r="B843" s="1">
        <f>DATE(2012,5,1) + TIME(16,36,32)</f>
        <v>41030.692037037035</v>
      </c>
      <c r="C843">
        <v>80</v>
      </c>
      <c r="D843">
        <v>66.331230164000004</v>
      </c>
      <c r="E843">
        <v>50</v>
      </c>
      <c r="F843">
        <v>49.870079040999997</v>
      </c>
      <c r="G843">
        <v>1334.3369141000001</v>
      </c>
      <c r="H843">
        <v>1333.0074463000001</v>
      </c>
      <c r="I843">
        <v>1329.4146728999999</v>
      </c>
      <c r="J843">
        <v>1328.8521728999999</v>
      </c>
      <c r="K843">
        <v>550</v>
      </c>
      <c r="L843">
        <v>0</v>
      </c>
      <c r="M843">
        <v>0</v>
      </c>
      <c r="N843">
        <v>550</v>
      </c>
    </row>
    <row r="844" spans="1:14" x14ac:dyDescent="0.25">
      <c r="A844">
        <v>731.78646000000003</v>
      </c>
      <c r="B844" s="1">
        <f>DATE(2012,5,1) + TIME(18,52,30)</f>
        <v>41030.786458333336</v>
      </c>
      <c r="C844">
        <v>80</v>
      </c>
      <c r="D844">
        <v>66.993705750000004</v>
      </c>
      <c r="E844">
        <v>50</v>
      </c>
      <c r="F844">
        <v>49.863479613999999</v>
      </c>
      <c r="G844">
        <v>1334.3751221</v>
      </c>
      <c r="H844">
        <v>1333.0356445</v>
      </c>
      <c r="I844">
        <v>1329.4138184000001</v>
      </c>
      <c r="J844">
        <v>1328.8497314000001</v>
      </c>
      <c r="K844">
        <v>550</v>
      </c>
      <c r="L844">
        <v>0</v>
      </c>
      <c r="M844">
        <v>0</v>
      </c>
      <c r="N844">
        <v>550</v>
      </c>
    </row>
    <row r="845" spans="1:14" x14ac:dyDescent="0.25">
      <c r="A845">
        <v>731.88321399999995</v>
      </c>
      <c r="B845" s="1">
        <f>DATE(2012,5,1) + TIME(21,11,49)</f>
        <v>41030.883206018516</v>
      </c>
      <c r="C845">
        <v>80</v>
      </c>
      <c r="D845">
        <v>67.648902892999999</v>
      </c>
      <c r="E845">
        <v>50</v>
      </c>
      <c r="F845">
        <v>49.856742859000001</v>
      </c>
      <c r="G845">
        <v>1334.4149170000001</v>
      </c>
      <c r="H845">
        <v>1333.0648193</v>
      </c>
      <c r="I845">
        <v>1329.4128418</v>
      </c>
      <c r="J845">
        <v>1328.8474120999999</v>
      </c>
      <c r="K845">
        <v>550</v>
      </c>
      <c r="L845">
        <v>0</v>
      </c>
      <c r="M845">
        <v>0</v>
      </c>
      <c r="N845">
        <v>550</v>
      </c>
    </row>
    <row r="846" spans="1:14" x14ac:dyDescent="0.25">
      <c r="A846">
        <v>731.98242200000004</v>
      </c>
      <c r="B846" s="1">
        <f>DATE(2012,5,1) + TIME(23,34,41)</f>
        <v>41030.982418981483</v>
      </c>
      <c r="C846">
        <v>80</v>
      </c>
      <c r="D846">
        <v>68.295989989999995</v>
      </c>
      <c r="E846">
        <v>50</v>
      </c>
      <c r="F846">
        <v>49.849864959999998</v>
      </c>
      <c r="G846">
        <v>1334.4561768000001</v>
      </c>
      <c r="H846">
        <v>1333.0949707</v>
      </c>
      <c r="I846">
        <v>1329.4119873</v>
      </c>
      <c r="J846">
        <v>1328.8449707</v>
      </c>
      <c r="K846">
        <v>550</v>
      </c>
      <c r="L846">
        <v>0</v>
      </c>
      <c r="M846">
        <v>0</v>
      </c>
      <c r="N846">
        <v>550</v>
      </c>
    </row>
    <row r="847" spans="1:14" x14ac:dyDescent="0.25">
      <c r="A847">
        <v>732.08420999999998</v>
      </c>
      <c r="B847" s="1">
        <f>DATE(2012,5,2) + TIME(2,1,15)</f>
        <v>41031.084201388891</v>
      </c>
      <c r="C847">
        <v>80</v>
      </c>
      <c r="D847">
        <v>68.934051514000004</v>
      </c>
      <c r="E847">
        <v>50</v>
      </c>
      <c r="F847">
        <v>49.842838286999999</v>
      </c>
      <c r="G847">
        <v>1334.4989014</v>
      </c>
      <c r="H847">
        <v>1333.1259766000001</v>
      </c>
      <c r="I847">
        <v>1329.4111327999999</v>
      </c>
      <c r="J847">
        <v>1328.8424072</v>
      </c>
      <c r="K847">
        <v>550</v>
      </c>
      <c r="L847">
        <v>0</v>
      </c>
      <c r="M847">
        <v>0</v>
      </c>
      <c r="N847">
        <v>550</v>
      </c>
    </row>
    <row r="848" spans="1:14" x14ac:dyDescent="0.25">
      <c r="A848">
        <v>732.188715</v>
      </c>
      <c r="B848" s="1">
        <f>DATE(2012,5,2) + TIME(4,31,44)</f>
        <v>41031.188703703701</v>
      </c>
      <c r="C848">
        <v>80</v>
      </c>
      <c r="D848">
        <v>69.562141417999996</v>
      </c>
      <c r="E848">
        <v>50</v>
      </c>
      <c r="F848">
        <v>49.835655211999999</v>
      </c>
      <c r="G848">
        <v>1334.5428466999999</v>
      </c>
      <c r="H848">
        <v>1333.1578368999999</v>
      </c>
      <c r="I848">
        <v>1329.4102783000001</v>
      </c>
      <c r="J848">
        <v>1328.8398437999999</v>
      </c>
      <c r="K848">
        <v>550</v>
      </c>
      <c r="L848">
        <v>0</v>
      </c>
      <c r="M848">
        <v>0</v>
      </c>
      <c r="N848">
        <v>550</v>
      </c>
    </row>
    <row r="849" spans="1:14" x14ac:dyDescent="0.25">
      <c r="A849">
        <v>732.29608199999996</v>
      </c>
      <c r="B849" s="1">
        <f>DATE(2012,5,2) + TIME(7,6,21)</f>
        <v>41031.296076388891</v>
      </c>
      <c r="C849">
        <v>80</v>
      </c>
      <c r="D849">
        <v>70.179130553999997</v>
      </c>
      <c r="E849">
        <v>50</v>
      </c>
      <c r="F849">
        <v>49.828308104999998</v>
      </c>
      <c r="G849">
        <v>1334.5880127</v>
      </c>
      <c r="H849">
        <v>1333.1904297000001</v>
      </c>
      <c r="I849">
        <v>1329.4093018000001</v>
      </c>
      <c r="J849">
        <v>1328.8372803</v>
      </c>
      <c r="K849">
        <v>550</v>
      </c>
      <c r="L849">
        <v>0</v>
      </c>
      <c r="M849">
        <v>0</v>
      </c>
      <c r="N849">
        <v>550</v>
      </c>
    </row>
    <row r="850" spans="1:14" x14ac:dyDescent="0.25">
      <c r="A850">
        <v>732.40647200000001</v>
      </c>
      <c r="B850" s="1">
        <f>DATE(2012,5,2) + TIME(9,45,19)</f>
        <v>41031.406469907408</v>
      </c>
      <c r="C850">
        <v>80</v>
      </c>
      <c r="D850">
        <v>70.783798218000001</v>
      </c>
      <c r="E850">
        <v>50</v>
      </c>
      <c r="F850">
        <v>49.820789337000001</v>
      </c>
      <c r="G850">
        <v>1334.6342772999999</v>
      </c>
      <c r="H850">
        <v>1333.2237548999999</v>
      </c>
      <c r="I850">
        <v>1329.4084473</v>
      </c>
      <c r="J850">
        <v>1328.8347168</v>
      </c>
      <c r="K850">
        <v>550</v>
      </c>
      <c r="L850">
        <v>0</v>
      </c>
      <c r="M850">
        <v>0</v>
      </c>
      <c r="N850">
        <v>550</v>
      </c>
    </row>
    <row r="851" spans="1:14" x14ac:dyDescent="0.25">
      <c r="A851">
        <v>732.52006200000005</v>
      </c>
      <c r="B851" s="1">
        <f>DATE(2012,5,2) + TIME(12,28,53)</f>
        <v>41031.520057870373</v>
      </c>
      <c r="C851">
        <v>80</v>
      </c>
      <c r="D851">
        <v>71.375419617000006</v>
      </c>
      <c r="E851">
        <v>50</v>
      </c>
      <c r="F851">
        <v>49.813087463000002</v>
      </c>
      <c r="G851">
        <v>1334.6816406</v>
      </c>
      <c r="H851">
        <v>1333.2576904</v>
      </c>
      <c r="I851">
        <v>1329.4074707</v>
      </c>
      <c r="J851">
        <v>1328.8320312000001</v>
      </c>
      <c r="K851">
        <v>550</v>
      </c>
      <c r="L851">
        <v>0</v>
      </c>
      <c r="M851">
        <v>0</v>
      </c>
      <c r="N851">
        <v>550</v>
      </c>
    </row>
    <row r="852" spans="1:14" x14ac:dyDescent="0.25">
      <c r="A852">
        <v>732.63709500000004</v>
      </c>
      <c r="B852" s="1">
        <f>DATE(2012,5,2) + TIME(15,17,24)</f>
        <v>41031.637083333335</v>
      </c>
      <c r="C852">
        <v>80</v>
      </c>
      <c r="D852">
        <v>71.953170775999993</v>
      </c>
      <c r="E852">
        <v>50</v>
      </c>
      <c r="F852">
        <v>49.805194855000003</v>
      </c>
      <c r="G852">
        <v>1334.7298584</v>
      </c>
      <c r="H852">
        <v>1333.2922363</v>
      </c>
      <c r="I852">
        <v>1329.4064940999999</v>
      </c>
      <c r="J852">
        <v>1328.8292236</v>
      </c>
      <c r="K852">
        <v>550</v>
      </c>
      <c r="L852">
        <v>0</v>
      </c>
      <c r="M852">
        <v>0</v>
      </c>
      <c r="N852">
        <v>550</v>
      </c>
    </row>
    <row r="853" spans="1:14" x14ac:dyDescent="0.25">
      <c r="A853">
        <v>732.75774000000001</v>
      </c>
      <c r="B853" s="1">
        <f>DATE(2012,5,2) + TIME(18,11,8)</f>
        <v>41031.757731481484</v>
      </c>
      <c r="C853">
        <v>80</v>
      </c>
      <c r="D853">
        <v>72.515754700000002</v>
      </c>
      <c r="E853">
        <v>50</v>
      </c>
      <c r="F853">
        <v>49.797092438</v>
      </c>
      <c r="G853">
        <v>1334.7788086</v>
      </c>
      <c r="H853">
        <v>1333.3272704999999</v>
      </c>
      <c r="I853">
        <v>1329.4055175999999</v>
      </c>
      <c r="J853">
        <v>1328.8264160000001</v>
      </c>
      <c r="K853">
        <v>550</v>
      </c>
      <c r="L853">
        <v>0</v>
      </c>
      <c r="M853">
        <v>0</v>
      </c>
      <c r="N853">
        <v>550</v>
      </c>
    </row>
    <row r="854" spans="1:14" x14ac:dyDescent="0.25">
      <c r="A854">
        <v>732.88223000000005</v>
      </c>
      <c r="B854" s="1">
        <f>DATE(2012,5,2) + TIME(21,10,24)</f>
        <v>41031.882222222222</v>
      </c>
      <c r="C854">
        <v>80</v>
      </c>
      <c r="D854">
        <v>73.062126160000005</v>
      </c>
      <c r="E854">
        <v>50</v>
      </c>
      <c r="F854">
        <v>49.788780211999999</v>
      </c>
      <c r="G854">
        <v>1334.8286132999999</v>
      </c>
      <c r="H854">
        <v>1333.3626709</v>
      </c>
      <c r="I854">
        <v>1329.4045410000001</v>
      </c>
      <c r="J854">
        <v>1328.8236084</v>
      </c>
      <c r="K854">
        <v>550</v>
      </c>
      <c r="L854">
        <v>0</v>
      </c>
      <c r="M854">
        <v>0</v>
      </c>
      <c r="N854">
        <v>550</v>
      </c>
    </row>
    <row r="855" spans="1:14" x14ac:dyDescent="0.25">
      <c r="A855">
        <v>733.01082299999996</v>
      </c>
      <c r="B855" s="1">
        <f>DATE(2012,5,3) + TIME(0,15,35)</f>
        <v>41032.010821759257</v>
      </c>
      <c r="C855">
        <v>80</v>
      </c>
      <c r="D855">
        <v>73.591247558999996</v>
      </c>
      <c r="E855">
        <v>50</v>
      </c>
      <c r="F855">
        <v>49.780235290999997</v>
      </c>
      <c r="G855">
        <v>1334.8790283000001</v>
      </c>
      <c r="H855">
        <v>1333.3984375</v>
      </c>
      <c r="I855">
        <v>1329.4034423999999</v>
      </c>
      <c r="J855">
        <v>1328.8206786999999</v>
      </c>
      <c r="K855">
        <v>550</v>
      </c>
      <c r="L855">
        <v>0</v>
      </c>
      <c r="M855">
        <v>0</v>
      </c>
      <c r="N855">
        <v>550</v>
      </c>
    </row>
    <row r="856" spans="1:14" x14ac:dyDescent="0.25">
      <c r="A856">
        <v>733.14380900000003</v>
      </c>
      <c r="B856" s="1">
        <f>DATE(2012,5,3) + TIME(3,27,5)</f>
        <v>41032.143807870372</v>
      </c>
      <c r="C856">
        <v>80</v>
      </c>
      <c r="D856">
        <v>74.102119446000003</v>
      </c>
      <c r="E856">
        <v>50</v>
      </c>
      <c r="F856">
        <v>49.771446228000002</v>
      </c>
      <c r="G856">
        <v>1334.9299315999999</v>
      </c>
      <c r="H856">
        <v>1333.4345702999999</v>
      </c>
      <c r="I856">
        <v>1329.4024658000001</v>
      </c>
      <c r="J856">
        <v>1328.817749</v>
      </c>
      <c r="K856">
        <v>550</v>
      </c>
      <c r="L856">
        <v>0</v>
      </c>
      <c r="M856">
        <v>0</v>
      </c>
      <c r="N856">
        <v>550</v>
      </c>
    </row>
    <row r="857" spans="1:14" x14ac:dyDescent="0.25">
      <c r="A857">
        <v>733.28150800000003</v>
      </c>
      <c r="B857" s="1">
        <f>DATE(2012,5,3) + TIME(6,45,22)</f>
        <v>41032.281504629631</v>
      </c>
      <c r="C857">
        <v>80</v>
      </c>
      <c r="D857">
        <v>74.593788146999998</v>
      </c>
      <c r="E857">
        <v>50</v>
      </c>
      <c r="F857">
        <v>49.762397765999999</v>
      </c>
      <c r="G857">
        <v>1334.9812012</v>
      </c>
      <c r="H857">
        <v>1333.4708252</v>
      </c>
      <c r="I857">
        <v>1329.4013672000001</v>
      </c>
      <c r="J857">
        <v>1328.8146973</v>
      </c>
      <c r="K857">
        <v>550</v>
      </c>
      <c r="L857">
        <v>0</v>
      </c>
      <c r="M857">
        <v>0</v>
      </c>
      <c r="N857">
        <v>550</v>
      </c>
    </row>
    <row r="858" spans="1:14" x14ac:dyDescent="0.25">
      <c r="A858">
        <v>733.42428299999995</v>
      </c>
      <c r="B858" s="1">
        <f>DATE(2012,5,3) + TIME(10,10,58)</f>
        <v>41032.42428240741</v>
      </c>
      <c r="C858">
        <v>80</v>
      </c>
      <c r="D858">
        <v>75.065307617000002</v>
      </c>
      <c r="E858">
        <v>50</v>
      </c>
      <c r="F858">
        <v>49.753070831000002</v>
      </c>
      <c r="G858">
        <v>1335.0327147999999</v>
      </c>
      <c r="H858">
        <v>1333.5073242000001</v>
      </c>
      <c r="I858">
        <v>1329.4001464999999</v>
      </c>
      <c r="J858">
        <v>1328.8115233999999</v>
      </c>
      <c r="K858">
        <v>550</v>
      </c>
      <c r="L858">
        <v>0</v>
      </c>
      <c r="M858">
        <v>0</v>
      </c>
      <c r="N858">
        <v>550</v>
      </c>
    </row>
    <row r="859" spans="1:14" x14ac:dyDescent="0.25">
      <c r="A859">
        <v>733.57253900000001</v>
      </c>
      <c r="B859" s="1">
        <f>DATE(2012,5,3) + TIME(13,44,27)</f>
        <v>41032.572534722225</v>
      </c>
      <c r="C859">
        <v>80</v>
      </c>
      <c r="D859">
        <v>75.515594481999997</v>
      </c>
      <c r="E859">
        <v>50</v>
      </c>
      <c r="F859">
        <v>49.743442535</v>
      </c>
      <c r="G859">
        <v>1335.0844727000001</v>
      </c>
      <c r="H859">
        <v>1333.5438231999999</v>
      </c>
      <c r="I859">
        <v>1329.3990478999999</v>
      </c>
      <c r="J859">
        <v>1328.8083495999999</v>
      </c>
      <c r="K859">
        <v>550</v>
      </c>
      <c r="L859">
        <v>0</v>
      </c>
      <c r="M859">
        <v>0</v>
      </c>
      <c r="N859">
        <v>550</v>
      </c>
    </row>
    <row r="860" spans="1:14" x14ac:dyDescent="0.25">
      <c r="A860">
        <v>733.72673499999996</v>
      </c>
      <c r="B860" s="1">
        <f>DATE(2012,5,3) + TIME(17,26,29)</f>
        <v>41032.726724537039</v>
      </c>
      <c r="C860">
        <v>80</v>
      </c>
      <c r="D860">
        <v>75.944183350000003</v>
      </c>
      <c r="E860">
        <v>50</v>
      </c>
      <c r="F860">
        <v>49.733489990000002</v>
      </c>
      <c r="G860">
        <v>1335.1363524999999</v>
      </c>
      <c r="H860">
        <v>1333.5803223</v>
      </c>
      <c r="I860">
        <v>1329.3977050999999</v>
      </c>
      <c r="J860">
        <v>1328.8050536999999</v>
      </c>
      <c r="K860">
        <v>550</v>
      </c>
      <c r="L860">
        <v>0</v>
      </c>
      <c r="M860">
        <v>0</v>
      </c>
      <c r="N860">
        <v>550</v>
      </c>
    </row>
    <row r="861" spans="1:14" x14ac:dyDescent="0.25">
      <c r="A861">
        <v>733.88739399999997</v>
      </c>
      <c r="B861" s="1">
        <f>DATE(2012,5,3) + TIME(21,17,50)</f>
        <v>41032.887384259258</v>
      </c>
      <c r="C861">
        <v>80</v>
      </c>
      <c r="D861">
        <v>76.350433350000003</v>
      </c>
      <c r="E861">
        <v>50</v>
      </c>
      <c r="F861">
        <v>49.723190308</v>
      </c>
      <c r="G861">
        <v>1335.1882324000001</v>
      </c>
      <c r="H861">
        <v>1333.6166992000001</v>
      </c>
      <c r="I861">
        <v>1329.3964844</v>
      </c>
      <c r="J861">
        <v>1328.8016356999999</v>
      </c>
      <c r="K861">
        <v>550</v>
      </c>
      <c r="L861">
        <v>0</v>
      </c>
      <c r="M861">
        <v>0</v>
      </c>
      <c r="N861">
        <v>550</v>
      </c>
    </row>
    <row r="862" spans="1:14" x14ac:dyDescent="0.25">
      <c r="A862">
        <v>734.05518300000006</v>
      </c>
      <c r="B862" s="1">
        <f>DATE(2012,5,4) + TIME(1,19,27)</f>
        <v>41033.055173611108</v>
      </c>
      <c r="C862">
        <v>80</v>
      </c>
      <c r="D862">
        <v>76.733947753999999</v>
      </c>
      <c r="E862">
        <v>50</v>
      </c>
      <c r="F862">
        <v>49.712501525999997</v>
      </c>
      <c r="G862">
        <v>1335.2398682</v>
      </c>
      <c r="H862">
        <v>1333.6529541</v>
      </c>
      <c r="I862">
        <v>1329.3951416</v>
      </c>
      <c r="J862">
        <v>1328.7980957</v>
      </c>
      <c r="K862">
        <v>550</v>
      </c>
      <c r="L862">
        <v>0</v>
      </c>
      <c r="M862">
        <v>0</v>
      </c>
      <c r="N862">
        <v>550</v>
      </c>
    </row>
    <row r="863" spans="1:14" x14ac:dyDescent="0.25">
      <c r="A863">
        <v>734.23078499999997</v>
      </c>
      <c r="B863" s="1">
        <f>DATE(2012,5,4) + TIME(5,32,19)</f>
        <v>41033.230775462966</v>
      </c>
      <c r="C863">
        <v>80</v>
      </c>
      <c r="D863">
        <v>77.094238281000003</v>
      </c>
      <c r="E863">
        <v>50</v>
      </c>
      <c r="F863">
        <v>49.701396942000002</v>
      </c>
      <c r="G863">
        <v>1335.2913818</v>
      </c>
      <c r="H863">
        <v>1333.6889647999999</v>
      </c>
      <c r="I863">
        <v>1329.3936768000001</v>
      </c>
      <c r="J863">
        <v>1328.7945557</v>
      </c>
      <c r="K863">
        <v>550</v>
      </c>
      <c r="L863">
        <v>0</v>
      </c>
      <c r="M863">
        <v>0</v>
      </c>
      <c r="N863">
        <v>550</v>
      </c>
    </row>
    <row r="864" spans="1:14" x14ac:dyDescent="0.25">
      <c r="A864">
        <v>734.41416400000003</v>
      </c>
      <c r="B864" s="1">
        <f>DATE(2012,5,4) + TIME(9,56,23)</f>
        <v>41033.414155092592</v>
      </c>
      <c r="C864">
        <v>80</v>
      </c>
      <c r="D864">
        <v>77.429611206000004</v>
      </c>
      <c r="E864">
        <v>50</v>
      </c>
      <c r="F864">
        <v>49.689884186</v>
      </c>
      <c r="G864">
        <v>1335.3424072</v>
      </c>
      <c r="H864">
        <v>1333.7247314000001</v>
      </c>
      <c r="I864">
        <v>1329.3922118999999</v>
      </c>
      <c r="J864">
        <v>1328.7907714999999</v>
      </c>
      <c r="K864">
        <v>550</v>
      </c>
      <c r="L864">
        <v>0</v>
      </c>
      <c r="M864">
        <v>0</v>
      </c>
      <c r="N864">
        <v>550</v>
      </c>
    </row>
    <row r="865" spans="1:14" x14ac:dyDescent="0.25">
      <c r="A865">
        <v>734.60557900000003</v>
      </c>
      <c r="B865" s="1">
        <f>DATE(2012,5,4) + TIME(14,32,1)</f>
        <v>41033.605567129627</v>
      </c>
      <c r="C865">
        <v>80</v>
      </c>
      <c r="D865">
        <v>77.739410399999997</v>
      </c>
      <c r="E865">
        <v>50</v>
      </c>
      <c r="F865">
        <v>49.677955627000003</v>
      </c>
      <c r="G865">
        <v>1335.3929443</v>
      </c>
      <c r="H865">
        <v>1333.7598877</v>
      </c>
      <c r="I865">
        <v>1329.390625</v>
      </c>
      <c r="J865">
        <v>1328.7869873</v>
      </c>
      <c r="K865">
        <v>550</v>
      </c>
      <c r="L865">
        <v>0</v>
      </c>
      <c r="M865">
        <v>0</v>
      </c>
      <c r="N865">
        <v>550</v>
      </c>
    </row>
    <row r="866" spans="1:14" x14ac:dyDescent="0.25">
      <c r="A866">
        <v>734.80565300000001</v>
      </c>
      <c r="B866" s="1">
        <f>DATE(2012,5,4) + TIME(19,20,8)</f>
        <v>41033.805648148147</v>
      </c>
      <c r="C866">
        <v>80</v>
      </c>
      <c r="D866">
        <v>78.023773192999997</v>
      </c>
      <c r="E866">
        <v>50</v>
      </c>
      <c r="F866">
        <v>49.665584564</v>
      </c>
      <c r="G866">
        <v>1335.4425048999999</v>
      </c>
      <c r="H866">
        <v>1333.7944336</v>
      </c>
      <c r="I866">
        <v>1329.3890381000001</v>
      </c>
      <c r="J866">
        <v>1328.7829589999999</v>
      </c>
      <c r="K866">
        <v>550</v>
      </c>
      <c r="L866">
        <v>0</v>
      </c>
      <c r="M866">
        <v>0</v>
      </c>
      <c r="N866">
        <v>550</v>
      </c>
    </row>
    <row r="867" spans="1:14" x14ac:dyDescent="0.25">
      <c r="A867">
        <v>735.01507900000001</v>
      </c>
      <c r="B867" s="1">
        <f>DATE(2012,5,5) + TIME(0,21,42)</f>
        <v>41034.015069444446</v>
      </c>
      <c r="C867">
        <v>80</v>
      </c>
      <c r="D867">
        <v>78.283035278</v>
      </c>
      <c r="E867">
        <v>50</v>
      </c>
      <c r="F867">
        <v>49.652736664000003</v>
      </c>
      <c r="G867">
        <v>1335.4908447</v>
      </c>
      <c r="H867">
        <v>1333.828125</v>
      </c>
      <c r="I867">
        <v>1329.387207</v>
      </c>
      <c r="J867">
        <v>1328.7789307</v>
      </c>
      <c r="K867">
        <v>550</v>
      </c>
      <c r="L867">
        <v>0</v>
      </c>
      <c r="M867">
        <v>0</v>
      </c>
      <c r="N867">
        <v>550</v>
      </c>
    </row>
    <row r="868" spans="1:14" x14ac:dyDescent="0.25">
      <c r="A868">
        <v>735.234645</v>
      </c>
      <c r="B868" s="1">
        <f>DATE(2012,5,5) + TIME(5,37,53)</f>
        <v>41034.2346412037</v>
      </c>
      <c r="C868">
        <v>80</v>
      </c>
      <c r="D868">
        <v>78.517730713000006</v>
      </c>
      <c r="E868">
        <v>50</v>
      </c>
      <c r="F868">
        <v>49.639381409000002</v>
      </c>
      <c r="G868">
        <v>1335.5380858999999</v>
      </c>
      <c r="H868">
        <v>1333.8609618999999</v>
      </c>
      <c r="I868">
        <v>1329.385376</v>
      </c>
      <c r="J868">
        <v>1328.7746582</v>
      </c>
      <c r="K868">
        <v>550</v>
      </c>
      <c r="L868">
        <v>0</v>
      </c>
      <c r="M868">
        <v>0</v>
      </c>
      <c r="N868">
        <v>550</v>
      </c>
    </row>
    <row r="869" spans="1:14" x14ac:dyDescent="0.25">
      <c r="A869">
        <v>735.46524099999999</v>
      </c>
      <c r="B869" s="1">
        <f>DATE(2012,5,5) + TIME(11,9,56)</f>
        <v>41034.465231481481</v>
      </c>
      <c r="C869">
        <v>80</v>
      </c>
      <c r="D869">
        <v>78.728607178000004</v>
      </c>
      <c r="E869">
        <v>50</v>
      </c>
      <c r="F869">
        <v>49.625476837000001</v>
      </c>
      <c r="G869">
        <v>1335.5838623</v>
      </c>
      <c r="H869">
        <v>1333.8928223</v>
      </c>
      <c r="I869">
        <v>1329.3834228999999</v>
      </c>
      <c r="J869">
        <v>1328.7703856999999</v>
      </c>
      <c r="K869">
        <v>550</v>
      </c>
      <c r="L869">
        <v>0</v>
      </c>
      <c r="M869">
        <v>0</v>
      </c>
      <c r="N869">
        <v>550</v>
      </c>
    </row>
    <row r="870" spans="1:14" x14ac:dyDescent="0.25">
      <c r="A870">
        <v>735.70786999999996</v>
      </c>
      <c r="B870" s="1">
        <f>DATE(2012,5,5) + TIME(16,59,19)</f>
        <v>41034.707858796297</v>
      </c>
      <c r="C870">
        <v>80</v>
      </c>
      <c r="D870">
        <v>78.916465759000005</v>
      </c>
      <c r="E870">
        <v>50</v>
      </c>
      <c r="F870">
        <v>49.610977173000002</v>
      </c>
      <c r="G870">
        <v>1335.6248779</v>
      </c>
      <c r="H870">
        <v>1333.9213867000001</v>
      </c>
      <c r="I870">
        <v>1329.3812256000001</v>
      </c>
      <c r="J870">
        <v>1328.7657471</v>
      </c>
      <c r="K870">
        <v>550</v>
      </c>
      <c r="L870">
        <v>0</v>
      </c>
      <c r="M870">
        <v>0</v>
      </c>
      <c r="N870">
        <v>550</v>
      </c>
    </row>
    <row r="871" spans="1:14" x14ac:dyDescent="0.25">
      <c r="A871">
        <v>735.96416799999997</v>
      </c>
      <c r="B871" s="1">
        <f>DATE(2012,5,5) + TIME(23,8,24)</f>
        <v>41034.964166666665</v>
      </c>
      <c r="C871">
        <v>80</v>
      </c>
      <c r="D871">
        <v>79.082687378000003</v>
      </c>
      <c r="E871">
        <v>50</v>
      </c>
      <c r="F871">
        <v>49.595813751000001</v>
      </c>
      <c r="G871">
        <v>1335.6641846</v>
      </c>
      <c r="H871">
        <v>1333.9488524999999</v>
      </c>
      <c r="I871">
        <v>1329.3789062000001</v>
      </c>
      <c r="J871">
        <v>1328.7611084</v>
      </c>
      <c r="K871">
        <v>550</v>
      </c>
      <c r="L871">
        <v>0</v>
      </c>
      <c r="M871">
        <v>0</v>
      </c>
      <c r="N871">
        <v>550</v>
      </c>
    </row>
    <row r="872" spans="1:14" x14ac:dyDescent="0.25">
      <c r="A872">
        <v>736.23569499999996</v>
      </c>
      <c r="B872" s="1">
        <f>DATE(2012,5,6) + TIME(5,39,24)</f>
        <v>41035.235694444447</v>
      </c>
      <c r="C872">
        <v>80</v>
      </c>
      <c r="D872">
        <v>79.228500366000006</v>
      </c>
      <c r="E872">
        <v>50</v>
      </c>
      <c r="F872">
        <v>49.579906463999997</v>
      </c>
      <c r="G872">
        <v>1335.7019043</v>
      </c>
      <c r="H872">
        <v>1333.9752197</v>
      </c>
      <c r="I872">
        <v>1329.3764647999999</v>
      </c>
      <c r="J872">
        <v>1328.7562256000001</v>
      </c>
      <c r="K872">
        <v>550</v>
      </c>
      <c r="L872">
        <v>0</v>
      </c>
      <c r="M872">
        <v>0</v>
      </c>
      <c r="N872">
        <v>550</v>
      </c>
    </row>
    <row r="873" spans="1:14" x14ac:dyDescent="0.25">
      <c r="A873">
        <v>736.51742400000001</v>
      </c>
      <c r="B873" s="1">
        <f>DATE(2012,5,6) + TIME(12,25,5)</f>
        <v>41035.517418981479</v>
      </c>
      <c r="C873">
        <v>80</v>
      </c>
      <c r="D873">
        <v>79.352684021000002</v>
      </c>
      <c r="E873">
        <v>50</v>
      </c>
      <c r="F873">
        <v>49.563556671000001</v>
      </c>
      <c r="G873">
        <v>1335.7337646000001</v>
      </c>
      <c r="H873">
        <v>1333.9975586</v>
      </c>
      <c r="I873">
        <v>1329.3736572</v>
      </c>
      <c r="J873">
        <v>1328.7510986</v>
      </c>
      <c r="K873">
        <v>550</v>
      </c>
      <c r="L873">
        <v>0</v>
      </c>
      <c r="M873">
        <v>0</v>
      </c>
      <c r="N873">
        <v>550</v>
      </c>
    </row>
    <row r="874" spans="1:14" x14ac:dyDescent="0.25">
      <c r="A874">
        <v>736.80440799999997</v>
      </c>
      <c r="B874" s="1">
        <f>DATE(2012,5,6) + TIME(19,18,20)</f>
        <v>41035.804398148146</v>
      </c>
      <c r="C874">
        <v>80</v>
      </c>
      <c r="D874">
        <v>79.456039429</v>
      </c>
      <c r="E874">
        <v>50</v>
      </c>
      <c r="F874">
        <v>49.547046661000003</v>
      </c>
      <c r="G874">
        <v>1335.7634277</v>
      </c>
      <c r="H874">
        <v>1334.0184326000001</v>
      </c>
      <c r="I874">
        <v>1329.3708495999999</v>
      </c>
      <c r="J874">
        <v>1328.7458495999999</v>
      </c>
      <c r="K874">
        <v>550</v>
      </c>
      <c r="L874">
        <v>0</v>
      </c>
      <c r="M874">
        <v>0</v>
      </c>
      <c r="N874">
        <v>550</v>
      </c>
    </row>
    <row r="875" spans="1:14" x14ac:dyDescent="0.25">
      <c r="A875">
        <v>737.09846900000002</v>
      </c>
      <c r="B875" s="1">
        <f>DATE(2012,5,7) + TIME(2,21,47)</f>
        <v>41036.098460648151</v>
      </c>
      <c r="C875">
        <v>80</v>
      </c>
      <c r="D875">
        <v>79.542083739999995</v>
      </c>
      <c r="E875">
        <v>50</v>
      </c>
      <c r="F875">
        <v>49.530281066999997</v>
      </c>
      <c r="G875">
        <v>1335.7902832</v>
      </c>
      <c r="H875">
        <v>1334.0374756000001</v>
      </c>
      <c r="I875">
        <v>1329.3680420000001</v>
      </c>
      <c r="J875">
        <v>1328.7406006000001</v>
      </c>
      <c r="K875">
        <v>550</v>
      </c>
      <c r="L875">
        <v>0</v>
      </c>
      <c r="M875">
        <v>0</v>
      </c>
      <c r="N875">
        <v>550</v>
      </c>
    </row>
    <row r="876" spans="1:14" x14ac:dyDescent="0.25">
      <c r="A876">
        <v>737.40111000000002</v>
      </c>
      <c r="B876" s="1">
        <f>DATE(2012,5,7) + TIME(9,37,35)</f>
        <v>41036.401099537034</v>
      </c>
      <c r="C876">
        <v>80</v>
      </c>
      <c r="D876">
        <v>79.613578795999999</v>
      </c>
      <c r="E876">
        <v>50</v>
      </c>
      <c r="F876">
        <v>49.513179778999998</v>
      </c>
      <c r="G876">
        <v>1335.8140868999999</v>
      </c>
      <c r="H876">
        <v>1334.0545654</v>
      </c>
      <c r="I876">
        <v>1329.3649902</v>
      </c>
      <c r="J876">
        <v>1328.7353516000001</v>
      </c>
      <c r="K876">
        <v>550</v>
      </c>
      <c r="L876">
        <v>0</v>
      </c>
      <c r="M876">
        <v>0</v>
      </c>
      <c r="N876">
        <v>550</v>
      </c>
    </row>
    <row r="877" spans="1:14" x14ac:dyDescent="0.25">
      <c r="A877">
        <v>737.71304299999997</v>
      </c>
      <c r="B877" s="1">
        <f>DATE(2012,5,7) + TIME(17,6,46)</f>
        <v>41036.71303240741</v>
      </c>
      <c r="C877">
        <v>80</v>
      </c>
      <c r="D877">
        <v>79.672645568999997</v>
      </c>
      <c r="E877">
        <v>50</v>
      </c>
      <c r="F877">
        <v>49.495719909999998</v>
      </c>
      <c r="G877">
        <v>1335.8317870999999</v>
      </c>
      <c r="H877">
        <v>1334.0675048999999</v>
      </c>
      <c r="I877">
        <v>1329.3618164</v>
      </c>
      <c r="J877">
        <v>1328.7299805</v>
      </c>
      <c r="K877">
        <v>550</v>
      </c>
      <c r="L877">
        <v>0</v>
      </c>
      <c r="M877">
        <v>0</v>
      </c>
      <c r="N877">
        <v>550</v>
      </c>
    </row>
    <row r="878" spans="1:14" x14ac:dyDescent="0.25">
      <c r="A878">
        <v>738.02759400000002</v>
      </c>
      <c r="B878" s="1">
        <f>DATE(2012,5,8) + TIME(0,39,44)</f>
        <v>41037.027592592596</v>
      </c>
      <c r="C878">
        <v>80</v>
      </c>
      <c r="D878">
        <v>79.720314025999997</v>
      </c>
      <c r="E878">
        <v>50</v>
      </c>
      <c r="F878">
        <v>49.478256225999999</v>
      </c>
      <c r="G878">
        <v>1335.8477783000001</v>
      </c>
      <c r="H878">
        <v>1334.0793457</v>
      </c>
      <c r="I878">
        <v>1329.3586425999999</v>
      </c>
      <c r="J878">
        <v>1328.7244873</v>
      </c>
      <c r="K878">
        <v>550</v>
      </c>
      <c r="L878">
        <v>0</v>
      </c>
      <c r="M878">
        <v>0</v>
      </c>
      <c r="N878">
        <v>550</v>
      </c>
    </row>
    <row r="879" spans="1:14" x14ac:dyDescent="0.25">
      <c r="A879">
        <v>738.34591399999999</v>
      </c>
      <c r="B879" s="1">
        <f>DATE(2012,5,8) + TIME(8,18,6)</f>
        <v>41037.345902777779</v>
      </c>
      <c r="C879">
        <v>80</v>
      </c>
      <c r="D879">
        <v>79.758842467999997</v>
      </c>
      <c r="E879">
        <v>50</v>
      </c>
      <c r="F879">
        <v>49.460727691999999</v>
      </c>
      <c r="G879">
        <v>1335.8619385</v>
      </c>
      <c r="H879">
        <v>1334.0899658000001</v>
      </c>
      <c r="I879">
        <v>1329.3553466999999</v>
      </c>
      <c r="J879">
        <v>1328.7189940999999</v>
      </c>
      <c r="K879">
        <v>550</v>
      </c>
      <c r="L879">
        <v>0</v>
      </c>
      <c r="M879">
        <v>0</v>
      </c>
      <c r="N879">
        <v>550</v>
      </c>
    </row>
    <row r="880" spans="1:14" x14ac:dyDescent="0.25">
      <c r="A880">
        <v>738.66864399999997</v>
      </c>
      <c r="B880" s="1">
        <f>DATE(2012,5,8) + TIME(16,2,50)</f>
        <v>41037.668634259258</v>
      </c>
      <c r="C880">
        <v>80</v>
      </c>
      <c r="D880">
        <v>79.789962768999999</v>
      </c>
      <c r="E880">
        <v>50</v>
      </c>
      <c r="F880">
        <v>49.443099975999999</v>
      </c>
      <c r="G880">
        <v>1335.8743896000001</v>
      </c>
      <c r="H880">
        <v>1334.0994873</v>
      </c>
      <c r="I880">
        <v>1329.3520507999999</v>
      </c>
      <c r="J880">
        <v>1328.7136230000001</v>
      </c>
      <c r="K880">
        <v>550</v>
      </c>
      <c r="L880">
        <v>0</v>
      </c>
      <c r="M880">
        <v>0</v>
      </c>
      <c r="N880">
        <v>550</v>
      </c>
    </row>
    <row r="881" spans="1:14" x14ac:dyDescent="0.25">
      <c r="A881">
        <v>738.99659599999995</v>
      </c>
      <c r="B881" s="1">
        <f>DATE(2012,5,8) + TIME(23,55,5)</f>
        <v>41037.99658564815</v>
      </c>
      <c r="C881">
        <v>80</v>
      </c>
      <c r="D881">
        <v>79.815109253000003</v>
      </c>
      <c r="E881">
        <v>50</v>
      </c>
      <c r="F881">
        <v>49.425334929999998</v>
      </c>
      <c r="G881">
        <v>1335.8851318</v>
      </c>
      <c r="H881">
        <v>1334.1080322</v>
      </c>
      <c r="I881">
        <v>1329.3487548999999</v>
      </c>
      <c r="J881">
        <v>1328.7081298999999</v>
      </c>
      <c r="K881">
        <v>550</v>
      </c>
      <c r="L881">
        <v>0</v>
      </c>
      <c r="M881">
        <v>0</v>
      </c>
      <c r="N881">
        <v>550</v>
      </c>
    </row>
    <row r="882" spans="1:14" x14ac:dyDescent="0.25">
      <c r="A882">
        <v>739.33061299999997</v>
      </c>
      <c r="B882" s="1">
        <f>DATE(2012,5,9) + TIME(7,56,4)</f>
        <v>41038.330601851849</v>
      </c>
      <c r="C882">
        <v>80</v>
      </c>
      <c r="D882">
        <v>79.835418700999995</v>
      </c>
      <c r="E882">
        <v>50</v>
      </c>
      <c r="F882">
        <v>49.407394408999998</v>
      </c>
      <c r="G882">
        <v>1335.8945312000001</v>
      </c>
      <c r="H882">
        <v>1334.1156006000001</v>
      </c>
      <c r="I882">
        <v>1329.3453368999999</v>
      </c>
      <c r="J882">
        <v>1328.7025146000001</v>
      </c>
      <c r="K882">
        <v>550</v>
      </c>
      <c r="L882">
        <v>0</v>
      </c>
      <c r="M882">
        <v>0</v>
      </c>
      <c r="N882">
        <v>550</v>
      </c>
    </row>
    <row r="883" spans="1:14" x14ac:dyDescent="0.25">
      <c r="A883">
        <v>739.67160799999999</v>
      </c>
      <c r="B883" s="1">
        <f>DATE(2012,5,9) + TIME(16,7,6)</f>
        <v>41038.671597222223</v>
      </c>
      <c r="C883">
        <v>80</v>
      </c>
      <c r="D883">
        <v>79.851806640999996</v>
      </c>
      <c r="E883">
        <v>50</v>
      </c>
      <c r="F883">
        <v>49.389228821000003</v>
      </c>
      <c r="G883">
        <v>1335.9017334</v>
      </c>
      <c r="H883">
        <v>1334.1219481999999</v>
      </c>
      <c r="I883">
        <v>1329.3419189000001</v>
      </c>
      <c r="J883">
        <v>1328.6968993999999</v>
      </c>
      <c r="K883">
        <v>550</v>
      </c>
      <c r="L883">
        <v>0</v>
      </c>
      <c r="M883">
        <v>0</v>
      </c>
      <c r="N883">
        <v>550</v>
      </c>
    </row>
    <row r="884" spans="1:14" x14ac:dyDescent="0.25">
      <c r="A884">
        <v>740.020667</v>
      </c>
      <c r="B884" s="1">
        <f>DATE(2012,5,10) + TIME(0,29,45)</f>
        <v>41039.02065972222</v>
      </c>
      <c r="C884">
        <v>80</v>
      </c>
      <c r="D884">
        <v>79.865013122999997</v>
      </c>
      <c r="E884">
        <v>50</v>
      </c>
      <c r="F884">
        <v>49.370796204000001</v>
      </c>
      <c r="G884">
        <v>1335.9057617000001</v>
      </c>
      <c r="H884">
        <v>1334.1260986</v>
      </c>
      <c r="I884">
        <v>1329.3383789</v>
      </c>
      <c r="J884">
        <v>1328.6912841999999</v>
      </c>
      <c r="K884">
        <v>550</v>
      </c>
      <c r="L884">
        <v>0</v>
      </c>
      <c r="M884">
        <v>0</v>
      </c>
      <c r="N884">
        <v>550</v>
      </c>
    </row>
    <row r="885" spans="1:14" x14ac:dyDescent="0.25">
      <c r="A885">
        <v>740.37917100000004</v>
      </c>
      <c r="B885" s="1">
        <f>DATE(2012,5,10) + TIME(9,6,0)</f>
        <v>41039.379166666666</v>
      </c>
      <c r="C885">
        <v>80</v>
      </c>
      <c r="D885">
        <v>79.875656128000003</v>
      </c>
      <c r="E885">
        <v>50</v>
      </c>
      <c r="F885">
        <v>49.352027892999999</v>
      </c>
      <c r="G885">
        <v>1335.9089355000001</v>
      </c>
      <c r="H885">
        <v>1334.1297606999999</v>
      </c>
      <c r="I885">
        <v>1329.3348389</v>
      </c>
      <c r="J885">
        <v>1328.6855469</v>
      </c>
      <c r="K885">
        <v>550</v>
      </c>
      <c r="L885">
        <v>0</v>
      </c>
      <c r="M885">
        <v>0</v>
      </c>
      <c r="N885">
        <v>550</v>
      </c>
    </row>
    <row r="886" spans="1:14" x14ac:dyDescent="0.25">
      <c r="A886">
        <v>740.74821699999995</v>
      </c>
      <c r="B886" s="1">
        <f>DATE(2012,5,10) + TIME(17,57,25)</f>
        <v>41039.748206018521</v>
      </c>
      <c r="C886">
        <v>80</v>
      </c>
      <c r="D886">
        <v>79.884223938000005</v>
      </c>
      <c r="E886">
        <v>50</v>
      </c>
      <c r="F886">
        <v>49.332881927000003</v>
      </c>
      <c r="G886">
        <v>1335.9113769999999</v>
      </c>
      <c r="H886">
        <v>1334.1329346</v>
      </c>
      <c r="I886">
        <v>1329.3311768000001</v>
      </c>
      <c r="J886">
        <v>1328.6796875</v>
      </c>
      <c r="K886">
        <v>550</v>
      </c>
      <c r="L886">
        <v>0</v>
      </c>
      <c r="M886">
        <v>0</v>
      </c>
      <c r="N886">
        <v>550</v>
      </c>
    </row>
    <row r="887" spans="1:14" x14ac:dyDescent="0.25">
      <c r="A887">
        <v>741.129053</v>
      </c>
      <c r="B887" s="1">
        <f>DATE(2012,5,11) + TIME(3,5,50)</f>
        <v>41040.129050925927</v>
      </c>
      <c r="C887">
        <v>80</v>
      </c>
      <c r="D887">
        <v>79.891105651999993</v>
      </c>
      <c r="E887">
        <v>50</v>
      </c>
      <c r="F887">
        <v>49.313301086000003</v>
      </c>
      <c r="G887">
        <v>1335.9130858999999</v>
      </c>
      <c r="H887">
        <v>1334.1357422000001</v>
      </c>
      <c r="I887">
        <v>1329.3273925999999</v>
      </c>
      <c r="J887">
        <v>1328.6738281</v>
      </c>
      <c r="K887">
        <v>550</v>
      </c>
      <c r="L887">
        <v>0</v>
      </c>
      <c r="M887">
        <v>0</v>
      </c>
      <c r="N887">
        <v>550</v>
      </c>
    </row>
    <row r="888" spans="1:14" x14ac:dyDescent="0.25">
      <c r="A888">
        <v>741.52429500000005</v>
      </c>
      <c r="B888" s="1">
        <f>DATE(2012,5,11) + TIME(12,34,59)</f>
        <v>41040.524293981478</v>
      </c>
      <c r="C888">
        <v>80</v>
      </c>
      <c r="D888">
        <v>79.896652222</v>
      </c>
      <c r="E888">
        <v>50</v>
      </c>
      <c r="F888">
        <v>49.293170928999999</v>
      </c>
      <c r="G888">
        <v>1335.9143065999999</v>
      </c>
      <c r="H888">
        <v>1334.1383057</v>
      </c>
      <c r="I888">
        <v>1329.3236084</v>
      </c>
      <c r="J888">
        <v>1328.6677245999999</v>
      </c>
      <c r="K888">
        <v>550</v>
      </c>
      <c r="L888">
        <v>0</v>
      </c>
      <c r="M888">
        <v>0</v>
      </c>
      <c r="N888">
        <v>550</v>
      </c>
    </row>
    <row r="889" spans="1:14" x14ac:dyDescent="0.25">
      <c r="A889">
        <v>741.93651</v>
      </c>
      <c r="B889" s="1">
        <f>DATE(2012,5,11) + TIME(22,28,34)</f>
        <v>41040.93650462963</v>
      </c>
      <c r="C889">
        <v>80</v>
      </c>
      <c r="D889">
        <v>79.901107788000004</v>
      </c>
      <c r="E889">
        <v>50</v>
      </c>
      <c r="F889">
        <v>49.272384643999999</v>
      </c>
      <c r="G889">
        <v>1335.9147949000001</v>
      </c>
      <c r="H889">
        <v>1334.1405029</v>
      </c>
      <c r="I889">
        <v>1329.3195800999999</v>
      </c>
      <c r="J889">
        <v>1328.6613769999999</v>
      </c>
      <c r="K889">
        <v>550</v>
      </c>
      <c r="L889">
        <v>0</v>
      </c>
      <c r="M889">
        <v>0</v>
      </c>
      <c r="N889">
        <v>550</v>
      </c>
    </row>
    <row r="890" spans="1:14" x14ac:dyDescent="0.25">
      <c r="A890">
        <v>742.36331600000005</v>
      </c>
      <c r="B890" s="1">
        <f>DATE(2012,5,12) + TIME(8,43,10)</f>
        <v>41041.363310185188</v>
      </c>
      <c r="C890">
        <v>80</v>
      </c>
      <c r="D890">
        <v>79.904655457000004</v>
      </c>
      <c r="E890">
        <v>50</v>
      </c>
      <c r="F890">
        <v>49.251064301</v>
      </c>
      <c r="G890">
        <v>1335.9149170000001</v>
      </c>
      <c r="H890">
        <v>1334.1423339999999</v>
      </c>
      <c r="I890">
        <v>1329.3155518000001</v>
      </c>
      <c r="J890">
        <v>1328.6549072</v>
      </c>
      <c r="K890">
        <v>550</v>
      </c>
      <c r="L890">
        <v>0</v>
      </c>
      <c r="M890">
        <v>0</v>
      </c>
      <c r="N890">
        <v>550</v>
      </c>
    </row>
    <row r="891" spans="1:14" x14ac:dyDescent="0.25">
      <c r="A891">
        <v>742.80308200000002</v>
      </c>
      <c r="B891" s="1">
        <f>DATE(2012,5,12) + TIME(19,16,26)</f>
        <v>41041.803078703706</v>
      </c>
      <c r="C891">
        <v>80</v>
      </c>
      <c r="D891">
        <v>79.907463074000006</v>
      </c>
      <c r="E891">
        <v>50</v>
      </c>
      <c r="F891">
        <v>49.229293822999999</v>
      </c>
      <c r="G891">
        <v>1335.9144286999999</v>
      </c>
      <c r="H891">
        <v>1334.144043</v>
      </c>
      <c r="I891">
        <v>1329.3112793</v>
      </c>
      <c r="J891">
        <v>1328.6481934000001</v>
      </c>
      <c r="K891">
        <v>550</v>
      </c>
      <c r="L891">
        <v>0</v>
      </c>
      <c r="M891">
        <v>0</v>
      </c>
      <c r="N891">
        <v>550</v>
      </c>
    </row>
    <row r="892" spans="1:14" x14ac:dyDescent="0.25">
      <c r="A892">
        <v>743.257386</v>
      </c>
      <c r="B892" s="1">
        <f>DATE(2012,5,13) + TIME(6,10,38)</f>
        <v>41042.257384259261</v>
      </c>
      <c r="C892">
        <v>80</v>
      </c>
      <c r="D892">
        <v>79.909683228000006</v>
      </c>
      <c r="E892">
        <v>50</v>
      </c>
      <c r="F892">
        <v>49.207008362000003</v>
      </c>
      <c r="G892">
        <v>1335.9135742000001</v>
      </c>
      <c r="H892">
        <v>1334.1455077999999</v>
      </c>
      <c r="I892">
        <v>1329.3070068</v>
      </c>
      <c r="J892">
        <v>1328.6413574000001</v>
      </c>
      <c r="K892">
        <v>550</v>
      </c>
      <c r="L892">
        <v>0</v>
      </c>
      <c r="M892">
        <v>0</v>
      </c>
      <c r="N892">
        <v>550</v>
      </c>
    </row>
    <row r="893" spans="1:14" x14ac:dyDescent="0.25">
      <c r="A893">
        <v>743.72785899999997</v>
      </c>
      <c r="B893" s="1">
        <f>DATE(2012,5,13) + TIME(17,28,7)</f>
        <v>41042.727858796294</v>
      </c>
      <c r="C893">
        <v>80</v>
      </c>
      <c r="D893">
        <v>79.911437988000003</v>
      </c>
      <c r="E893">
        <v>50</v>
      </c>
      <c r="F893">
        <v>49.184146880999997</v>
      </c>
      <c r="G893">
        <v>1335.9122314000001</v>
      </c>
      <c r="H893">
        <v>1334.1467285000001</v>
      </c>
      <c r="I893">
        <v>1329.3026123</v>
      </c>
      <c r="J893">
        <v>1328.6343993999999</v>
      </c>
      <c r="K893">
        <v>550</v>
      </c>
      <c r="L893">
        <v>0</v>
      </c>
      <c r="M893">
        <v>0</v>
      </c>
      <c r="N893">
        <v>550</v>
      </c>
    </row>
    <row r="894" spans="1:14" x14ac:dyDescent="0.25">
      <c r="A894">
        <v>744.21665099999996</v>
      </c>
      <c r="B894" s="1">
        <f>DATE(2012,5,14) + TIME(5,11,58)</f>
        <v>41043.216643518521</v>
      </c>
      <c r="C894">
        <v>80</v>
      </c>
      <c r="D894">
        <v>79.912818908999995</v>
      </c>
      <c r="E894">
        <v>50</v>
      </c>
      <c r="F894">
        <v>49.160625457999998</v>
      </c>
      <c r="G894">
        <v>1335.9104004000001</v>
      </c>
      <c r="H894">
        <v>1334.1477050999999</v>
      </c>
      <c r="I894">
        <v>1329.2980957</v>
      </c>
      <c r="J894">
        <v>1328.6273193</v>
      </c>
      <c r="K894">
        <v>550</v>
      </c>
      <c r="L894">
        <v>0</v>
      </c>
      <c r="M894">
        <v>0</v>
      </c>
      <c r="N894">
        <v>550</v>
      </c>
    </row>
    <row r="895" spans="1:14" x14ac:dyDescent="0.25">
      <c r="A895">
        <v>744.72560899999996</v>
      </c>
      <c r="B895" s="1">
        <f>DATE(2012,5,14) + TIME(17,24,52)</f>
        <v>41043.725601851853</v>
      </c>
      <c r="C895">
        <v>80</v>
      </c>
      <c r="D895">
        <v>79.913917541999993</v>
      </c>
      <c r="E895">
        <v>50</v>
      </c>
      <c r="F895">
        <v>49.136375426999997</v>
      </c>
      <c r="G895">
        <v>1335.9083252</v>
      </c>
      <c r="H895">
        <v>1334.1485596</v>
      </c>
      <c r="I895">
        <v>1329.2933350000001</v>
      </c>
      <c r="J895">
        <v>1328.6198730000001</v>
      </c>
      <c r="K895">
        <v>550</v>
      </c>
      <c r="L895">
        <v>0</v>
      </c>
      <c r="M895">
        <v>0</v>
      </c>
      <c r="N895">
        <v>550</v>
      </c>
    </row>
    <row r="896" spans="1:14" x14ac:dyDescent="0.25">
      <c r="A896">
        <v>745.25849600000004</v>
      </c>
      <c r="B896" s="1">
        <f>DATE(2012,5,15) + TIME(6,12,14)</f>
        <v>41044.25849537037</v>
      </c>
      <c r="C896">
        <v>80</v>
      </c>
      <c r="D896">
        <v>79.914772033999995</v>
      </c>
      <c r="E896">
        <v>50</v>
      </c>
      <c r="F896">
        <v>49.111251830999997</v>
      </c>
      <c r="G896">
        <v>1335.9057617000001</v>
      </c>
      <c r="H896">
        <v>1334.1491699000001</v>
      </c>
      <c r="I896">
        <v>1329.2885742000001</v>
      </c>
      <c r="J896">
        <v>1328.6121826000001</v>
      </c>
      <c r="K896">
        <v>550</v>
      </c>
      <c r="L896">
        <v>0</v>
      </c>
      <c r="M896">
        <v>0</v>
      </c>
      <c r="N896">
        <v>550</v>
      </c>
    </row>
    <row r="897" spans="1:14" x14ac:dyDescent="0.25">
      <c r="A897">
        <v>745.82136600000001</v>
      </c>
      <c r="B897" s="1">
        <f>DATE(2012,5,15) + TIME(19,42,46)</f>
        <v>41044.82136574074</v>
      </c>
      <c r="C897">
        <v>80</v>
      </c>
      <c r="D897">
        <v>79.915451050000001</v>
      </c>
      <c r="E897">
        <v>50</v>
      </c>
      <c r="F897">
        <v>49.085018157999997</v>
      </c>
      <c r="G897">
        <v>1335.9029541</v>
      </c>
      <c r="H897">
        <v>1334.1497803</v>
      </c>
      <c r="I897">
        <v>1329.2834473</v>
      </c>
      <c r="J897">
        <v>1328.6042480000001</v>
      </c>
      <c r="K897">
        <v>550</v>
      </c>
      <c r="L897">
        <v>0</v>
      </c>
      <c r="M897">
        <v>0</v>
      </c>
      <c r="N897">
        <v>550</v>
      </c>
    </row>
    <row r="898" spans="1:14" x14ac:dyDescent="0.25">
      <c r="A898">
        <v>746.41882899999996</v>
      </c>
      <c r="B898" s="1">
        <f>DATE(2012,5,16) + TIME(10,3,6)</f>
        <v>41045.418819444443</v>
      </c>
      <c r="C898">
        <v>80</v>
      </c>
      <c r="D898">
        <v>79.915977478000002</v>
      </c>
      <c r="E898">
        <v>50</v>
      </c>
      <c r="F898">
        <v>49.057506560999997</v>
      </c>
      <c r="G898">
        <v>1335.8997803</v>
      </c>
      <c r="H898">
        <v>1334.1501464999999</v>
      </c>
      <c r="I898">
        <v>1329.2781981999999</v>
      </c>
      <c r="J898">
        <v>1328.5959473</v>
      </c>
      <c r="K898">
        <v>550</v>
      </c>
      <c r="L898">
        <v>0</v>
      </c>
      <c r="M898">
        <v>0</v>
      </c>
      <c r="N898">
        <v>550</v>
      </c>
    </row>
    <row r="899" spans="1:14" x14ac:dyDescent="0.25">
      <c r="A899">
        <v>747.03709000000003</v>
      </c>
      <c r="B899" s="1">
        <f>DATE(2012,5,17) + TIME(0,53,24)</f>
        <v>41046.037083333336</v>
      </c>
      <c r="C899">
        <v>80</v>
      </c>
      <c r="D899">
        <v>79.916374207000004</v>
      </c>
      <c r="E899">
        <v>50</v>
      </c>
      <c r="F899">
        <v>49.029304504000002</v>
      </c>
      <c r="G899">
        <v>1335.8962402</v>
      </c>
      <c r="H899">
        <v>1334.1503906</v>
      </c>
      <c r="I899">
        <v>1329.2727050999999</v>
      </c>
      <c r="J899">
        <v>1328.5872803</v>
      </c>
      <c r="K899">
        <v>550</v>
      </c>
      <c r="L899">
        <v>0</v>
      </c>
      <c r="M899">
        <v>0</v>
      </c>
      <c r="N899">
        <v>550</v>
      </c>
    </row>
    <row r="900" spans="1:14" x14ac:dyDescent="0.25">
      <c r="A900">
        <v>747.65890000000002</v>
      </c>
      <c r="B900" s="1">
        <f>DATE(2012,5,17) + TIME(15,48,48)</f>
        <v>41046.658888888887</v>
      </c>
      <c r="C900">
        <v>80</v>
      </c>
      <c r="D900">
        <v>79.916656493999994</v>
      </c>
      <c r="E900">
        <v>50</v>
      </c>
      <c r="F900">
        <v>49.001110077</v>
      </c>
      <c r="G900">
        <v>1335.8923339999999</v>
      </c>
      <c r="H900">
        <v>1334.1505127</v>
      </c>
      <c r="I900">
        <v>1329.2670897999999</v>
      </c>
      <c r="J900">
        <v>1328.5783690999999</v>
      </c>
      <c r="K900">
        <v>550</v>
      </c>
      <c r="L900">
        <v>0</v>
      </c>
      <c r="M900">
        <v>0</v>
      </c>
      <c r="N900">
        <v>550</v>
      </c>
    </row>
    <row r="901" spans="1:14" x14ac:dyDescent="0.25">
      <c r="A901">
        <v>748.28664900000001</v>
      </c>
      <c r="B901" s="1">
        <f>DATE(2012,5,18) + TIME(6,52,46)</f>
        <v>41047.286643518521</v>
      </c>
      <c r="C901">
        <v>80</v>
      </c>
      <c r="D901">
        <v>79.916847228999998</v>
      </c>
      <c r="E901">
        <v>50</v>
      </c>
      <c r="F901">
        <v>48.972827911000003</v>
      </c>
      <c r="G901">
        <v>1335.8884277</v>
      </c>
      <c r="H901">
        <v>1334.1505127</v>
      </c>
      <c r="I901">
        <v>1329.2614745999999</v>
      </c>
      <c r="J901">
        <v>1328.5694579999999</v>
      </c>
      <c r="K901">
        <v>550</v>
      </c>
      <c r="L901">
        <v>0</v>
      </c>
      <c r="M901">
        <v>0</v>
      </c>
      <c r="N901">
        <v>550</v>
      </c>
    </row>
    <row r="902" spans="1:14" x14ac:dyDescent="0.25">
      <c r="A902">
        <v>748.92260299999998</v>
      </c>
      <c r="B902" s="1">
        <f>DATE(2012,5,18) + TIME(22,8,32)</f>
        <v>41047.922592592593</v>
      </c>
      <c r="C902">
        <v>80</v>
      </c>
      <c r="D902">
        <v>79.916976929</v>
      </c>
      <c r="E902">
        <v>50</v>
      </c>
      <c r="F902">
        <v>48.944385529000002</v>
      </c>
      <c r="G902">
        <v>1335.8843993999999</v>
      </c>
      <c r="H902">
        <v>1334.1503906</v>
      </c>
      <c r="I902">
        <v>1329.2557373</v>
      </c>
      <c r="J902">
        <v>1328.5605469</v>
      </c>
      <c r="K902">
        <v>550</v>
      </c>
      <c r="L902">
        <v>0</v>
      </c>
      <c r="M902">
        <v>0</v>
      </c>
      <c r="N902">
        <v>550</v>
      </c>
    </row>
    <row r="903" spans="1:14" x14ac:dyDescent="0.25">
      <c r="A903">
        <v>749.56904599999996</v>
      </c>
      <c r="B903" s="1">
        <f>DATE(2012,5,19) + TIME(13,39,25)</f>
        <v>41048.569039351853</v>
      </c>
      <c r="C903">
        <v>80</v>
      </c>
      <c r="D903">
        <v>79.917053222999996</v>
      </c>
      <c r="E903">
        <v>50</v>
      </c>
      <c r="F903">
        <v>48.915691375999998</v>
      </c>
      <c r="G903">
        <v>1335.880249</v>
      </c>
      <c r="H903">
        <v>1334.1502685999999</v>
      </c>
      <c r="I903">
        <v>1329.25</v>
      </c>
      <c r="J903">
        <v>1328.5515137</v>
      </c>
      <c r="K903">
        <v>550</v>
      </c>
      <c r="L903">
        <v>0</v>
      </c>
      <c r="M903">
        <v>0</v>
      </c>
      <c r="N903">
        <v>550</v>
      </c>
    </row>
    <row r="904" spans="1:14" x14ac:dyDescent="0.25">
      <c r="A904">
        <v>750.22831599999995</v>
      </c>
      <c r="B904" s="1">
        <f>DATE(2012,5,20) + TIME(5,28,46)</f>
        <v>41049.228310185186</v>
      </c>
      <c r="C904">
        <v>80</v>
      </c>
      <c r="D904">
        <v>79.917083739999995</v>
      </c>
      <c r="E904">
        <v>50</v>
      </c>
      <c r="F904">
        <v>48.886669159</v>
      </c>
      <c r="G904">
        <v>1335.8759766000001</v>
      </c>
      <c r="H904">
        <v>1334.1501464999999</v>
      </c>
      <c r="I904">
        <v>1329.2442627</v>
      </c>
      <c r="J904">
        <v>1328.5423584</v>
      </c>
      <c r="K904">
        <v>550</v>
      </c>
      <c r="L904">
        <v>0</v>
      </c>
      <c r="M904">
        <v>0</v>
      </c>
      <c r="N904">
        <v>550</v>
      </c>
    </row>
    <row r="905" spans="1:14" x14ac:dyDescent="0.25">
      <c r="A905">
        <v>750.90286200000003</v>
      </c>
      <c r="B905" s="1">
        <f>DATE(2012,5,20) + TIME(21,40,7)</f>
        <v>41049.902858796297</v>
      </c>
      <c r="C905">
        <v>80</v>
      </c>
      <c r="D905">
        <v>79.917083739999995</v>
      </c>
      <c r="E905">
        <v>50</v>
      </c>
      <c r="F905">
        <v>48.857231140000003</v>
      </c>
      <c r="G905">
        <v>1335.8717041</v>
      </c>
      <c r="H905">
        <v>1334.1499022999999</v>
      </c>
      <c r="I905">
        <v>1329.2384033000001</v>
      </c>
      <c r="J905">
        <v>1328.5332031</v>
      </c>
      <c r="K905">
        <v>550</v>
      </c>
      <c r="L905">
        <v>0</v>
      </c>
      <c r="M905">
        <v>0</v>
      </c>
      <c r="N905">
        <v>550</v>
      </c>
    </row>
    <row r="906" spans="1:14" x14ac:dyDescent="0.25">
      <c r="A906">
        <v>751.59533199999998</v>
      </c>
      <c r="B906" s="1">
        <f>DATE(2012,5,21) + TIME(14,17,16)</f>
        <v>41050.595324074071</v>
      </c>
      <c r="C906">
        <v>80</v>
      </c>
      <c r="D906">
        <v>79.917053222999996</v>
      </c>
      <c r="E906">
        <v>50</v>
      </c>
      <c r="F906">
        <v>48.827281952</v>
      </c>
      <c r="G906">
        <v>1335.8673096</v>
      </c>
      <c r="H906">
        <v>1334.1496582</v>
      </c>
      <c r="I906">
        <v>1329.2325439000001</v>
      </c>
      <c r="J906">
        <v>1328.5238036999999</v>
      </c>
      <c r="K906">
        <v>550</v>
      </c>
      <c r="L906">
        <v>0</v>
      </c>
      <c r="M906">
        <v>0</v>
      </c>
      <c r="N906">
        <v>550</v>
      </c>
    </row>
    <row r="907" spans="1:14" x14ac:dyDescent="0.25">
      <c r="A907">
        <v>752.30861200000004</v>
      </c>
      <c r="B907" s="1">
        <f>DATE(2012,5,22) + TIME(7,24,24)</f>
        <v>41051.308611111112</v>
      </c>
      <c r="C907">
        <v>80</v>
      </c>
      <c r="D907">
        <v>79.917007446</v>
      </c>
      <c r="E907">
        <v>50</v>
      </c>
      <c r="F907">
        <v>48.796737671000002</v>
      </c>
      <c r="G907">
        <v>1335.8629149999999</v>
      </c>
      <c r="H907">
        <v>1334.1494141000001</v>
      </c>
      <c r="I907">
        <v>1329.2264404</v>
      </c>
      <c r="J907">
        <v>1328.5141602000001</v>
      </c>
      <c r="K907">
        <v>550</v>
      </c>
      <c r="L907">
        <v>0</v>
      </c>
      <c r="M907">
        <v>0</v>
      </c>
      <c r="N907">
        <v>550</v>
      </c>
    </row>
    <row r="908" spans="1:14" x14ac:dyDescent="0.25">
      <c r="A908">
        <v>753.04582400000004</v>
      </c>
      <c r="B908" s="1">
        <f>DATE(2012,5,23) + TIME(1,5,59)</f>
        <v>41052.04582175926</v>
      </c>
      <c r="C908">
        <v>80</v>
      </c>
      <c r="D908">
        <v>79.916938782000003</v>
      </c>
      <c r="E908">
        <v>50</v>
      </c>
      <c r="F908">
        <v>48.765487671000002</v>
      </c>
      <c r="G908">
        <v>1335.8583983999999</v>
      </c>
      <c r="H908">
        <v>1334.1490478999999</v>
      </c>
      <c r="I908">
        <v>1329.2203368999999</v>
      </c>
      <c r="J908">
        <v>1328.5043945</v>
      </c>
      <c r="K908">
        <v>550</v>
      </c>
      <c r="L908">
        <v>0</v>
      </c>
      <c r="M908">
        <v>0</v>
      </c>
      <c r="N908">
        <v>550</v>
      </c>
    </row>
    <row r="909" spans="1:14" x14ac:dyDescent="0.25">
      <c r="A909">
        <v>753.796784</v>
      </c>
      <c r="B909" s="1">
        <f>DATE(2012,5,23) + TIME(19,7,22)</f>
        <v>41052.796782407408</v>
      </c>
      <c r="C909">
        <v>80</v>
      </c>
      <c r="D909">
        <v>79.916847228999998</v>
      </c>
      <c r="E909">
        <v>50</v>
      </c>
      <c r="F909">
        <v>48.733917236000003</v>
      </c>
      <c r="G909">
        <v>1335.8537598</v>
      </c>
      <c r="H909">
        <v>1334.1488036999999</v>
      </c>
      <c r="I909">
        <v>1329.2139893000001</v>
      </c>
      <c r="J909">
        <v>1328.4942627</v>
      </c>
      <c r="K909">
        <v>550</v>
      </c>
      <c r="L909">
        <v>0</v>
      </c>
      <c r="M909">
        <v>0</v>
      </c>
      <c r="N909">
        <v>550</v>
      </c>
    </row>
    <row r="910" spans="1:14" x14ac:dyDescent="0.25">
      <c r="A910">
        <v>754.56404599999996</v>
      </c>
      <c r="B910" s="1">
        <f>DATE(2012,5,24) + TIME(13,32,13)</f>
        <v>41053.564039351855</v>
      </c>
      <c r="C910">
        <v>80</v>
      </c>
      <c r="D910">
        <v>79.916748046999999</v>
      </c>
      <c r="E910">
        <v>50</v>
      </c>
      <c r="F910">
        <v>48.701942443999997</v>
      </c>
      <c r="G910">
        <v>1335.8491211</v>
      </c>
      <c r="H910">
        <v>1334.1484375</v>
      </c>
      <c r="I910">
        <v>1329.2076416</v>
      </c>
      <c r="J910">
        <v>1328.4841309000001</v>
      </c>
      <c r="K910">
        <v>550</v>
      </c>
      <c r="L910">
        <v>0</v>
      </c>
      <c r="M910">
        <v>0</v>
      </c>
      <c r="N910">
        <v>550</v>
      </c>
    </row>
    <row r="911" spans="1:14" x14ac:dyDescent="0.25">
      <c r="A911">
        <v>755.35024299999998</v>
      </c>
      <c r="B911" s="1">
        <f>DATE(2012,5,25) + TIME(8,24,21)</f>
        <v>41054.350243055553</v>
      </c>
      <c r="C911">
        <v>80</v>
      </c>
      <c r="D911">
        <v>79.916641235</v>
      </c>
      <c r="E911">
        <v>50</v>
      </c>
      <c r="F911">
        <v>48.669494628999999</v>
      </c>
      <c r="G911">
        <v>1335.8446045000001</v>
      </c>
      <c r="H911">
        <v>1334.1481934000001</v>
      </c>
      <c r="I911">
        <v>1329.2011719</v>
      </c>
      <c r="J911">
        <v>1328.4738769999999</v>
      </c>
      <c r="K911">
        <v>550</v>
      </c>
      <c r="L911">
        <v>0</v>
      </c>
      <c r="M911">
        <v>0</v>
      </c>
      <c r="N911">
        <v>550</v>
      </c>
    </row>
    <row r="912" spans="1:14" x14ac:dyDescent="0.25">
      <c r="A912">
        <v>756.15823599999999</v>
      </c>
      <c r="B912" s="1">
        <f>DATE(2012,5,26) + TIME(3,47,51)</f>
        <v>41055.158229166664</v>
      </c>
      <c r="C912">
        <v>80</v>
      </c>
      <c r="D912">
        <v>79.916519164999997</v>
      </c>
      <c r="E912">
        <v>50</v>
      </c>
      <c r="F912">
        <v>48.636478424000003</v>
      </c>
      <c r="G912">
        <v>1335.8399658000001</v>
      </c>
      <c r="H912">
        <v>1334.1478271000001</v>
      </c>
      <c r="I912">
        <v>1329.1945800999999</v>
      </c>
      <c r="J912">
        <v>1328.4632568</v>
      </c>
      <c r="K912">
        <v>550</v>
      </c>
      <c r="L912">
        <v>0</v>
      </c>
      <c r="M912">
        <v>0</v>
      </c>
      <c r="N912">
        <v>550</v>
      </c>
    </row>
    <row r="913" spans="1:14" x14ac:dyDescent="0.25">
      <c r="A913">
        <v>756.99116500000002</v>
      </c>
      <c r="B913" s="1">
        <f>DATE(2012,5,26) + TIME(23,47,16)</f>
        <v>41055.991157407407</v>
      </c>
      <c r="C913">
        <v>80</v>
      </c>
      <c r="D913">
        <v>79.916397094999994</v>
      </c>
      <c r="E913">
        <v>50</v>
      </c>
      <c r="F913">
        <v>48.602809905999997</v>
      </c>
      <c r="G913">
        <v>1335.8354492000001</v>
      </c>
      <c r="H913">
        <v>1334.1475829999999</v>
      </c>
      <c r="I913">
        <v>1329.1878661999999</v>
      </c>
      <c r="J913">
        <v>1328.4526367000001</v>
      </c>
      <c r="K913">
        <v>550</v>
      </c>
      <c r="L913">
        <v>0</v>
      </c>
      <c r="M913">
        <v>0</v>
      </c>
      <c r="N913">
        <v>550</v>
      </c>
    </row>
    <row r="914" spans="1:14" x14ac:dyDescent="0.25">
      <c r="A914">
        <v>757.85268699999995</v>
      </c>
      <c r="B914" s="1">
        <f>DATE(2012,5,27) + TIME(20,27,52)</f>
        <v>41056.852685185186</v>
      </c>
      <c r="C914">
        <v>80</v>
      </c>
      <c r="D914">
        <v>79.916259765999996</v>
      </c>
      <c r="E914">
        <v>50</v>
      </c>
      <c r="F914">
        <v>48.568382262999997</v>
      </c>
      <c r="G914">
        <v>1335.8308105000001</v>
      </c>
      <c r="H914">
        <v>1334.1472168</v>
      </c>
      <c r="I914">
        <v>1329.1810303</v>
      </c>
      <c r="J914">
        <v>1328.4416504000001</v>
      </c>
      <c r="K914">
        <v>550</v>
      </c>
      <c r="L914">
        <v>0</v>
      </c>
      <c r="M914">
        <v>0</v>
      </c>
      <c r="N914">
        <v>550</v>
      </c>
    </row>
    <row r="915" spans="1:14" x14ac:dyDescent="0.25">
      <c r="A915">
        <v>758.74738000000002</v>
      </c>
      <c r="B915" s="1">
        <f>DATE(2012,5,28) + TIME(17,56,13)</f>
        <v>41057.747372685182</v>
      </c>
      <c r="C915">
        <v>80</v>
      </c>
      <c r="D915">
        <v>79.916122436999999</v>
      </c>
      <c r="E915">
        <v>50</v>
      </c>
      <c r="F915">
        <v>48.533065796000002</v>
      </c>
      <c r="G915">
        <v>1335.8262939000001</v>
      </c>
      <c r="H915">
        <v>1334.1469727000001</v>
      </c>
      <c r="I915">
        <v>1329.1739502</v>
      </c>
      <c r="J915">
        <v>1328.4302978999999</v>
      </c>
      <c r="K915">
        <v>550</v>
      </c>
      <c r="L915">
        <v>0</v>
      </c>
      <c r="M915">
        <v>0</v>
      </c>
      <c r="N915">
        <v>550</v>
      </c>
    </row>
    <row r="916" spans="1:14" x14ac:dyDescent="0.25">
      <c r="A916">
        <v>759.68018099999995</v>
      </c>
      <c r="B916" s="1">
        <f>DATE(2012,5,29) + TIME(16,19,27)</f>
        <v>41058.680173611108</v>
      </c>
      <c r="C916">
        <v>80</v>
      </c>
      <c r="D916">
        <v>79.915985106999997</v>
      </c>
      <c r="E916">
        <v>50</v>
      </c>
      <c r="F916">
        <v>48.496726989999999</v>
      </c>
      <c r="G916">
        <v>1335.8216553</v>
      </c>
      <c r="H916">
        <v>1334.1467285000001</v>
      </c>
      <c r="I916">
        <v>1329.1667480000001</v>
      </c>
      <c r="J916">
        <v>1328.4187012</v>
      </c>
      <c r="K916">
        <v>550</v>
      </c>
      <c r="L916">
        <v>0</v>
      </c>
      <c r="M916">
        <v>0</v>
      </c>
      <c r="N916">
        <v>550</v>
      </c>
    </row>
    <row r="917" spans="1:14" x14ac:dyDescent="0.25">
      <c r="A917">
        <v>760.661877</v>
      </c>
      <c r="B917" s="1">
        <f>DATE(2012,5,30) + TIME(15,53,6)</f>
        <v>41059.661874999998</v>
      </c>
      <c r="C917">
        <v>80</v>
      </c>
      <c r="D917">
        <v>79.915832519999995</v>
      </c>
      <c r="E917">
        <v>50</v>
      </c>
      <c r="F917">
        <v>48.459056854000004</v>
      </c>
      <c r="G917">
        <v>1335.8168945</v>
      </c>
      <c r="H917">
        <v>1334.1464844</v>
      </c>
      <c r="I917">
        <v>1329.1594238</v>
      </c>
      <c r="J917">
        <v>1328.4067382999999</v>
      </c>
      <c r="K917">
        <v>550</v>
      </c>
      <c r="L917">
        <v>0</v>
      </c>
      <c r="M917">
        <v>0</v>
      </c>
      <c r="N917">
        <v>550</v>
      </c>
    </row>
    <row r="918" spans="1:14" x14ac:dyDescent="0.25">
      <c r="A918">
        <v>761.68690900000001</v>
      </c>
      <c r="B918" s="1">
        <f>DATE(2012,5,31) + TIME(16,29,8)</f>
        <v>41060.686898148146</v>
      </c>
      <c r="C918">
        <v>80</v>
      </c>
      <c r="D918">
        <v>79.915679932000003</v>
      </c>
      <c r="E918">
        <v>50</v>
      </c>
      <c r="F918">
        <v>48.420257567999997</v>
      </c>
      <c r="G918">
        <v>1335.8121338000001</v>
      </c>
      <c r="H918">
        <v>1334.1462402</v>
      </c>
      <c r="I918">
        <v>1329.1516113</v>
      </c>
      <c r="J918">
        <v>1328.3942870999999</v>
      </c>
      <c r="K918">
        <v>550</v>
      </c>
      <c r="L918">
        <v>0</v>
      </c>
      <c r="M918">
        <v>0</v>
      </c>
      <c r="N918">
        <v>550</v>
      </c>
    </row>
    <row r="919" spans="1:14" x14ac:dyDescent="0.25">
      <c r="A919">
        <v>762</v>
      </c>
      <c r="B919" s="1">
        <f>DATE(2012,6,1) + TIME(0,0,0)</f>
        <v>41061</v>
      </c>
      <c r="C919">
        <v>80</v>
      </c>
      <c r="D919">
        <v>79.915596007999994</v>
      </c>
      <c r="E919">
        <v>50</v>
      </c>
      <c r="F919">
        <v>48.406650542999998</v>
      </c>
      <c r="G919">
        <v>1335.8074951000001</v>
      </c>
      <c r="H919">
        <v>1334.1461182</v>
      </c>
      <c r="I919">
        <v>1329.1447754000001</v>
      </c>
      <c r="J919">
        <v>1328.3833007999999</v>
      </c>
      <c r="K919">
        <v>550</v>
      </c>
      <c r="L919">
        <v>0</v>
      </c>
      <c r="M919">
        <v>0</v>
      </c>
      <c r="N919">
        <v>550</v>
      </c>
    </row>
    <row r="920" spans="1:14" x14ac:dyDescent="0.25">
      <c r="A920">
        <v>763.06634699999995</v>
      </c>
      <c r="B920" s="1">
        <f>DATE(2012,6,2) + TIME(1,35,32)</f>
        <v>41062.066342592596</v>
      </c>
      <c r="C920">
        <v>80</v>
      </c>
      <c r="D920">
        <v>79.915458678999997</v>
      </c>
      <c r="E920">
        <v>50</v>
      </c>
      <c r="F920">
        <v>48.367275237999998</v>
      </c>
      <c r="G920">
        <v>1335.8059082</v>
      </c>
      <c r="H920">
        <v>1334.145874</v>
      </c>
      <c r="I920">
        <v>1329.1409911999999</v>
      </c>
      <c r="J920">
        <v>1328.3769531</v>
      </c>
      <c r="K920">
        <v>550</v>
      </c>
      <c r="L920">
        <v>0</v>
      </c>
      <c r="M920">
        <v>0</v>
      </c>
      <c r="N920">
        <v>550</v>
      </c>
    </row>
    <row r="921" spans="1:14" x14ac:dyDescent="0.25">
      <c r="A921">
        <v>764.15028600000005</v>
      </c>
      <c r="B921" s="1">
        <f>DATE(2012,6,3) + TIME(3,36,24)</f>
        <v>41063.150277777779</v>
      </c>
      <c r="C921">
        <v>80</v>
      </c>
      <c r="D921">
        <v>79.915313721000004</v>
      </c>
      <c r="E921">
        <v>50</v>
      </c>
      <c r="F921">
        <v>48.327564240000001</v>
      </c>
      <c r="G921">
        <v>1335.8011475000001</v>
      </c>
      <c r="H921">
        <v>1334.1456298999999</v>
      </c>
      <c r="I921">
        <v>1329.1329346</v>
      </c>
      <c r="J921">
        <v>1328.3637695</v>
      </c>
      <c r="K921">
        <v>550</v>
      </c>
      <c r="L921">
        <v>0</v>
      </c>
      <c r="M921">
        <v>0</v>
      </c>
      <c r="N921">
        <v>550</v>
      </c>
    </row>
    <row r="922" spans="1:14" x14ac:dyDescent="0.25">
      <c r="A922">
        <v>765.25241400000004</v>
      </c>
      <c r="B922" s="1">
        <f>DATE(2012,6,4) + TIME(6,3,28)</f>
        <v>41064.25240740741</v>
      </c>
      <c r="C922">
        <v>80</v>
      </c>
      <c r="D922">
        <v>79.915161132999998</v>
      </c>
      <c r="E922">
        <v>50</v>
      </c>
      <c r="F922">
        <v>48.287567138999997</v>
      </c>
      <c r="G922">
        <v>1335.7965088000001</v>
      </c>
      <c r="H922">
        <v>1334.1455077999999</v>
      </c>
      <c r="I922">
        <v>1329.1247559000001</v>
      </c>
      <c r="J922">
        <v>1328.3504639</v>
      </c>
      <c r="K922">
        <v>550</v>
      </c>
      <c r="L922">
        <v>0</v>
      </c>
      <c r="M922">
        <v>0</v>
      </c>
      <c r="N922">
        <v>550</v>
      </c>
    </row>
    <row r="923" spans="1:14" x14ac:dyDescent="0.25">
      <c r="A923">
        <v>766.377523</v>
      </c>
      <c r="B923" s="1">
        <f>DATE(2012,6,5) + TIME(9,3,38)</f>
        <v>41065.377523148149</v>
      </c>
      <c r="C923">
        <v>80</v>
      </c>
      <c r="D923">
        <v>79.915008545000006</v>
      </c>
      <c r="E923">
        <v>50</v>
      </c>
      <c r="F923">
        <v>48.247219086000001</v>
      </c>
      <c r="G923">
        <v>1335.7918701000001</v>
      </c>
      <c r="H923">
        <v>1334.1453856999999</v>
      </c>
      <c r="I923">
        <v>1329.1165771000001</v>
      </c>
      <c r="J923">
        <v>1328.3370361</v>
      </c>
      <c r="K923">
        <v>550</v>
      </c>
      <c r="L923">
        <v>0</v>
      </c>
      <c r="M923">
        <v>0</v>
      </c>
      <c r="N923">
        <v>550</v>
      </c>
    </row>
    <row r="924" spans="1:14" x14ac:dyDescent="0.25">
      <c r="A924">
        <v>767.53093699999999</v>
      </c>
      <c r="B924" s="1">
        <f>DATE(2012,6,6) + TIME(12,44,32)</f>
        <v>41066.530925925923</v>
      </c>
      <c r="C924">
        <v>80</v>
      </c>
      <c r="D924">
        <v>79.914855957</v>
      </c>
      <c r="E924">
        <v>50</v>
      </c>
      <c r="F924">
        <v>48.206436156999999</v>
      </c>
      <c r="G924">
        <v>1335.7873535000001</v>
      </c>
      <c r="H924">
        <v>1334.1452637</v>
      </c>
      <c r="I924">
        <v>1329.1082764</v>
      </c>
      <c r="J924">
        <v>1328.3233643000001</v>
      </c>
      <c r="K924">
        <v>550</v>
      </c>
      <c r="L924">
        <v>0</v>
      </c>
      <c r="M924">
        <v>0</v>
      </c>
      <c r="N924">
        <v>550</v>
      </c>
    </row>
    <row r="925" spans="1:14" x14ac:dyDescent="0.25">
      <c r="A925">
        <v>768.71809399999995</v>
      </c>
      <c r="B925" s="1">
        <f>DATE(2012,6,7) + TIME(17,14,3)</f>
        <v>41067.718090277776</v>
      </c>
      <c r="C925">
        <v>80</v>
      </c>
      <c r="D925">
        <v>79.914703368999994</v>
      </c>
      <c r="E925">
        <v>50</v>
      </c>
      <c r="F925">
        <v>48.165138245000001</v>
      </c>
      <c r="G925">
        <v>1335.7829589999999</v>
      </c>
      <c r="H925">
        <v>1334.1451416</v>
      </c>
      <c r="I925">
        <v>1329.0998535000001</v>
      </c>
      <c r="J925">
        <v>1328.3094481999999</v>
      </c>
      <c r="K925">
        <v>550</v>
      </c>
      <c r="L925">
        <v>0</v>
      </c>
      <c r="M925">
        <v>0</v>
      </c>
      <c r="N925">
        <v>550</v>
      </c>
    </row>
    <row r="926" spans="1:14" x14ac:dyDescent="0.25">
      <c r="A926">
        <v>769.95581500000003</v>
      </c>
      <c r="B926" s="1">
        <f>DATE(2012,6,8) + TIME(22,56,22)</f>
        <v>41068.955810185187</v>
      </c>
      <c r="C926">
        <v>80</v>
      </c>
      <c r="D926">
        <v>79.914550781000003</v>
      </c>
      <c r="E926">
        <v>50</v>
      </c>
      <c r="F926">
        <v>48.122955322000003</v>
      </c>
      <c r="G926">
        <v>1335.7784423999999</v>
      </c>
      <c r="H926">
        <v>1334.1450195</v>
      </c>
      <c r="I926">
        <v>1329.0913086</v>
      </c>
      <c r="J926">
        <v>1328.2951660000001</v>
      </c>
      <c r="K926">
        <v>550</v>
      </c>
      <c r="L926">
        <v>0</v>
      </c>
      <c r="M926">
        <v>0</v>
      </c>
      <c r="N926">
        <v>550</v>
      </c>
    </row>
    <row r="927" spans="1:14" x14ac:dyDescent="0.25">
      <c r="A927">
        <v>771.25920099999996</v>
      </c>
      <c r="B927" s="1">
        <f>DATE(2012,6,10) + TIME(6,13,14)</f>
        <v>41070.259189814817</v>
      </c>
      <c r="C927">
        <v>80</v>
      </c>
      <c r="D927">
        <v>79.914405822999996</v>
      </c>
      <c r="E927">
        <v>50</v>
      </c>
      <c r="F927">
        <v>48.079601287999999</v>
      </c>
      <c r="G927">
        <v>1335.7740478999999</v>
      </c>
      <c r="H927">
        <v>1334.1450195</v>
      </c>
      <c r="I927">
        <v>1329.0823975000001</v>
      </c>
      <c r="J927">
        <v>1328.2805175999999</v>
      </c>
      <c r="K927">
        <v>550</v>
      </c>
      <c r="L927">
        <v>0</v>
      </c>
      <c r="M927">
        <v>0</v>
      </c>
      <c r="N927">
        <v>550</v>
      </c>
    </row>
    <row r="928" spans="1:14" x14ac:dyDescent="0.25">
      <c r="A928">
        <v>772.59445600000004</v>
      </c>
      <c r="B928" s="1">
        <f>DATE(2012,6,11) + TIME(14,16,1)</f>
        <v>41071.594456018516</v>
      </c>
      <c r="C928">
        <v>80</v>
      </c>
      <c r="D928">
        <v>79.914260863999999</v>
      </c>
      <c r="E928">
        <v>50</v>
      </c>
      <c r="F928">
        <v>48.036029816000003</v>
      </c>
      <c r="G928">
        <v>1335.7695312000001</v>
      </c>
      <c r="H928">
        <v>1334.1448975000001</v>
      </c>
      <c r="I928">
        <v>1329.0733643000001</v>
      </c>
      <c r="J928">
        <v>1328.2653809000001</v>
      </c>
      <c r="K928">
        <v>550</v>
      </c>
      <c r="L928">
        <v>0</v>
      </c>
      <c r="M928">
        <v>0</v>
      </c>
      <c r="N928">
        <v>550</v>
      </c>
    </row>
    <row r="929" spans="1:14" x14ac:dyDescent="0.25">
      <c r="A929">
        <v>773.948711</v>
      </c>
      <c r="B929" s="1">
        <f>DATE(2012,6,12) + TIME(22,46,8)</f>
        <v>41072.948703703703</v>
      </c>
      <c r="C929">
        <v>80</v>
      </c>
      <c r="D929">
        <v>79.914115906000006</v>
      </c>
      <c r="E929">
        <v>50</v>
      </c>
      <c r="F929">
        <v>47.992698668999999</v>
      </c>
      <c r="G929">
        <v>1335.7651367000001</v>
      </c>
      <c r="H929">
        <v>1334.1448975000001</v>
      </c>
      <c r="I929">
        <v>1329.0642089999999</v>
      </c>
      <c r="J929">
        <v>1328.25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775.32777099999998</v>
      </c>
      <c r="B930" s="1">
        <f>DATE(2012,6,14) + TIME(7,51,59)</f>
        <v>41074.327766203707</v>
      </c>
      <c r="C930">
        <v>80</v>
      </c>
      <c r="D930">
        <v>79.913970946999996</v>
      </c>
      <c r="E930">
        <v>50</v>
      </c>
      <c r="F930">
        <v>47.949653625000003</v>
      </c>
      <c r="G930">
        <v>1335.7607422000001</v>
      </c>
      <c r="H930">
        <v>1334.1448975000001</v>
      </c>
      <c r="I930">
        <v>1329.0550536999999</v>
      </c>
      <c r="J930">
        <v>1328.234375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776.737796</v>
      </c>
      <c r="B931" s="1">
        <f>DATE(2012,6,15) + TIME(17,42,25)</f>
        <v>41075.73778935185</v>
      </c>
      <c r="C931">
        <v>80</v>
      </c>
      <c r="D931">
        <v>79.913833617999998</v>
      </c>
      <c r="E931">
        <v>50</v>
      </c>
      <c r="F931">
        <v>47.90694809</v>
      </c>
      <c r="G931">
        <v>1335.7565918</v>
      </c>
      <c r="H931">
        <v>1334.1448975000001</v>
      </c>
      <c r="I931">
        <v>1329.0457764</v>
      </c>
      <c r="J931">
        <v>1328.21875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778.18559200000004</v>
      </c>
      <c r="B932" s="1">
        <f>DATE(2012,6,17) + TIME(4,27,15)</f>
        <v>41077.185590277775</v>
      </c>
      <c r="C932">
        <v>80</v>
      </c>
      <c r="D932">
        <v>79.913703917999996</v>
      </c>
      <c r="E932">
        <v>50</v>
      </c>
      <c r="F932">
        <v>47.864665985000002</v>
      </c>
      <c r="G932">
        <v>1335.7523193</v>
      </c>
      <c r="H932">
        <v>1334.1448975000001</v>
      </c>
      <c r="I932">
        <v>1329.036499</v>
      </c>
      <c r="J932">
        <v>1328.2028809000001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779.67782</v>
      </c>
      <c r="B933" s="1">
        <f>DATE(2012,6,18) + TIME(16,16,3)</f>
        <v>41078.677812499998</v>
      </c>
      <c r="C933">
        <v>80</v>
      </c>
      <c r="D933">
        <v>79.913574218999997</v>
      </c>
      <c r="E933">
        <v>50</v>
      </c>
      <c r="F933">
        <v>47.822940826</v>
      </c>
      <c r="G933">
        <v>1335.7482910000001</v>
      </c>
      <c r="H933">
        <v>1334.1447754000001</v>
      </c>
      <c r="I933">
        <v>1329.0272216999999</v>
      </c>
      <c r="J933">
        <v>1328.1867675999999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781.22201299999995</v>
      </c>
      <c r="B934" s="1">
        <f>DATE(2012,6,20) + TIME(5,19,41)</f>
        <v>41080.222002314818</v>
      </c>
      <c r="C934">
        <v>80</v>
      </c>
      <c r="D934">
        <v>79.913452148000005</v>
      </c>
      <c r="E934">
        <v>50</v>
      </c>
      <c r="F934">
        <v>47.781974792</v>
      </c>
      <c r="G934">
        <v>1335.7441406</v>
      </c>
      <c r="H934">
        <v>1334.1447754000001</v>
      </c>
      <c r="I934">
        <v>1329.0178223</v>
      </c>
      <c r="J934">
        <v>1328.1704102000001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782.82674199999997</v>
      </c>
      <c r="B935" s="1">
        <f>DATE(2012,6,21) + TIME(19,50,30)</f>
        <v>41081.826736111114</v>
      </c>
      <c r="C935">
        <v>80</v>
      </c>
      <c r="D935">
        <v>79.913330078000001</v>
      </c>
      <c r="E935">
        <v>50</v>
      </c>
      <c r="F935">
        <v>47.742061614999997</v>
      </c>
      <c r="G935">
        <v>1335.7399902</v>
      </c>
      <c r="H935">
        <v>1334.1447754000001</v>
      </c>
      <c r="I935">
        <v>1329.0081786999999</v>
      </c>
      <c r="J935">
        <v>1328.1536865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784.48355300000003</v>
      </c>
      <c r="B936" s="1">
        <f>DATE(2012,6,23) + TIME(11,36,18)</f>
        <v>41083.483541666668</v>
      </c>
      <c r="C936">
        <v>80</v>
      </c>
      <c r="D936">
        <v>79.913215636999993</v>
      </c>
      <c r="E936">
        <v>50</v>
      </c>
      <c r="F936">
        <v>47.703937531000001</v>
      </c>
      <c r="G936">
        <v>1335.7358397999999</v>
      </c>
      <c r="H936">
        <v>1334.1447754000001</v>
      </c>
      <c r="I936">
        <v>1328.9985352000001</v>
      </c>
      <c r="J936">
        <v>1328.1365966999999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786.18877299999997</v>
      </c>
      <c r="B937" s="1">
        <f>DATE(2012,6,25) + TIME(4,31,50)</f>
        <v>41085.188773148147</v>
      </c>
      <c r="C937">
        <v>80</v>
      </c>
      <c r="D937">
        <v>79.913108825999998</v>
      </c>
      <c r="E937">
        <v>50</v>
      </c>
      <c r="F937">
        <v>47.668392181000002</v>
      </c>
      <c r="G937">
        <v>1335.7318115</v>
      </c>
      <c r="H937">
        <v>1334.1447754000001</v>
      </c>
      <c r="I937">
        <v>1328.9888916</v>
      </c>
      <c r="J937">
        <v>1328.1192627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787.97613999999999</v>
      </c>
      <c r="B938" s="1">
        <f>DATE(2012,6,26) + TIME(23,25,38)</f>
        <v>41086.976134259261</v>
      </c>
      <c r="C938">
        <v>80</v>
      </c>
      <c r="D938">
        <v>79.913002014</v>
      </c>
      <c r="E938">
        <v>50</v>
      </c>
      <c r="F938">
        <v>47.635875702</v>
      </c>
      <c r="G938">
        <v>1335.7276611</v>
      </c>
      <c r="H938">
        <v>1334.1446533000001</v>
      </c>
      <c r="I938">
        <v>1328.9790039</v>
      </c>
      <c r="J938">
        <v>1328.1015625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789.87157100000002</v>
      </c>
      <c r="B939" s="1">
        <f>DATE(2012,6,28) + TIME(20,55,3)</f>
        <v>41088.871562499997</v>
      </c>
      <c r="C939">
        <v>80</v>
      </c>
      <c r="D939">
        <v>79.912895203000005</v>
      </c>
      <c r="E939">
        <v>50</v>
      </c>
      <c r="F939">
        <v>47.607383728000002</v>
      </c>
      <c r="G939">
        <v>1335.7236327999999</v>
      </c>
      <c r="H939">
        <v>1334.1446533000001</v>
      </c>
      <c r="I939">
        <v>1328.9691161999999</v>
      </c>
      <c r="J939">
        <v>1328.0834961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791.88175999999999</v>
      </c>
      <c r="B940" s="1">
        <f>DATE(2012,6,30) + TIME(21,9,44)</f>
        <v>41090.88175925926</v>
      </c>
      <c r="C940">
        <v>80</v>
      </c>
      <c r="D940">
        <v>79.912803650000001</v>
      </c>
      <c r="E940">
        <v>50</v>
      </c>
      <c r="F940">
        <v>47.584636688000003</v>
      </c>
      <c r="G940">
        <v>1335.7193603999999</v>
      </c>
      <c r="H940">
        <v>1334.1445312000001</v>
      </c>
      <c r="I940">
        <v>1328.9589844</v>
      </c>
      <c r="J940">
        <v>1328.0648193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792</v>
      </c>
      <c r="B941" s="1">
        <f>DATE(2012,7,1) + TIME(0,0,0)</f>
        <v>41091</v>
      </c>
      <c r="C941">
        <v>80</v>
      </c>
      <c r="D941">
        <v>79.912773131999998</v>
      </c>
      <c r="E941">
        <v>50</v>
      </c>
      <c r="F941">
        <v>47.583389281999999</v>
      </c>
      <c r="G941">
        <v>1335.715332</v>
      </c>
      <c r="H941">
        <v>1334.1446533000001</v>
      </c>
      <c r="I941">
        <v>1328.9509277</v>
      </c>
      <c r="J941">
        <v>1328.0493164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794.06085099999996</v>
      </c>
      <c r="B942" s="1">
        <f>DATE(2012,7,3) + TIME(1,27,37)</f>
        <v>41093.060844907406</v>
      </c>
      <c r="C942">
        <v>80</v>
      </c>
      <c r="D942">
        <v>79.912689209000007</v>
      </c>
      <c r="E942">
        <v>50</v>
      </c>
      <c r="F942">
        <v>47.569812775000003</v>
      </c>
      <c r="G942">
        <v>1335.7148437999999</v>
      </c>
      <c r="H942">
        <v>1334.1444091999999</v>
      </c>
      <c r="I942">
        <v>1328.947876</v>
      </c>
      <c r="J942">
        <v>1328.0440673999999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796.15783499999998</v>
      </c>
      <c r="B943" s="1">
        <f>DATE(2012,7,5) + TIME(3,47,16)</f>
        <v>41095.157824074071</v>
      </c>
      <c r="C943">
        <v>80</v>
      </c>
      <c r="D943">
        <v>79.912605286000002</v>
      </c>
      <c r="E943">
        <v>50</v>
      </c>
      <c r="F943">
        <v>47.567070006999998</v>
      </c>
      <c r="G943">
        <v>1335.7105713000001</v>
      </c>
      <c r="H943">
        <v>1334.1442870999999</v>
      </c>
      <c r="I943">
        <v>1328.9378661999999</v>
      </c>
      <c r="J943">
        <v>1328.0249022999999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798.31382599999995</v>
      </c>
      <c r="B944" s="1">
        <f>DATE(2012,7,7) + TIME(7,31,54)</f>
        <v>41097.313819444447</v>
      </c>
      <c r="C944">
        <v>80</v>
      </c>
      <c r="D944">
        <v>79.912521362000007</v>
      </c>
      <c r="E944">
        <v>50</v>
      </c>
      <c r="F944">
        <v>47.577785491999997</v>
      </c>
      <c r="G944">
        <v>1335.7064209</v>
      </c>
      <c r="H944">
        <v>1334.1441649999999</v>
      </c>
      <c r="I944">
        <v>1328.9279785000001</v>
      </c>
      <c r="J944">
        <v>1328.0057373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800.47513300000003</v>
      </c>
      <c r="B945" s="1">
        <f>DATE(2012,7,9) + TIME(11,24,11)</f>
        <v>41099.475127314814</v>
      </c>
      <c r="C945">
        <v>80</v>
      </c>
      <c r="D945">
        <v>79.912445067999997</v>
      </c>
      <c r="E945">
        <v>50</v>
      </c>
      <c r="F945">
        <v>47.604816436999997</v>
      </c>
      <c r="G945">
        <v>1335.7022704999999</v>
      </c>
      <c r="H945">
        <v>1334.1439209</v>
      </c>
      <c r="I945">
        <v>1328.9183350000001</v>
      </c>
      <c r="J945">
        <v>1327.9866943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802.66306699999996</v>
      </c>
      <c r="B946" s="1">
        <f>DATE(2012,7,11) + TIME(15,54,48)</f>
        <v>41101.663055555553</v>
      </c>
      <c r="C946">
        <v>80</v>
      </c>
      <c r="D946">
        <v>79.912376404</v>
      </c>
      <c r="E946">
        <v>50</v>
      </c>
      <c r="F946">
        <v>47.651138306</v>
      </c>
      <c r="G946">
        <v>1335.6982422000001</v>
      </c>
      <c r="H946">
        <v>1334.1436768000001</v>
      </c>
      <c r="I946">
        <v>1328.9090576000001</v>
      </c>
      <c r="J946">
        <v>1327.9681396000001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804.90365499999996</v>
      </c>
      <c r="B947" s="1">
        <f>DATE(2012,7,13) + TIME(21,41,15)</f>
        <v>41103.903645833336</v>
      </c>
      <c r="C947">
        <v>80</v>
      </c>
      <c r="D947">
        <v>79.912315368999998</v>
      </c>
      <c r="E947">
        <v>50</v>
      </c>
      <c r="F947">
        <v>47.720577239999997</v>
      </c>
      <c r="G947">
        <v>1335.6943358999999</v>
      </c>
      <c r="H947">
        <v>1334.1434326000001</v>
      </c>
      <c r="I947">
        <v>1328.9001464999999</v>
      </c>
      <c r="J947">
        <v>1327.9499512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807.19391700000006</v>
      </c>
      <c r="B948" s="1">
        <f>DATE(2012,7,16) + TIME(4,39,14)</f>
        <v>41106.193912037037</v>
      </c>
      <c r="C948">
        <v>80</v>
      </c>
      <c r="D948">
        <v>79.912261963000006</v>
      </c>
      <c r="E948">
        <v>50</v>
      </c>
      <c r="F948">
        <v>47.817264557000001</v>
      </c>
      <c r="G948">
        <v>1335.6904297000001</v>
      </c>
      <c r="H948">
        <v>1334.1431885</v>
      </c>
      <c r="I948">
        <v>1328.8917236</v>
      </c>
      <c r="J948">
        <v>1327.932251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809.52666899999997</v>
      </c>
      <c r="B949" s="1">
        <f>DATE(2012,7,18) + TIME(12,38,24)</f>
        <v>41108.526666666665</v>
      </c>
      <c r="C949">
        <v>80</v>
      </c>
      <c r="D949">
        <v>79.912216186999999</v>
      </c>
      <c r="E949">
        <v>50</v>
      </c>
      <c r="F949">
        <v>47.945365905999999</v>
      </c>
      <c r="G949">
        <v>1335.6865233999999</v>
      </c>
      <c r="H949">
        <v>1334.1428223</v>
      </c>
      <c r="I949">
        <v>1328.8836670000001</v>
      </c>
      <c r="J949">
        <v>1327.9150391000001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811.881531</v>
      </c>
      <c r="B950" s="1">
        <f>DATE(2012,7,20) + TIME(21,9,24)</f>
        <v>41110.881527777776</v>
      </c>
      <c r="C950">
        <v>80</v>
      </c>
      <c r="D950">
        <v>79.912178040000001</v>
      </c>
      <c r="E950">
        <v>50</v>
      </c>
      <c r="F950">
        <v>48.108337401999997</v>
      </c>
      <c r="G950">
        <v>1335.6827393000001</v>
      </c>
      <c r="H950">
        <v>1334.1424560999999</v>
      </c>
      <c r="I950">
        <v>1328.8762207</v>
      </c>
      <c r="J950">
        <v>1327.8985596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814.25108999999998</v>
      </c>
      <c r="B951" s="1">
        <f>DATE(2012,7,23) + TIME(6,1,34)</f>
        <v>41113.251087962963</v>
      </c>
      <c r="C951">
        <v>80</v>
      </c>
      <c r="D951">
        <v>79.912147521999998</v>
      </c>
      <c r="E951">
        <v>50</v>
      </c>
      <c r="F951">
        <v>48.309093474999997</v>
      </c>
      <c r="G951">
        <v>1335.6790771000001</v>
      </c>
      <c r="H951">
        <v>1334.1420897999999</v>
      </c>
      <c r="I951">
        <v>1328.8692627</v>
      </c>
      <c r="J951">
        <v>1327.8830565999999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816.66697099999999</v>
      </c>
      <c r="B952" s="1">
        <f>DATE(2012,7,25) + TIME(16,0,26)</f>
        <v>41115.666967592595</v>
      </c>
      <c r="C952">
        <v>80</v>
      </c>
      <c r="D952">
        <v>79.912117003999995</v>
      </c>
      <c r="E952">
        <v>50</v>
      </c>
      <c r="F952">
        <v>48.551933288999997</v>
      </c>
      <c r="G952">
        <v>1335.6754149999999</v>
      </c>
      <c r="H952">
        <v>1334.1417236</v>
      </c>
      <c r="I952">
        <v>1328.8629149999999</v>
      </c>
      <c r="J952">
        <v>1327.8685303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819.15985599999999</v>
      </c>
      <c r="B953" s="1">
        <f>DATE(2012,7,28) + TIME(3,50,11)</f>
        <v>41118.159849537034</v>
      </c>
      <c r="C953">
        <v>80</v>
      </c>
      <c r="D953">
        <v>79.912101746000005</v>
      </c>
      <c r="E953">
        <v>50</v>
      </c>
      <c r="F953">
        <v>48.842304230000003</v>
      </c>
      <c r="G953">
        <v>1335.671875</v>
      </c>
      <c r="H953">
        <v>1334.1412353999999</v>
      </c>
      <c r="I953">
        <v>1328.8571777</v>
      </c>
      <c r="J953">
        <v>1327.8549805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821.69093699999996</v>
      </c>
      <c r="B954" s="1">
        <f>DATE(2012,7,30) + TIME(16,34,56)</f>
        <v>41120.690925925926</v>
      </c>
      <c r="C954">
        <v>80</v>
      </c>
      <c r="D954">
        <v>79.912094116000006</v>
      </c>
      <c r="E954">
        <v>50</v>
      </c>
      <c r="F954">
        <v>49.181648254000002</v>
      </c>
      <c r="G954">
        <v>1335.6682129000001</v>
      </c>
      <c r="H954">
        <v>1334.1407471</v>
      </c>
      <c r="I954">
        <v>1328.8520507999999</v>
      </c>
      <c r="J954">
        <v>1327.8425293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823</v>
      </c>
      <c r="B955" s="1">
        <f>DATE(2012,8,1) + TIME(0,0,0)</f>
        <v>41122</v>
      </c>
      <c r="C955">
        <v>80</v>
      </c>
      <c r="D955">
        <v>79.912048339999998</v>
      </c>
      <c r="E955">
        <v>50</v>
      </c>
      <c r="F955">
        <v>49.436019897000001</v>
      </c>
      <c r="G955">
        <v>1335.6647949000001</v>
      </c>
      <c r="H955">
        <v>1334.1402588000001</v>
      </c>
      <c r="I955">
        <v>1328.8492432</v>
      </c>
      <c r="J955">
        <v>1327.8322754000001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825.55060100000003</v>
      </c>
      <c r="B956" s="1">
        <f>DATE(2012,8,3) + TIME(13,12,51)</f>
        <v>41124.55059027778</v>
      </c>
      <c r="C956">
        <v>80</v>
      </c>
      <c r="D956">
        <v>79.912071228000002</v>
      </c>
      <c r="E956">
        <v>50</v>
      </c>
      <c r="F956">
        <v>49.821620940999999</v>
      </c>
      <c r="G956">
        <v>1335.6629639</v>
      </c>
      <c r="H956">
        <v>1334.1398925999999</v>
      </c>
      <c r="I956">
        <v>1328.8447266000001</v>
      </c>
      <c r="J956">
        <v>1327.8251952999999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828.16041700000005</v>
      </c>
      <c r="B957" s="1">
        <f>DATE(2012,8,6) + TIME(3,51,0)</f>
        <v>41127.160416666666</v>
      </c>
      <c r="C957">
        <v>80</v>
      </c>
      <c r="D957">
        <v>79.912086486999996</v>
      </c>
      <c r="E957">
        <v>50</v>
      </c>
      <c r="F957">
        <v>50.266414642000001</v>
      </c>
      <c r="G957">
        <v>1335.6595459</v>
      </c>
      <c r="H957">
        <v>1334.1394043</v>
      </c>
      <c r="I957">
        <v>1328.8415527</v>
      </c>
      <c r="J957">
        <v>1327.8162841999999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830.86795600000005</v>
      </c>
      <c r="B958" s="1">
        <f>DATE(2012,8,8) + TIME(20,49,51)</f>
        <v>41129.867951388886</v>
      </c>
      <c r="C958">
        <v>80</v>
      </c>
      <c r="D958">
        <v>79.912109375</v>
      </c>
      <c r="E958">
        <v>50</v>
      </c>
      <c r="F958">
        <v>50.768543243000003</v>
      </c>
      <c r="G958">
        <v>1335.65625</v>
      </c>
      <c r="H958">
        <v>1334.1389160000001</v>
      </c>
      <c r="I958">
        <v>1328.8388672000001</v>
      </c>
      <c r="J958">
        <v>1327.8084716999999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833.661115</v>
      </c>
      <c r="B959" s="1">
        <f>DATE(2012,8,11) + TIME(15,52,0)</f>
        <v>41132.661111111112</v>
      </c>
      <c r="C959">
        <v>80</v>
      </c>
      <c r="D959">
        <v>79.912132263000004</v>
      </c>
      <c r="E959">
        <v>50</v>
      </c>
      <c r="F959">
        <v>51.323265075999998</v>
      </c>
      <c r="G959">
        <v>1335.652832</v>
      </c>
      <c r="H959">
        <v>1334.1383057</v>
      </c>
      <c r="I959">
        <v>1328.8366699000001</v>
      </c>
      <c r="J959">
        <v>1327.8018798999999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836.51061500000003</v>
      </c>
      <c r="B960" s="1">
        <f>DATE(2012,8,14) + TIME(12,15,17)</f>
        <v>41135.510613425926</v>
      </c>
      <c r="C960">
        <v>80</v>
      </c>
      <c r="D960">
        <v>79.912155150999993</v>
      </c>
      <c r="E960">
        <v>50</v>
      </c>
      <c r="F960">
        <v>51.921127319</v>
      </c>
      <c r="G960">
        <v>1335.6495361</v>
      </c>
      <c r="H960">
        <v>1334.1376952999999</v>
      </c>
      <c r="I960">
        <v>1328.8352050999999</v>
      </c>
      <c r="J960">
        <v>1327.7963867000001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839.46029799999997</v>
      </c>
      <c r="B961" s="1">
        <f>DATE(2012,8,17) + TIME(11,2,49)</f>
        <v>41138.460289351853</v>
      </c>
      <c r="C961">
        <v>80</v>
      </c>
      <c r="D961">
        <v>79.912193298000005</v>
      </c>
      <c r="E961">
        <v>50</v>
      </c>
      <c r="F961">
        <v>52.557643890000001</v>
      </c>
      <c r="G961">
        <v>1335.6462402</v>
      </c>
      <c r="H961">
        <v>1334.1370850000001</v>
      </c>
      <c r="I961">
        <v>1328.8342285000001</v>
      </c>
      <c r="J961">
        <v>1327.7922363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842.53278299999999</v>
      </c>
      <c r="B962" s="1">
        <f>DATE(2012,8,20) + TIME(12,47,12)</f>
        <v>41141.532777777778</v>
      </c>
      <c r="C962">
        <v>80</v>
      </c>
      <c r="D962">
        <v>79.912239075000002</v>
      </c>
      <c r="E962">
        <v>50</v>
      </c>
      <c r="F962">
        <v>53.229263306</v>
      </c>
      <c r="G962">
        <v>1335.6429443</v>
      </c>
      <c r="H962">
        <v>1334.1364745999999</v>
      </c>
      <c r="I962">
        <v>1328.8338623</v>
      </c>
      <c r="J962">
        <v>1327.7893065999999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845.64873299999999</v>
      </c>
      <c r="B963" s="1">
        <f>DATE(2012,8,23) + TIME(15,34,10)</f>
        <v>41144.648726851854</v>
      </c>
      <c r="C963">
        <v>80</v>
      </c>
      <c r="D963">
        <v>79.912284850999995</v>
      </c>
      <c r="E963">
        <v>50</v>
      </c>
      <c r="F963">
        <v>53.922080993999998</v>
      </c>
      <c r="G963">
        <v>1335.6396483999999</v>
      </c>
      <c r="H963">
        <v>1334.1358643000001</v>
      </c>
      <c r="I963">
        <v>1328.8343506000001</v>
      </c>
      <c r="J963">
        <v>1327.7875977000001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848.84036100000003</v>
      </c>
      <c r="B964" s="1">
        <f>DATE(2012,8,26) + TIME(20,10,7)</f>
        <v>41147.840358796297</v>
      </c>
      <c r="C964">
        <v>80</v>
      </c>
      <c r="D964">
        <v>79.912338257000002</v>
      </c>
      <c r="E964">
        <v>50</v>
      </c>
      <c r="F964">
        <v>54.627681731999999</v>
      </c>
      <c r="G964">
        <v>1335.6364745999999</v>
      </c>
      <c r="H964">
        <v>1334.1352539</v>
      </c>
      <c r="I964">
        <v>1328.8352050999999</v>
      </c>
      <c r="J964">
        <v>1327.7871094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852.15988800000002</v>
      </c>
      <c r="B965" s="1">
        <f>DATE(2012,8,30) + TIME(3,50,14)</f>
        <v>41151.159884259258</v>
      </c>
      <c r="C965">
        <v>80</v>
      </c>
      <c r="D965">
        <v>79.912399292000003</v>
      </c>
      <c r="E965">
        <v>50</v>
      </c>
      <c r="F965">
        <v>55.343654633</v>
      </c>
      <c r="G965">
        <v>1335.6334228999999</v>
      </c>
      <c r="H965">
        <v>1334.1346435999999</v>
      </c>
      <c r="I965">
        <v>1328.8367920000001</v>
      </c>
      <c r="J965">
        <v>1327.7875977000001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854</v>
      </c>
      <c r="B966" s="1">
        <f>DATE(2012,9,1) + TIME(0,0,0)</f>
        <v>41153</v>
      </c>
      <c r="C966">
        <v>80</v>
      </c>
      <c r="D966">
        <v>79.912399292000003</v>
      </c>
      <c r="E966">
        <v>50</v>
      </c>
      <c r="F966">
        <v>55.865383147999999</v>
      </c>
      <c r="G966">
        <v>1335.6303711</v>
      </c>
      <c r="H966">
        <v>1334.1341553</v>
      </c>
      <c r="I966">
        <v>1328.8406981999999</v>
      </c>
      <c r="J966">
        <v>1327.7896728999999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857.47294499999998</v>
      </c>
      <c r="B967" s="1">
        <f>DATE(2012,9,4) + TIME(11,21,2)</f>
        <v>41156.472939814812</v>
      </c>
      <c r="C967">
        <v>80</v>
      </c>
      <c r="D967">
        <v>79.912506104000002</v>
      </c>
      <c r="E967">
        <v>50</v>
      </c>
      <c r="F967">
        <v>56.507942200000002</v>
      </c>
      <c r="G967">
        <v>1335.6286620999999</v>
      </c>
      <c r="H967">
        <v>1334.1337891000001</v>
      </c>
      <c r="I967">
        <v>1328.8400879000001</v>
      </c>
      <c r="J967">
        <v>1327.7913818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861.03512999999998</v>
      </c>
      <c r="B968" s="1">
        <f>DATE(2012,9,8) + TIME(0,50,35)</f>
        <v>41160.035127314812</v>
      </c>
      <c r="C968">
        <v>80</v>
      </c>
      <c r="D968">
        <v>79.912597656000003</v>
      </c>
      <c r="E968">
        <v>50</v>
      </c>
      <c r="F968">
        <v>57.183624268000003</v>
      </c>
      <c r="G968">
        <v>1335.6256103999999</v>
      </c>
      <c r="H968">
        <v>1334.1331786999999</v>
      </c>
      <c r="I968">
        <v>1328.8430175999999</v>
      </c>
      <c r="J968">
        <v>1327.7935791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864.72033399999998</v>
      </c>
      <c r="B969" s="1">
        <f>DATE(2012,9,11) + TIME(17,17,16)</f>
        <v>41163.720324074071</v>
      </c>
      <c r="C969">
        <v>80</v>
      </c>
      <c r="D969">
        <v>79.912689209000007</v>
      </c>
      <c r="E969">
        <v>50</v>
      </c>
      <c r="F969">
        <v>57.865299225000001</v>
      </c>
      <c r="G969">
        <v>1335.6226807</v>
      </c>
      <c r="H969">
        <v>1334.1326904</v>
      </c>
      <c r="I969">
        <v>1328.8463135</v>
      </c>
      <c r="J969">
        <v>1327.7967529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868.55385699999999</v>
      </c>
      <c r="B970" s="1">
        <f>DATE(2012,9,15) + TIME(13,17,33)</f>
        <v>41167.553854166668</v>
      </c>
      <c r="C970">
        <v>80</v>
      </c>
      <c r="D970">
        <v>79.912788391000007</v>
      </c>
      <c r="E970">
        <v>50</v>
      </c>
      <c r="F970">
        <v>58.540737151999998</v>
      </c>
      <c r="G970">
        <v>1335.619751</v>
      </c>
      <c r="H970">
        <v>1334.1320800999999</v>
      </c>
      <c r="I970">
        <v>1328.8499756000001</v>
      </c>
      <c r="J970">
        <v>1327.8006591999999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872.56986600000005</v>
      </c>
      <c r="B971" s="1">
        <f>DATE(2012,9,19) + TIME(13,40,36)</f>
        <v>41171.569861111115</v>
      </c>
      <c r="C971">
        <v>80</v>
      </c>
      <c r="D971">
        <v>79.912895203000005</v>
      </c>
      <c r="E971">
        <v>50</v>
      </c>
      <c r="F971">
        <v>59.205066680999998</v>
      </c>
      <c r="G971">
        <v>1335.6168213000001</v>
      </c>
      <c r="H971">
        <v>1334.1315918</v>
      </c>
      <c r="I971">
        <v>1328.8540039</v>
      </c>
      <c r="J971">
        <v>1327.8050536999999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876.60930699999994</v>
      </c>
      <c r="B972" s="1">
        <f>DATE(2012,9,23) + TIME(14,37,24)</f>
        <v>41175.609305555554</v>
      </c>
      <c r="C972">
        <v>80</v>
      </c>
      <c r="D972">
        <v>79.913009643999999</v>
      </c>
      <c r="E972">
        <v>50</v>
      </c>
      <c r="F972">
        <v>59.844219207999998</v>
      </c>
      <c r="G972">
        <v>1335.6140137</v>
      </c>
      <c r="H972">
        <v>1334.1311035000001</v>
      </c>
      <c r="I972">
        <v>1328.8583983999999</v>
      </c>
      <c r="J972">
        <v>1327.8099365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880.74119499999995</v>
      </c>
      <c r="B973" s="1">
        <f>DATE(2012,9,27) + TIME(17,47,19)</f>
        <v>41179.74119212963</v>
      </c>
      <c r="C973">
        <v>80</v>
      </c>
      <c r="D973">
        <v>79.913131714000002</v>
      </c>
      <c r="E973">
        <v>50</v>
      </c>
      <c r="F973">
        <v>60.450714111000003</v>
      </c>
      <c r="G973">
        <v>1335.6113281</v>
      </c>
      <c r="H973">
        <v>1334.1307373</v>
      </c>
      <c r="I973">
        <v>1328.862793</v>
      </c>
      <c r="J973">
        <v>1327.8150635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884</v>
      </c>
      <c r="B974" s="1">
        <f>DATE(2012,10,1) + TIME(0,0,0)</f>
        <v>41183</v>
      </c>
      <c r="C974">
        <v>80</v>
      </c>
      <c r="D974">
        <v>79.913208007999998</v>
      </c>
      <c r="E974">
        <v>50</v>
      </c>
      <c r="F974">
        <v>60.967529296999999</v>
      </c>
      <c r="G974">
        <v>1335.6087646000001</v>
      </c>
      <c r="H974">
        <v>1334.1303711</v>
      </c>
      <c r="I974">
        <v>1328.8677978999999</v>
      </c>
      <c r="J974">
        <v>1327.8204346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888.29752299999996</v>
      </c>
      <c r="B975" s="1">
        <f>DATE(2012,10,5) + TIME(7,8,26)</f>
        <v>41187.297523148147</v>
      </c>
      <c r="C975">
        <v>80</v>
      </c>
      <c r="D975">
        <v>79.913352966000005</v>
      </c>
      <c r="E975">
        <v>50</v>
      </c>
      <c r="F975">
        <v>61.470664978000002</v>
      </c>
      <c r="G975">
        <v>1335.6068115</v>
      </c>
      <c r="H975">
        <v>1334.1300048999999</v>
      </c>
      <c r="I975">
        <v>1328.8709716999999</v>
      </c>
      <c r="J975">
        <v>1327.8251952999999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892.85633299999995</v>
      </c>
      <c r="B976" s="1">
        <f>DATE(2012,10,9) + TIME(20,33,7)</f>
        <v>41191.85633101852</v>
      </c>
      <c r="C976">
        <v>80</v>
      </c>
      <c r="D976">
        <v>79.913505553999997</v>
      </c>
      <c r="E976">
        <v>50</v>
      </c>
      <c r="F976">
        <v>61.976947783999996</v>
      </c>
      <c r="G976">
        <v>1335.6042480000001</v>
      </c>
      <c r="H976">
        <v>1334.1296387</v>
      </c>
      <c r="I976">
        <v>1328.8753661999999</v>
      </c>
      <c r="J976">
        <v>1327.8294678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897.51005099999998</v>
      </c>
      <c r="B977" s="1">
        <f>DATE(2012,10,14) + TIME(12,14,28)</f>
        <v>41196.510046296295</v>
      </c>
      <c r="C977">
        <v>80</v>
      </c>
      <c r="D977">
        <v>79.913658142000003</v>
      </c>
      <c r="E977">
        <v>50</v>
      </c>
      <c r="F977">
        <v>62.468685149999999</v>
      </c>
      <c r="G977">
        <v>1335.6018065999999</v>
      </c>
      <c r="H977">
        <v>1334.1293945</v>
      </c>
      <c r="I977">
        <v>1328.8798827999999</v>
      </c>
      <c r="J977">
        <v>1327.8341064000001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902.34396300000003</v>
      </c>
      <c r="B978" s="1">
        <f>DATE(2012,10,19) + TIME(8,15,18)</f>
        <v>41201.343958333331</v>
      </c>
      <c r="C978">
        <v>80</v>
      </c>
      <c r="D978">
        <v>79.913825989000003</v>
      </c>
      <c r="E978">
        <v>50</v>
      </c>
      <c r="F978">
        <v>62.937023162999999</v>
      </c>
      <c r="G978">
        <v>1335.5994873</v>
      </c>
      <c r="H978">
        <v>1334.1291504000001</v>
      </c>
      <c r="I978">
        <v>1328.8845214999999</v>
      </c>
      <c r="J978">
        <v>1327.8388672000001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907.45328099999995</v>
      </c>
      <c r="B979" s="1">
        <f>DATE(2012,10,24) + TIME(10,52,43)</f>
        <v>41206.453275462962</v>
      </c>
      <c r="C979">
        <v>80</v>
      </c>
      <c r="D979">
        <v>79.914001464999998</v>
      </c>
      <c r="E979">
        <v>50</v>
      </c>
      <c r="F979">
        <v>63.384239196999999</v>
      </c>
      <c r="G979">
        <v>1335.597168</v>
      </c>
      <c r="H979">
        <v>1334.1289062000001</v>
      </c>
      <c r="I979">
        <v>1328.8889160000001</v>
      </c>
      <c r="J979">
        <v>1327.8435059000001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912.71962599999995</v>
      </c>
      <c r="B980" s="1">
        <f>DATE(2012,10,29) + TIME(17,16,15)</f>
        <v>41211.719618055555</v>
      </c>
      <c r="C980">
        <v>80</v>
      </c>
      <c r="D980">
        <v>79.914184570000003</v>
      </c>
      <c r="E980">
        <v>50</v>
      </c>
      <c r="F980">
        <v>63.80991745</v>
      </c>
      <c r="G980">
        <v>1335.5948486</v>
      </c>
      <c r="H980">
        <v>1334.1286620999999</v>
      </c>
      <c r="I980">
        <v>1328.8934326000001</v>
      </c>
      <c r="J980">
        <v>1327.8479004000001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915</v>
      </c>
      <c r="B981" s="1">
        <f>DATE(2012,11,1) + TIME(0,0,0)</f>
        <v>41214</v>
      </c>
      <c r="C981">
        <v>80</v>
      </c>
      <c r="D981">
        <v>79.914222717000001</v>
      </c>
      <c r="E981">
        <v>50</v>
      </c>
      <c r="F981">
        <v>64.091468810999999</v>
      </c>
      <c r="G981">
        <v>1335.5927733999999</v>
      </c>
      <c r="H981">
        <v>1334.1286620999999</v>
      </c>
      <c r="I981">
        <v>1328.8990478999999</v>
      </c>
      <c r="J981">
        <v>1327.8526611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915.000001</v>
      </c>
      <c r="B982" s="1">
        <f>DATE(2012,11,1) + TIME(0,0,0)</f>
        <v>41214</v>
      </c>
      <c r="C982">
        <v>80</v>
      </c>
      <c r="D982">
        <v>79.914192200000002</v>
      </c>
      <c r="E982">
        <v>50</v>
      </c>
      <c r="F982">
        <v>64.091499329000001</v>
      </c>
      <c r="G982">
        <v>1333.9187012</v>
      </c>
      <c r="H982">
        <v>1333.8845214999999</v>
      </c>
      <c r="I982">
        <v>1330.3420410000001</v>
      </c>
      <c r="J982">
        <v>1329.1638184000001</v>
      </c>
      <c r="K982">
        <v>0</v>
      </c>
      <c r="L982">
        <v>550</v>
      </c>
      <c r="M982">
        <v>550</v>
      </c>
      <c r="N982">
        <v>0</v>
      </c>
    </row>
    <row r="983" spans="1:14" x14ac:dyDescent="0.25">
      <c r="A983">
        <v>915.00000399999999</v>
      </c>
      <c r="B983" s="1">
        <f>DATE(2012,11,1) + TIME(0,0,0)</f>
        <v>41214</v>
      </c>
      <c r="C983">
        <v>80</v>
      </c>
      <c r="D983">
        <v>79.914138793999996</v>
      </c>
      <c r="E983">
        <v>50</v>
      </c>
      <c r="F983">
        <v>64.091545104999994</v>
      </c>
      <c r="G983">
        <v>1333.5637207</v>
      </c>
      <c r="H983">
        <v>1333.5433350000001</v>
      </c>
      <c r="I983">
        <v>1330.7340088000001</v>
      </c>
      <c r="J983">
        <v>1329.6341553</v>
      </c>
      <c r="K983">
        <v>0</v>
      </c>
      <c r="L983">
        <v>550</v>
      </c>
      <c r="M983">
        <v>550</v>
      </c>
      <c r="N983">
        <v>0</v>
      </c>
    </row>
    <row r="984" spans="1:14" x14ac:dyDescent="0.25">
      <c r="A984">
        <v>915.00001299999997</v>
      </c>
      <c r="B984" s="1">
        <f>DATE(2012,11,1) + TIME(0,0,1)</f>
        <v>41214.000011574077</v>
      </c>
      <c r="C984">
        <v>80</v>
      </c>
      <c r="D984">
        <v>79.914077758999994</v>
      </c>
      <c r="E984">
        <v>50</v>
      </c>
      <c r="F984">
        <v>64.091567992999998</v>
      </c>
      <c r="G984">
        <v>1333.1204834</v>
      </c>
      <c r="H984">
        <v>1333.0841064000001</v>
      </c>
      <c r="I984">
        <v>1331.3134766000001</v>
      </c>
      <c r="J984">
        <v>1330.2247314000001</v>
      </c>
      <c r="K984">
        <v>0</v>
      </c>
      <c r="L984">
        <v>550</v>
      </c>
      <c r="M984">
        <v>550</v>
      </c>
      <c r="N984">
        <v>0</v>
      </c>
    </row>
    <row r="985" spans="1:14" x14ac:dyDescent="0.25">
      <c r="A985">
        <v>915.00004000000001</v>
      </c>
      <c r="B985" s="1">
        <f>DATE(2012,11,1) + TIME(0,0,3)</f>
        <v>41214.000034722223</v>
      </c>
      <c r="C985">
        <v>80</v>
      </c>
      <c r="D985">
        <v>79.914009093999994</v>
      </c>
      <c r="E985">
        <v>50</v>
      </c>
      <c r="F985">
        <v>64.091484070000007</v>
      </c>
      <c r="G985">
        <v>1332.6481934000001</v>
      </c>
      <c r="H985">
        <v>1332.5773925999999</v>
      </c>
      <c r="I985">
        <v>1331.9794922000001</v>
      </c>
      <c r="J985">
        <v>1330.8695068</v>
      </c>
      <c r="K985">
        <v>0</v>
      </c>
      <c r="L985">
        <v>550</v>
      </c>
      <c r="M985">
        <v>550</v>
      </c>
      <c r="N985">
        <v>0</v>
      </c>
    </row>
    <row r="986" spans="1:14" x14ac:dyDescent="0.25">
      <c r="A986">
        <v>915.00012100000004</v>
      </c>
      <c r="B986" s="1">
        <f>DATE(2012,11,1) + TIME(0,0,10)</f>
        <v>41214.000115740739</v>
      </c>
      <c r="C986">
        <v>80</v>
      </c>
      <c r="D986">
        <v>79.913932799999998</v>
      </c>
      <c r="E986">
        <v>50</v>
      </c>
      <c r="F986">
        <v>64.091056824000006</v>
      </c>
      <c r="G986">
        <v>1332.1643065999999</v>
      </c>
      <c r="H986">
        <v>1332.0556641000001</v>
      </c>
      <c r="I986">
        <v>1332.6486815999999</v>
      </c>
      <c r="J986">
        <v>1331.5124512</v>
      </c>
      <c r="K986">
        <v>0</v>
      </c>
      <c r="L986">
        <v>550</v>
      </c>
      <c r="M986">
        <v>550</v>
      </c>
      <c r="N986">
        <v>0</v>
      </c>
    </row>
    <row r="987" spans="1:14" x14ac:dyDescent="0.25">
      <c r="A987">
        <v>915.00036399999999</v>
      </c>
      <c r="B987" s="1">
        <f>DATE(2012,11,1) + TIME(0,0,31)</f>
        <v>41214.000358796293</v>
      </c>
      <c r="C987">
        <v>80</v>
      </c>
      <c r="D987">
        <v>79.913848877000007</v>
      </c>
      <c r="E987">
        <v>50</v>
      </c>
      <c r="F987">
        <v>64.089546204000001</v>
      </c>
      <c r="G987">
        <v>1331.7058105000001</v>
      </c>
      <c r="H987">
        <v>1331.5573730000001</v>
      </c>
      <c r="I987">
        <v>1333.2669678</v>
      </c>
      <c r="J987">
        <v>1332.0949707</v>
      </c>
      <c r="K987">
        <v>0</v>
      </c>
      <c r="L987">
        <v>550</v>
      </c>
      <c r="M987">
        <v>550</v>
      </c>
      <c r="N987">
        <v>0</v>
      </c>
    </row>
    <row r="988" spans="1:14" x14ac:dyDescent="0.25">
      <c r="A988">
        <v>915.00109299999997</v>
      </c>
      <c r="B988" s="1">
        <f>DATE(2012,11,1) + TIME(0,1,34)</f>
        <v>41214.001087962963</v>
      </c>
      <c r="C988">
        <v>80</v>
      </c>
      <c r="D988">
        <v>79.913742064999994</v>
      </c>
      <c r="E988">
        <v>50</v>
      </c>
      <c r="F988">
        <v>64.084686278999996</v>
      </c>
      <c r="G988">
        <v>1331.3499756000001</v>
      </c>
      <c r="H988">
        <v>1331.1704102000001</v>
      </c>
      <c r="I988">
        <v>1333.7430420000001</v>
      </c>
      <c r="J988">
        <v>1332.5329589999999</v>
      </c>
      <c r="K988">
        <v>0</v>
      </c>
      <c r="L988">
        <v>550</v>
      </c>
      <c r="M988">
        <v>550</v>
      </c>
      <c r="N988">
        <v>0</v>
      </c>
    </row>
    <row r="989" spans="1:14" x14ac:dyDescent="0.25">
      <c r="A989">
        <v>915.00328000000002</v>
      </c>
      <c r="B989" s="1">
        <f>DATE(2012,11,1) + TIME(0,4,43)</f>
        <v>41214.003275462965</v>
      </c>
      <c r="C989">
        <v>80</v>
      </c>
      <c r="D989">
        <v>79.913528442</v>
      </c>
      <c r="E989">
        <v>50</v>
      </c>
      <c r="F989">
        <v>64.069694518999995</v>
      </c>
      <c r="G989">
        <v>1331.1345214999999</v>
      </c>
      <c r="H989">
        <v>1330.9404297000001</v>
      </c>
      <c r="I989">
        <v>1334.0268555</v>
      </c>
      <c r="J989">
        <v>1332.7927245999999</v>
      </c>
      <c r="K989">
        <v>0</v>
      </c>
      <c r="L989">
        <v>550</v>
      </c>
      <c r="M989">
        <v>550</v>
      </c>
      <c r="N989">
        <v>0</v>
      </c>
    </row>
    <row r="990" spans="1:14" x14ac:dyDescent="0.25">
      <c r="A990">
        <v>915.00984100000005</v>
      </c>
      <c r="B990" s="1">
        <f>DATE(2012,11,1) + TIME(0,14,10)</f>
        <v>41214.009837962964</v>
      </c>
      <c r="C990">
        <v>80</v>
      </c>
      <c r="D990">
        <v>79.912971497000001</v>
      </c>
      <c r="E990">
        <v>50</v>
      </c>
      <c r="F990">
        <v>64.024452209000003</v>
      </c>
      <c r="G990">
        <v>1331.0292969</v>
      </c>
      <c r="H990">
        <v>1330.8308105000001</v>
      </c>
      <c r="I990">
        <v>1334.1511230000001</v>
      </c>
      <c r="J990">
        <v>1332.9072266000001</v>
      </c>
      <c r="K990">
        <v>0</v>
      </c>
      <c r="L990">
        <v>550</v>
      </c>
      <c r="M990">
        <v>550</v>
      </c>
      <c r="N990">
        <v>0</v>
      </c>
    </row>
    <row r="991" spans="1:14" x14ac:dyDescent="0.25">
      <c r="A991">
        <v>915.02952400000004</v>
      </c>
      <c r="B991" s="1">
        <f>DATE(2012,11,1) + TIME(0,42,30)</f>
        <v>41214.029513888891</v>
      </c>
      <c r="C991">
        <v>80</v>
      </c>
      <c r="D991">
        <v>79.911338806000003</v>
      </c>
      <c r="E991">
        <v>50</v>
      </c>
      <c r="F991">
        <v>63.889961243000002</v>
      </c>
      <c r="G991">
        <v>1330.9906006000001</v>
      </c>
      <c r="H991">
        <v>1330.7908935999999</v>
      </c>
      <c r="I991">
        <v>1334.1802978999999</v>
      </c>
      <c r="J991">
        <v>1332.9338379000001</v>
      </c>
      <c r="K991">
        <v>0</v>
      </c>
      <c r="L991">
        <v>550</v>
      </c>
      <c r="M991">
        <v>550</v>
      </c>
      <c r="N991">
        <v>0</v>
      </c>
    </row>
    <row r="992" spans="1:14" x14ac:dyDescent="0.25">
      <c r="A992">
        <v>915.088573</v>
      </c>
      <c r="B992" s="1">
        <f>DATE(2012,11,1) + TIME(2,7,32)</f>
        <v>41214.088564814818</v>
      </c>
      <c r="C992">
        <v>80</v>
      </c>
      <c r="D992">
        <v>79.906455993999998</v>
      </c>
      <c r="E992">
        <v>50</v>
      </c>
      <c r="F992">
        <v>63.499729156000001</v>
      </c>
      <c r="G992">
        <v>1330.9803466999999</v>
      </c>
      <c r="H992">
        <v>1330.7792969</v>
      </c>
      <c r="I992">
        <v>1334.1782227000001</v>
      </c>
      <c r="J992">
        <v>1332.9305420000001</v>
      </c>
      <c r="K992">
        <v>0</v>
      </c>
      <c r="L992">
        <v>550</v>
      </c>
      <c r="M992">
        <v>550</v>
      </c>
      <c r="N992">
        <v>0</v>
      </c>
    </row>
    <row r="993" spans="1:14" x14ac:dyDescent="0.25">
      <c r="A993">
        <v>915.18065300000001</v>
      </c>
      <c r="B993" s="1">
        <f>DATE(2012,11,1) + TIME(4,20,8)</f>
        <v>41214.180648148147</v>
      </c>
      <c r="C993">
        <v>80</v>
      </c>
      <c r="D993">
        <v>79.898849487000007</v>
      </c>
      <c r="E993">
        <v>50</v>
      </c>
      <c r="F993">
        <v>62.921989441000001</v>
      </c>
      <c r="G993">
        <v>1330.973999</v>
      </c>
      <c r="H993">
        <v>1330.7700195</v>
      </c>
      <c r="I993">
        <v>1334.1716309000001</v>
      </c>
      <c r="J993">
        <v>1332.9232178</v>
      </c>
      <c r="K993">
        <v>0</v>
      </c>
      <c r="L993">
        <v>550</v>
      </c>
      <c r="M993">
        <v>550</v>
      </c>
      <c r="N993">
        <v>0</v>
      </c>
    </row>
    <row r="994" spans="1:14" x14ac:dyDescent="0.25">
      <c r="A994">
        <v>915.27702699999998</v>
      </c>
      <c r="B994" s="1">
        <f>DATE(2012,11,1) + TIME(6,38,55)</f>
        <v>41214.277025462965</v>
      </c>
      <c r="C994">
        <v>80</v>
      </c>
      <c r="D994">
        <v>79.890869140999996</v>
      </c>
      <c r="E994">
        <v>50</v>
      </c>
      <c r="F994">
        <v>62.349037170000003</v>
      </c>
      <c r="G994">
        <v>1330.9660644999999</v>
      </c>
      <c r="H994">
        <v>1330.7580565999999</v>
      </c>
      <c r="I994">
        <v>1334.1650391000001</v>
      </c>
      <c r="J994">
        <v>1332.9163818</v>
      </c>
      <c r="K994">
        <v>0</v>
      </c>
      <c r="L994">
        <v>550</v>
      </c>
      <c r="M994">
        <v>550</v>
      </c>
      <c r="N994">
        <v>0</v>
      </c>
    </row>
    <row r="995" spans="1:14" x14ac:dyDescent="0.25">
      <c r="A995">
        <v>915.37778700000001</v>
      </c>
      <c r="B995" s="1">
        <f>DATE(2012,11,1) + TIME(9,4,0)</f>
        <v>41214.37777777778</v>
      </c>
      <c r="C995">
        <v>80</v>
      </c>
      <c r="D995">
        <v>79.882499695000007</v>
      </c>
      <c r="E995">
        <v>50</v>
      </c>
      <c r="F995">
        <v>61.782295226999999</v>
      </c>
      <c r="G995">
        <v>1330.9580077999999</v>
      </c>
      <c r="H995">
        <v>1330.7458495999999</v>
      </c>
      <c r="I995">
        <v>1334.1586914</v>
      </c>
      <c r="J995">
        <v>1332.9097899999999</v>
      </c>
      <c r="K995">
        <v>0</v>
      </c>
      <c r="L995">
        <v>550</v>
      </c>
      <c r="M995">
        <v>550</v>
      </c>
      <c r="N995">
        <v>0</v>
      </c>
    </row>
    <row r="996" spans="1:14" x14ac:dyDescent="0.25">
      <c r="A996">
        <v>915.48324400000001</v>
      </c>
      <c r="B996" s="1">
        <f>DATE(2012,11,1) + TIME(11,35,52)</f>
        <v>41214.483240740738</v>
      </c>
      <c r="C996">
        <v>80</v>
      </c>
      <c r="D996">
        <v>79.873710631999998</v>
      </c>
      <c r="E996">
        <v>50</v>
      </c>
      <c r="F996">
        <v>61.221996306999998</v>
      </c>
      <c r="G996">
        <v>1330.9500731999999</v>
      </c>
      <c r="H996">
        <v>1330.7336425999999</v>
      </c>
      <c r="I996">
        <v>1334.152832</v>
      </c>
      <c r="J996">
        <v>1332.9034423999999</v>
      </c>
      <c r="K996">
        <v>0</v>
      </c>
      <c r="L996">
        <v>550</v>
      </c>
      <c r="M996">
        <v>550</v>
      </c>
      <c r="N996">
        <v>0</v>
      </c>
    </row>
    <row r="997" spans="1:14" x14ac:dyDescent="0.25">
      <c r="A997">
        <v>915.59374000000003</v>
      </c>
      <c r="B997" s="1">
        <f>DATE(2012,11,1) + TIME(14,14,59)</f>
        <v>41214.593738425923</v>
      </c>
      <c r="C997">
        <v>80</v>
      </c>
      <c r="D997">
        <v>79.864486693999993</v>
      </c>
      <c r="E997">
        <v>50</v>
      </c>
      <c r="F997">
        <v>60.668395996000001</v>
      </c>
      <c r="G997">
        <v>1330.9418945</v>
      </c>
      <c r="H997">
        <v>1330.7213135</v>
      </c>
      <c r="I997">
        <v>1334.1474608999999</v>
      </c>
      <c r="J997">
        <v>1332.8973389</v>
      </c>
      <c r="K997">
        <v>0</v>
      </c>
      <c r="L997">
        <v>550</v>
      </c>
      <c r="M997">
        <v>550</v>
      </c>
      <c r="N997">
        <v>0</v>
      </c>
    </row>
    <row r="998" spans="1:14" x14ac:dyDescent="0.25">
      <c r="A998">
        <v>915.70967499999995</v>
      </c>
      <c r="B998" s="1">
        <f>DATE(2012,11,1) + TIME(17,1,55)</f>
        <v>41214.709664351853</v>
      </c>
      <c r="C998">
        <v>80</v>
      </c>
      <c r="D998">
        <v>79.854789733999993</v>
      </c>
      <c r="E998">
        <v>50</v>
      </c>
      <c r="F998">
        <v>60.121669769</v>
      </c>
      <c r="G998">
        <v>1330.9335937999999</v>
      </c>
      <c r="H998">
        <v>1330.7088623</v>
      </c>
      <c r="I998">
        <v>1334.1424560999999</v>
      </c>
      <c r="J998">
        <v>1332.8916016000001</v>
      </c>
      <c r="K998">
        <v>0</v>
      </c>
      <c r="L998">
        <v>550</v>
      </c>
      <c r="M998">
        <v>550</v>
      </c>
      <c r="N998">
        <v>0</v>
      </c>
    </row>
    <row r="999" spans="1:14" x14ac:dyDescent="0.25">
      <c r="A999">
        <v>915.83144000000004</v>
      </c>
      <c r="B999" s="1">
        <f>DATE(2012,11,1) + TIME(19,57,16)</f>
        <v>41214.831435185188</v>
      </c>
      <c r="C999">
        <v>80</v>
      </c>
      <c r="D999">
        <v>79.844581603999998</v>
      </c>
      <c r="E999">
        <v>50</v>
      </c>
      <c r="F999">
        <v>59.581859588999997</v>
      </c>
      <c r="G999">
        <v>1330.925293</v>
      </c>
      <c r="H999">
        <v>1330.6961670000001</v>
      </c>
      <c r="I999">
        <v>1334.1379394999999</v>
      </c>
      <c r="J999">
        <v>1332.8862305</v>
      </c>
      <c r="K999">
        <v>0</v>
      </c>
      <c r="L999">
        <v>550</v>
      </c>
      <c r="M999">
        <v>550</v>
      </c>
      <c r="N999">
        <v>0</v>
      </c>
    </row>
    <row r="1000" spans="1:14" x14ac:dyDescent="0.25">
      <c r="A1000">
        <v>915.95949099999996</v>
      </c>
      <c r="B1000" s="1">
        <f>DATE(2012,11,1) + TIME(23,1,39)</f>
        <v>41214.959479166668</v>
      </c>
      <c r="C1000">
        <v>80</v>
      </c>
      <c r="D1000">
        <v>79.833831786999994</v>
      </c>
      <c r="E1000">
        <v>50</v>
      </c>
      <c r="F1000">
        <v>59.049537659000002</v>
      </c>
      <c r="G1000">
        <v>1330.9168701000001</v>
      </c>
      <c r="H1000">
        <v>1330.6833495999999</v>
      </c>
      <c r="I1000">
        <v>1334.1339111</v>
      </c>
      <c r="J1000">
        <v>1332.8811035000001</v>
      </c>
      <c r="K1000">
        <v>0</v>
      </c>
      <c r="L1000">
        <v>550</v>
      </c>
      <c r="M1000">
        <v>550</v>
      </c>
      <c r="N1000">
        <v>0</v>
      </c>
    </row>
    <row r="1001" spans="1:14" x14ac:dyDescent="0.25">
      <c r="A1001">
        <v>916.09433100000001</v>
      </c>
      <c r="B1001" s="1">
        <f>DATE(2012,11,2) + TIME(2,15,50)</f>
        <v>41215.094328703701</v>
      </c>
      <c r="C1001">
        <v>80</v>
      </c>
      <c r="D1001">
        <v>79.822494507000002</v>
      </c>
      <c r="E1001">
        <v>50</v>
      </c>
      <c r="F1001">
        <v>58.525188446000001</v>
      </c>
      <c r="G1001">
        <v>1330.9083252</v>
      </c>
      <c r="H1001">
        <v>1330.6702881000001</v>
      </c>
      <c r="I1001">
        <v>1334.1304932</v>
      </c>
      <c r="J1001">
        <v>1332.8764647999999</v>
      </c>
      <c r="K1001">
        <v>0</v>
      </c>
      <c r="L1001">
        <v>550</v>
      </c>
      <c r="M1001">
        <v>550</v>
      </c>
      <c r="N1001">
        <v>0</v>
      </c>
    </row>
    <row r="1002" spans="1:14" x14ac:dyDescent="0.25">
      <c r="A1002">
        <v>916.23651900000004</v>
      </c>
      <c r="B1002" s="1">
        <f>DATE(2012,11,2) + TIME(5,40,35)</f>
        <v>41215.236516203702</v>
      </c>
      <c r="C1002">
        <v>80</v>
      </c>
      <c r="D1002">
        <v>79.810523986999996</v>
      </c>
      <c r="E1002">
        <v>50</v>
      </c>
      <c r="F1002">
        <v>58.009254456000001</v>
      </c>
      <c r="G1002">
        <v>1330.8995361</v>
      </c>
      <c r="H1002">
        <v>1330.6571045000001</v>
      </c>
      <c r="I1002">
        <v>1334.1275635</v>
      </c>
      <c r="J1002">
        <v>1332.8720702999999</v>
      </c>
      <c r="K1002">
        <v>0</v>
      </c>
      <c r="L1002">
        <v>550</v>
      </c>
      <c r="M1002">
        <v>550</v>
      </c>
      <c r="N1002">
        <v>0</v>
      </c>
    </row>
    <row r="1003" spans="1:14" x14ac:dyDescent="0.25">
      <c r="A1003">
        <v>916.38658699999996</v>
      </c>
      <c r="B1003" s="1">
        <f>DATE(2012,11,2) + TIME(9,16,41)</f>
        <v>41215.38658564815</v>
      </c>
      <c r="C1003">
        <v>80</v>
      </c>
      <c r="D1003">
        <v>79.797882079999994</v>
      </c>
      <c r="E1003">
        <v>50</v>
      </c>
      <c r="F1003">
        <v>57.502510071000003</v>
      </c>
      <c r="G1003">
        <v>1330.8907471</v>
      </c>
      <c r="H1003">
        <v>1330.6435547000001</v>
      </c>
      <c r="I1003">
        <v>1334.1253661999999</v>
      </c>
      <c r="J1003">
        <v>1332.8681641000001</v>
      </c>
      <c r="K1003">
        <v>0</v>
      </c>
      <c r="L1003">
        <v>550</v>
      </c>
      <c r="M1003">
        <v>550</v>
      </c>
      <c r="N1003">
        <v>0</v>
      </c>
    </row>
    <row r="1004" spans="1:14" x14ac:dyDescent="0.25">
      <c r="A1004">
        <v>916.54527499999995</v>
      </c>
      <c r="B1004" s="1">
        <f>DATE(2012,11,2) + TIME(13,5,11)</f>
        <v>41215.545266203706</v>
      </c>
      <c r="C1004">
        <v>80</v>
      </c>
      <c r="D1004">
        <v>79.784507751000007</v>
      </c>
      <c r="E1004">
        <v>50</v>
      </c>
      <c r="F1004">
        <v>57.005290985000002</v>
      </c>
      <c r="G1004">
        <v>1330.8817139</v>
      </c>
      <c r="H1004">
        <v>1330.6298827999999</v>
      </c>
      <c r="I1004">
        <v>1334.1236572</v>
      </c>
      <c r="J1004">
        <v>1332.8647461</v>
      </c>
      <c r="K1004">
        <v>0</v>
      </c>
      <c r="L1004">
        <v>550</v>
      </c>
      <c r="M1004">
        <v>550</v>
      </c>
      <c r="N1004">
        <v>0</v>
      </c>
    </row>
    <row r="1005" spans="1:14" x14ac:dyDescent="0.25">
      <c r="A1005">
        <v>916.71336899999994</v>
      </c>
      <c r="B1005" s="1">
        <f>DATE(2012,11,2) + TIME(17,7,15)</f>
        <v>41215.713368055556</v>
      </c>
      <c r="C1005">
        <v>80</v>
      </c>
      <c r="D1005">
        <v>79.770339965999995</v>
      </c>
      <c r="E1005">
        <v>50</v>
      </c>
      <c r="F1005">
        <v>56.518123627000001</v>
      </c>
      <c r="G1005">
        <v>1330.8724365</v>
      </c>
      <c r="H1005">
        <v>1330.6159668</v>
      </c>
      <c r="I1005">
        <v>1334.1226807</v>
      </c>
      <c r="J1005">
        <v>1332.8616943</v>
      </c>
      <c r="K1005">
        <v>0</v>
      </c>
      <c r="L1005">
        <v>550</v>
      </c>
      <c r="M1005">
        <v>550</v>
      </c>
      <c r="N1005">
        <v>0</v>
      </c>
    </row>
    <row r="1006" spans="1:14" x14ac:dyDescent="0.25">
      <c r="A1006">
        <v>916.89172799999994</v>
      </c>
      <c r="B1006" s="1">
        <f>DATE(2012,11,2) + TIME(21,24,5)</f>
        <v>41215.891724537039</v>
      </c>
      <c r="C1006">
        <v>80</v>
      </c>
      <c r="D1006">
        <v>79.755310058999996</v>
      </c>
      <c r="E1006">
        <v>50</v>
      </c>
      <c r="F1006">
        <v>56.041660309000001</v>
      </c>
      <c r="G1006">
        <v>1330.8630370999999</v>
      </c>
      <c r="H1006">
        <v>1330.6016846</v>
      </c>
      <c r="I1006">
        <v>1334.1224365</v>
      </c>
      <c r="J1006">
        <v>1332.8590088000001</v>
      </c>
      <c r="K1006">
        <v>0</v>
      </c>
      <c r="L1006">
        <v>550</v>
      </c>
      <c r="M1006">
        <v>550</v>
      </c>
      <c r="N1006">
        <v>0</v>
      </c>
    </row>
    <row r="1007" spans="1:14" x14ac:dyDescent="0.25">
      <c r="A1007">
        <v>917.08131200000003</v>
      </c>
      <c r="B1007" s="1">
        <f>DATE(2012,11,3) + TIME(1,57,5)</f>
        <v>41216.081307870372</v>
      </c>
      <c r="C1007">
        <v>80</v>
      </c>
      <c r="D1007">
        <v>79.739349364999995</v>
      </c>
      <c r="E1007">
        <v>50</v>
      </c>
      <c r="F1007">
        <v>55.576618195000002</v>
      </c>
      <c r="G1007">
        <v>1330.8535156</v>
      </c>
      <c r="H1007">
        <v>1330.5871582</v>
      </c>
      <c r="I1007">
        <v>1334.1229248</v>
      </c>
      <c r="J1007">
        <v>1332.8569336</v>
      </c>
      <c r="K1007">
        <v>0</v>
      </c>
      <c r="L1007">
        <v>550</v>
      </c>
      <c r="M1007">
        <v>550</v>
      </c>
      <c r="N1007">
        <v>0</v>
      </c>
    </row>
    <row r="1008" spans="1:14" x14ac:dyDescent="0.25">
      <c r="A1008">
        <v>917.28320099999996</v>
      </c>
      <c r="B1008" s="1">
        <f>DATE(2012,11,3) + TIME(6,47,48)</f>
        <v>41216.283194444448</v>
      </c>
      <c r="C1008">
        <v>80</v>
      </c>
      <c r="D1008">
        <v>79.722373962000006</v>
      </c>
      <c r="E1008">
        <v>50</v>
      </c>
      <c r="F1008">
        <v>55.123783111999998</v>
      </c>
      <c r="G1008">
        <v>1330.8436279</v>
      </c>
      <c r="H1008">
        <v>1330.5723877</v>
      </c>
      <c r="I1008">
        <v>1334.1241454999999</v>
      </c>
      <c r="J1008">
        <v>1332.8554687999999</v>
      </c>
      <c r="K1008">
        <v>0</v>
      </c>
      <c r="L1008">
        <v>550</v>
      </c>
      <c r="M1008">
        <v>550</v>
      </c>
      <c r="N1008">
        <v>0</v>
      </c>
    </row>
    <row r="1009" spans="1:14" x14ac:dyDescent="0.25">
      <c r="A1009">
        <v>917.49861199999998</v>
      </c>
      <c r="B1009" s="1">
        <f>DATE(2012,11,3) + TIME(11,58,0)</f>
        <v>41216.498611111114</v>
      </c>
      <c r="C1009">
        <v>80</v>
      </c>
      <c r="D1009">
        <v>79.704299926999994</v>
      </c>
      <c r="E1009">
        <v>50</v>
      </c>
      <c r="F1009">
        <v>54.683998107999997</v>
      </c>
      <c r="G1009">
        <v>1330.8336182</v>
      </c>
      <c r="H1009">
        <v>1330.5571289</v>
      </c>
      <c r="I1009">
        <v>1334.1262207</v>
      </c>
      <c r="J1009">
        <v>1332.8543701000001</v>
      </c>
      <c r="K1009">
        <v>0</v>
      </c>
      <c r="L1009">
        <v>550</v>
      </c>
      <c r="M1009">
        <v>550</v>
      </c>
      <c r="N1009">
        <v>0</v>
      </c>
    </row>
    <row r="1010" spans="1:14" x14ac:dyDescent="0.25">
      <c r="A1010">
        <v>917.72891800000002</v>
      </c>
      <c r="B1010" s="1">
        <f>DATE(2012,11,3) + TIME(17,29,38)</f>
        <v>41216.728912037041</v>
      </c>
      <c r="C1010">
        <v>80</v>
      </c>
      <c r="D1010">
        <v>79.685020446999999</v>
      </c>
      <c r="E1010">
        <v>50</v>
      </c>
      <c r="F1010">
        <v>54.258190155000001</v>
      </c>
      <c r="G1010">
        <v>1330.8232422000001</v>
      </c>
      <c r="H1010">
        <v>1330.5415039</v>
      </c>
      <c r="I1010">
        <v>1334.1291504000001</v>
      </c>
      <c r="J1010">
        <v>1332.8538818</v>
      </c>
      <c r="K1010">
        <v>0</v>
      </c>
      <c r="L1010">
        <v>550</v>
      </c>
      <c r="M1010">
        <v>550</v>
      </c>
      <c r="N1010">
        <v>0</v>
      </c>
    </row>
    <row r="1011" spans="1:14" x14ac:dyDescent="0.25">
      <c r="A1011">
        <v>917.97567600000002</v>
      </c>
      <c r="B1011" s="1">
        <f>DATE(2012,11,3) + TIME(23,24,58)</f>
        <v>41216.975671296299</v>
      </c>
      <c r="C1011">
        <v>80</v>
      </c>
      <c r="D1011">
        <v>79.664428710999999</v>
      </c>
      <c r="E1011">
        <v>50</v>
      </c>
      <c r="F1011">
        <v>53.847343445</v>
      </c>
      <c r="G1011">
        <v>1330.8126221</v>
      </c>
      <c r="H1011">
        <v>1330.5253906</v>
      </c>
      <c r="I1011">
        <v>1334.1328125</v>
      </c>
      <c r="J1011">
        <v>1332.8540039</v>
      </c>
      <c r="K1011">
        <v>0</v>
      </c>
      <c r="L1011">
        <v>550</v>
      </c>
      <c r="M1011">
        <v>550</v>
      </c>
      <c r="N1011">
        <v>0</v>
      </c>
    </row>
    <row r="1012" spans="1:14" x14ac:dyDescent="0.25">
      <c r="A1012">
        <v>918.24064799999996</v>
      </c>
      <c r="B1012" s="1">
        <f>DATE(2012,11,4) + TIME(5,46,32)</f>
        <v>41217.240648148145</v>
      </c>
      <c r="C1012">
        <v>80</v>
      </c>
      <c r="D1012">
        <v>79.642402649000005</v>
      </c>
      <c r="E1012">
        <v>50</v>
      </c>
      <c r="F1012">
        <v>53.452507019000002</v>
      </c>
      <c r="G1012">
        <v>1330.8016356999999</v>
      </c>
      <c r="H1012">
        <v>1330.5087891000001</v>
      </c>
      <c r="I1012">
        <v>1334.1374512</v>
      </c>
      <c r="J1012">
        <v>1332.8546143000001</v>
      </c>
      <c r="K1012">
        <v>0</v>
      </c>
      <c r="L1012">
        <v>550</v>
      </c>
      <c r="M1012">
        <v>550</v>
      </c>
      <c r="N1012">
        <v>0</v>
      </c>
    </row>
    <row r="1013" spans="1:14" x14ac:dyDescent="0.25">
      <c r="A1013">
        <v>918.52582399999994</v>
      </c>
      <c r="B1013" s="1">
        <f>DATE(2012,11,4) + TIME(12,37,11)</f>
        <v>41217.525821759256</v>
      </c>
      <c r="C1013">
        <v>80</v>
      </c>
      <c r="D1013">
        <v>79.618797302000004</v>
      </c>
      <c r="E1013">
        <v>50</v>
      </c>
      <c r="F1013">
        <v>53.074817656999997</v>
      </c>
      <c r="G1013">
        <v>1330.7902832</v>
      </c>
      <c r="H1013">
        <v>1330.4916992000001</v>
      </c>
      <c r="I1013">
        <v>1334.1429443</v>
      </c>
      <c r="J1013">
        <v>1332.8558350000001</v>
      </c>
      <c r="K1013">
        <v>0</v>
      </c>
      <c r="L1013">
        <v>550</v>
      </c>
      <c r="M1013">
        <v>550</v>
      </c>
      <c r="N1013">
        <v>0</v>
      </c>
    </row>
    <row r="1014" spans="1:14" x14ac:dyDescent="0.25">
      <c r="A1014">
        <v>918.83337700000004</v>
      </c>
      <c r="B1014" s="1">
        <f>DATE(2012,11,4) + TIME(20,0,3)</f>
        <v>41217.833368055559</v>
      </c>
      <c r="C1014">
        <v>80</v>
      </c>
      <c r="D1014">
        <v>79.593475342000005</v>
      </c>
      <c r="E1014">
        <v>50</v>
      </c>
      <c r="F1014">
        <v>52.715538025000001</v>
      </c>
      <c r="G1014">
        <v>1330.7784423999999</v>
      </c>
      <c r="H1014">
        <v>1330.4738769999999</v>
      </c>
      <c r="I1014">
        <v>1334.1492920000001</v>
      </c>
      <c r="J1014">
        <v>1332.8577881000001</v>
      </c>
      <c r="K1014">
        <v>0</v>
      </c>
      <c r="L1014">
        <v>550</v>
      </c>
      <c r="M1014">
        <v>550</v>
      </c>
      <c r="N1014">
        <v>0</v>
      </c>
    </row>
    <row r="1015" spans="1:14" x14ac:dyDescent="0.25">
      <c r="A1015">
        <v>919.166021</v>
      </c>
      <c r="B1015" s="1">
        <f>DATE(2012,11,5) + TIME(3,59,4)</f>
        <v>41218.166018518517</v>
      </c>
      <c r="C1015">
        <v>80</v>
      </c>
      <c r="D1015">
        <v>79.566268921000002</v>
      </c>
      <c r="E1015">
        <v>50</v>
      </c>
      <c r="F1015">
        <v>52.375709534000002</v>
      </c>
      <c r="G1015">
        <v>1330.7661132999999</v>
      </c>
      <c r="H1015">
        <v>1330.4555664</v>
      </c>
      <c r="I1015">
        <v>1334.1564940999999</v>
      </c>
      <c r="J1015">
        <v>1332.8602295000001</v>
      </c>
      <c r="K1015">
        <v>0</v>
      </c>
      <c r="L1015">
        <v>550</v>
      </c>
      <c r="M1015">
        <v>550</v>
      </c>
      <c r="N1015">
        <v>0</v>
      </c>
    </row>
    <row r="1016" spans="1:14" x14ac:dyDescent="0.25">
      <c r="A1016">
        <v>919.52675499999998</v>
      </c>
      <c r="B1016" s="1">
        <f>DATE(2012,11,5) + TIME(12,38,31)</f>
        <v>41218.526747685188</v>
      </c>
      <c r="C1016">
        <v>80</v>
      </c>
      <c r="D1016">
        <v>79.536964416999993</v>
      </c>
      <c r="E1016">
        <v>50</v>
      </c>
      <c r="F1016">
        <v>52.056499481000003</v>
      </c>
      <c r="G1016">
        <v>1330.753418</v>
      </c>
      <c r="H1016">
        <v>1330.4364014</v>
      </c>
      <c r="I1016">
        <v>1334.1645507999999</v>
      </c>
      <c r="J1016">
        <v>1332.8632812000001</v>
      </c>
      <c r="K1016">
        <v>0</v>
      </c>
      <c r="L1016">
        <v>550</v>
      </c>
      <c r="M1016">
        <v>550</v>
      </c>
      <c r="N1016">
        <v>0</v>
      </c>
    </row>
    <row r="1017" spans="1:14" x14ac:dyDescent="0.25">
      <c r="A1017">
        <v>919.91902200000004</v>
      </c>
      <c r="B1017" s="1">
        <f>DATE(2012,11,5) + TIME(22,3,23)</f>
        <v>41218.919016203705</v>
      </c>
      <c r="C1017">
        <v>80</v>
      </c>
      <c r="D1017">
        <v>79.505371093999997</v>
      </c>
      <c r="E1017">
        <v>50</v>
      </c>
      <c r="F1017">
        <v>51.759044647000003</v>
      </c>
      <c r="G1017">
        <v>1330.7399902</v>
      </c>
      <c r="H1017">
        <v>1330.4163818</v>
      </c>
      <c r="I1017">
        <v>1334.1734618999999</v>
      </c>
      <c r="J1017">
        <v>1332.8668213000001</v>
      </c>
      <c r="K1017">
        <v>0</v>
      </c>
      <c r="L1017">
        <v>550</v>
      </c>
      <c r="M1017">
        <v>550</v>
      </c>
      <c r="N1017">
        <v>0</v>
      </c>
    </row>
    <row r="1018" spans="1:14" x14ac:dyDescent="0.25">
      <c r="A1018">
        <v>920.34678199999996</v>
      </c>
      <c r="B1018" s="1">
        <f>DATE(2012,11,6) + TIME(8,19,21)</f>
        <v>41219.346770833334</v>
      </c>
      <c r="C1018">
        <v>80</v>
      </c>
      <c r="D1018">
        <v>79.471237183</v>
      </c>
      <c r="E1018">
        <v>50</v>
      </c>
      <c r="F1018">
        <v>51.484405518000003</v>
      </c>
      <c r="G1018">
        <v>1330.7259521000001</v>
      </c>
      <c r="H1018">
        <v>1330.3955077999999</v>
      </c>
      <c r="I1018">
        <v>1334.1831055</v>
      </c>
      <c r="J1018">
        <v>1332.8709716999999</v>
      </c>
      <c r="K1018">
        <v>0</v>
      </c>
      <c r="L1018">
        <v>550</v>
      </c>
      <c r="M1018">
        <v>550</v>
      </c>
      <c r="N1018">
        <v>0</v>
      </c>
    </row>
    <row r="1019" spans="1:14" x14ac:dyDescent="0.25">
      <c r="A1019">
        <v>920.81460100000004</v>
      </c>
      <c r="B1019" s="1">
        <f>DATE(2012,11,6) + TIME(19,33,1)</f>
        <v>41219.81459490741</v>
      </c>
      <c r="C1019">
        <v>80</v>
      </c>
      <c r="D1019">
        <v>79.434303283999995</v>
      </c>
      <c r="E1019">
        <v>50</v>
      </c>
      <c r="F1019">
        <v>51.233497620000001</v>
      </c>
      <c r="G1019">
        <v>1330.7113036999999</v>
      </c>
      <c r="H1019">
        <v>1330.3736572</v>
      </c>
      <c r="I1019">
        <v>1334.1934814000001</v>
      </c>
      <c r="J1019">
        <v>1332.8756103999999</v>
      </c>
      <c r="K1019">
        <v>0</v>
      </c>
      <c r="L1019">
        <v>550</v>
      </c>
      <c r="M1019">
        <v>550</v>
      </c>
      <c r="N1019">
        <v>0</v>
      </c>
    </row>
    <row r="1020" spans="1:14" x14ac:dyDescent="0.25">
      <c r="A1020">
        <v>921.32775500000002</v>
      </c>
      <c r="B1020" s="1">
        <f>DATE(2012,11,7) + TIME(7,51,58)</f>
        <v>41220.32775462963</v>
      </c>
      <c r="C1020">
        <v>80</v>
      </c>
      <c r="D1020">
        <v>79.394264221</v>
      </c>
      <c r="E1020">
        <v>50</v>
      </c>
      <c r="F1020">
        <v>51.007049561000002</v>
      </c>
      <c r="G1020">
        <v>1330.6956786999999</v>
      </c>
      <c r="H1020">
        <v>1330.3505858999999</v>
      </c>
      <c r="I1020">
        <v>1334.2044678</v>
      </c>
      <c r="J1020">
        <v>1332.8807373</v>
      </c>
      <c r="K1020">
        <v>0</v>
      </c>
      <c r="L1020">
        <v>550</v>
      </c>
      <c r="M1020">
        <v>550</v>
      </c>
      <c r="N1020">
        <v>0</v>
      </c>
    </row>
    <row r="1021" spans="1:14" x14ac:dyDescent="0.25">
      <c r="A1021">
        <v>921.89235599999995</v>
      </c>
      <c r="B1021" s="1">
        <f>DATE(2012,11,7) + TIME(21,24,59)</f>
        <v>41220.89234953704</v>
      </c>
      <c r="C1021">
        <v>80</v>
      </c>
      <c r="D1021">
        <v>79.350791931000003</v>
      </c>
      <c r="E1021">
        <v>50</v>
      </c>
      <c r="F1021">
        <v>50.805500031000001</v>
      </c>
      <c r="G1021">
        <v>1330.6791992000001</v>
      </c>
      <c r="H1021">
        <v>1330.3261719</v>
      </c>
      <c r="I1021">
        <v>1334.2158202999999</v>
      </c>
      <c r="J1021">
        <v>1332.8862305</v>
      </c>
      <c r="K1021">
        <v>0</v>
      </c>
      <c r="L1021">
        <v>550</v>
      </c>
      <c r="M1021">
        <v>550</v>
      </c>
      <c r="N1021">
        <v>0</v>
      </c>
    </row>
    <row r="1022" spans="1:14" x14ac:dyDescent="0.25">
      <c r="A1022">
        <v>922.515488</v>
      </c>
      <c r="B1022" s="1">
        <f>DATE(2012,11,8) + TIME(12,22,18)</f>
        <v>41221.515486111108</v>
      </c>
      <c r="C1022">
        <v>80</v>
      </c>
      <c r="D1022">
        <v>79.303504943999997</v>
      </c>
      <c r="E1022">
        <v>50</v>
      </c>
      <c r="F1022">
        <v>50.628955841</v>
      </c>
      <c r="G1022">
        <v>1330.6616211</v>
      </c>
      <c r="H1022">
        <v>1330.3004149999999</v>
      </c>
      <c r="I1022">
        <v>1334.2276611</v>
      </c>
      <c r="J1022">
        <v>1332.8920897999999</v>
      </c>
      <c r="K1022">
        <v>0</v>
      </c>
      <c r="L1022">
        <v>550</v>
      </c>
      <c r="M1022">
        <v>550</v>
      </c>
      <c r="N1022">
        <v>0</v>
      </c>
    </row>
    <row r="1023" spans="1:14" x14ac:dyDescent="0.25">
      <c r="A1023">
        <v>923.17436599999996</v>
      </c>
      <c r="B1023" s="1">
        <f>DATE(2012,11,9) + TIME(4,11,5)</f>
        <v>41222.174363425926</v>
      </c>
      <c r="C1023">
        <v>80</v>
      </c>
      <c r="D1023">
        <v>79.254051208000007</v>
      </c>
      <c r="E1023">
        <v>50</v>
      </c>
      <c r="F1023">
        <v>50.482433319000002</v>
      </c>
      <c r="G1023">
        <v>1330.6429443</v>
      </c>
      <c r="H1023">
        <v>1330.2730713000001</v>
      </c>
      <c r="I1023">
        <v>1334.2399902</v>
      </c>
      <c r="J1023">
        <v>1332.8981934000001</v>
      </c>
      <c r="K1023">
        <v>0</v>
      </c>
      <c r="L1023">
        <v>550</v>
      </c>
      <c r="M1023">
        <v>550</v>
      </c>
      <c r="N1023">
        <v>0</v>
      </c>
    </row>
    <row r="1024" spans="1:14" x14ac:dyDescent="0.25">
      <c r="A1024">
        <v>923.85402399999998</v>
      </c>
      <c r="B1024" s="1">
        <f>DATE(2012,11,9) + TIME(20,29,47)</f>
        <v>41222.854016203702</v>
      </c>
      <c r="C1024">
        <v>80</v>
      </c>
      <c r="D1024">
        <v>79.203460692999997</v>
      </c>
      <c r="E1024">
        <v>50</v>
      </c>
      <c r="F1024">
        <v>50.364543914999999</v>
      </c>
      <c r="G1024">
        <v>1330.6237793</v>
      </c>
      <c r="H1024">
        <v>1330.2451172000001</v>
      </c>
      <c r="I1024">
        <v>1334.2518310999999</v>
      </c>
      <c r="J1024">
        <v>1332.9042969</v>
      </c>
      <c r="K1024">
        <v>0</v>
      </c>
      <c r="L1024">
        <v>550</v>
      </c>
      <c r="M1024">
        <v>550</v>
      </c>
      <c r="N1024">
        <v>0</v>
      </c>
    </row>
    <row r="1025" spans="1:14" x14ac:dyDescent="0.25">
      <c r="A1025">
        <v>924.55657799999994</v>
      </c>
      <c r="B1025" s="1">
        <f>DATE(2012,11,10) + TIME(13,21,28)</f>
        <v>41223.556574074071</v>
      </c>
      <c r="C1025">
        <v>80</v>
      </c>
      <c r="D1025">
        <v>79.151618958</v>
      </c>
      <c r="E1025">
        <v>50</v>
      </c>
      <c r="F1025">
        <v>50.27015686</v>
      </c>
      <c r="G1025">
        <v>1330.6043701000001</v>
      </c>
      <c r="H1025">
        <v>1330.2170410000001</v>
      </c>
      <c r="I1025">
        <v>1334.2628173999999</v>
      </c>
      <c r="J1025">
        <v>1332.9099120999999</v>
      </c>
      <c r="K1025">
        <v>0</v>
      </c>
      <c r="L1025">
        <v>550</v>
      </c>
      <c r="M1025">
        <v>550</v>
      </c>
      <c r="N1025">
        <v>0</v>
      </c>
    </row>
    <row r="1026" spans="1:14" x14ac:dyDescent="0.25">
      <c r="A1026">
        <v>925.28451500000006</v>
      </c>
      <c r="B1026" s="1">
        <f>DATE(2012,11,11) + TIME(6,49,42)</f>
        <v>41224.284513888888</v>
      </c>
      <c r="C1026">
        <v>80</v>
      </c>
      <c r="D1026">
        <v>79.098358153999996</v>
      </c>
      <c r="E1026">
        <v>50</v>
      </c>
      <c r="F1026">
        <v>50.194972991999997</v>
      </c>
      <c r="G1026">
        <v>1330.5848389</v>
      </c>
      <c r="H1026">
        <v>1330.1885986</v>
      </c>
      <c r="I1026">
        <v>1334.2728271000001</v>
      </c>
      <c r="J1026">
        <v>1332.9150391000001</v>
      </c>
      <c r="K1026">
        <v>0</v>
      </c>
      <c r="L1026">
        <v>550</v>
      </c>
      <c r="M1026">
        <v>550</v>
      </c>
      <c r="N1026">
        <v>0</v>
      </c>
    </row>
    <row r="1027" spans="1:14" x14ac:dyDescent="0.25">
      <c r="A1027">
        <v>926.04009699999995</v>
      </c>
      <c r="B1027" s="1">
        <f>DATE(2012,11,12) + TIME(0,57,44)</f>
        <v>41225.040092592593</v>
      </c>
      <c r="C1027">
        <v>80</v>
      </c>
      <c r="D1027">
        <v>79.043548584000007</v>
      </c>
      <c r="E1027">
        <v>50</v>
      </c>
      <c r="F1027">
        <v>50.135463715</v>
      </c>
      <c r="G1027">
        <v>1330.5649414</v>
      </c>
      <c r="H1027">
        <v>1330.1599120999999</v>
      </c>
      <c r="I1027">
        <v>1334.2821045000001</v>
      </c>
      <c r="J1027">
        <v>1332.9197998</v>
      </c>
      <c r="K1027">
        <v>0</v>
      </c>
      <c r="L1027">
        <v>550</v>
      </c>
      <c r="M1027">
        <v>550</v>
      </c>
      <c r="N1027">
        <v>0</v>
      </c>
    </row>
    <row r="1028" spans="1:14" x14ac:dyDescent="0.25">
      <c r="A1028">
        <v>926.82578100000001</v>
      </c>
      <c r="B1028" s="1">
        <f>DATE(2012,11,12) + TIME(19,49,7)</f>
        <v>41225.825775462959</v>
      </c>
      <c r="C1028">
        <v>80</v>
      </c>
      <c r="D1028">
        <v>78.987045288000004</v>
      </c>
      <c r="E1028">
        <v>50</v>
      </c>
      <c r="F1028">
        <v>50.088661193999997</v>
      </c>
      <c r="G1028">
        <v>1330.5446777</v>
      </c>
      <c r="H1028">
        <v>1330.1308594</v>
      </c>
      <c r="I1028">
        <v>1334.2904053</v>
      </c>
      <c r="J1028">
        <v>1332.9239502</v>
      </c>
      <c r="K1028">
        <v>0</v>
      </c>
      <c r="L1028">
        <v>550</v>
      </c>
      <c r="M1028">
        <v>550</v>
      </c>
      <c r="N1028">
        <v>0</v>
      </c>
    </row>
    <row r="1029" spans="1:14" x14ac:dyDescent="0.25">
      <c r="A1029">
        <v>927.64424599999995</v>
      </c>
      <c r="B1029" s="1">
        <f>DATE(2012,11,13) + TIME(15,27,42)</f>
        <v>41226.644236111111</v>
      </c>
      <c r="C1029">
        <v>80</v>
      </c>
      <c r="D1029">
        <v>78.928665160999998</v>
      </c>
      <c r="E1029">
        <v>50</v>
      </c>
      <c r="F1029">
        <v>50.052108765</v>
      </c>
      <c r="G1029">
        <v>1330.5240478999999</v>
      </c>
      <c r="H1029">
        <v>1330.1013184000001</v>
      </c>
      <c r="I1029">
        <v>1334.2978516000001</v>
      </c>
      <c r="J1029">
        <v>1332.9277344</v>
      </c>
      <c r="K1029">
        <v>0</v>
      </c>
      <c r="L1029">
        <v>550</v>
      </c>
      <c r="M1029">
        <v>550</v>
      </c>
      <c r="N1029">
        <v>0</v>
      </c>
    </row>
    <row r="1030" spans="1:14" x14ac:dyDescent="0.25">
      <c r="A1030">
        <v>928.49842799999999</v>
      </c>
      <c r="B1030" s="1">
        <f>DATE(2012,11,14) + TIME(11,57,44)</f>
        <v>41227.498425925929</v>
      </c>
      <c r="C1030">
        <v>80</v>
      </c>
      <c r="D1030">
        <v>78.868217467999997</v>
      </c>
      <c r="E1030">
        <v>50</v>
      </c>
      <c r="F1030">
        <v>50.023750305</v>
      </c>
      <c r="G1030">
        <v>1330.5030518000001</v>
      </c>
      <c r="H1030">
        <v>1330.0711670000001</v>
      </c>
      <c r="I1030">
        <v>1334.3045654</v>
      </c>
      <c r="J1030">
        <v>1332.9310303</v>
      </c>
      <c r="K1030">
        <v>0</v>
      </c>
      <c r="L1030">
        <v>550</v>
      </c>
      <c r="M1030">
        <v>550</v>
      </c>
      <c r="N1030">
        <v>0</v>
      </c>
    </row>
    <row r="1031" spans="1:14" x14ac:dyDescent="0.25">
      <c r="A1031">
        <v>929.39154900000005</v>
      </c>
      <c r="B1031" s="1">
        <f>DATE(2012,11,15) + TIME(9,23,49)</f>
        <v>41228.391539351855</v>
      </c>
      <c r="C1031">
        <v>80</v>
      </c>
      <c r="D1031">
        <v>78.805480957</v>
      </c>
      <c r="E1031">
        <v>50</v>
      </c>
      <c r="F1031">
        <v>50.001911163000003</v>
      </c>
      <c r="G1031">
        <v>1330.4815673999999</v>
      </c>
      <c r="H1031">
        <v>1330.0406493999999</v>
      </c>
      <c r="I1031">
        <v>1334.3105469</v>
      </c>
      <c r="J1031">
        <v>1332.9338379000001</v>
      </c>
      <c r="K1031">
        <v>0</v>
      </c>
      <c r="L1031">
        <v>550</v>
      </c>
      <c r="M1031">
        <v>550</v>
      </c>
      <c r="N1031">
        <v>0</v>
      </c>
    </row>
    <row r="1032" spans="1:14" x14ac:dyDescent="0.25">
      <c r="A1032">
        <v>930.32717200000002</v>
      </c>
      <c r="B1032" s="1">
        <f>DATE(2012,11,16) + TIME(7,51,7)</f>
        <v>41229.327164351853</v>
      </c>
      <c r="C1032">
        <v>80</v>
      </c>
      <c r="D1032">
        <v>78.740226746000005</v>
      </c>
      <c r="E1032">
        <v>50</v>
      </c>
      <c r="F1032">
        <v>49.985191344999997</v>
      </c>
      <c r="G1032">
        <v>1330.4595947</v>
      </c>
      <c r="H1032">
        <v>1330.0093993999999</v>
      </c>
      <c r="I1032">
        <v>1334.3157959</v>
      </c>
      <c r="J1032">
        <v>1332.9362793</v>
      </c>
      <c r="K1032">
        <v>0</v>
      </c>
      <c r="L1032">
        <v>550</v>
      </c>
      <c r="M1032">
        <v>550</v>
      </c>
      <c r="N1032">
        <v>0</v>
      </c>
    </row>
    <row r="1033" spans="1:14" x14ac:dyDescent="0.25">
      <c r="A1033">
        <v>931.30925999999999</v>
      </c>
      <c r="B1033" s="1">
        <f>DATE(2012,11,17) + TIME(7,25,20)</f>
        <v>41230.309259259258</v>
      </c>
      <c r="C1033">
        <v>80</v>
      </c>
      <c r="D1033">
        <v>78.672164917000003</v>
      </c>
      <c r="E1033">
        <v>50</v>
      </c>
      <c r="F1033">
        <v>49.972484588999997</v>
      </c>
      <c r="G1033">
        <v>1330.4370117000001</v>
      </c>
      <c r="H1033">
        <v>1329.9774170000001</v>
      </c>
      <c r="I1033">
        <v>1334.3204346</v>
      </c>
      <c r="J1033">
        <v>1332.9383545000001</v>
      </c>
      <c r="K1033">
        <v>0</v>
      </c>
      <c r="L1033">
        <v>550</v>
      </c>
      <c r="M1033">
        <v>550</v>
      </c>
      <c r="N1033">
        <v>0</v>
      </c>
    </row>
    <row r="1034" spans="1:14" x14ac:dyDescent="0.25">
      <c r="A1034">
        <v>932.34224099999994</v>
      </c>
      <c r="B1034" s="1">
        <f>DATE(2012,11,18) + TIME(8,12,49)</f>
        <v>41231.342233796298</v>
      </c>
      <c r="C1034">
        <v>80</v>
      </c>
      <c r="D1034">
        <v>78.600982665999993</v>
      </c>
      <c r="E1034">
        <v>50</v>
      </c>
      <c r="F1034">
        <v>49.962882995999998</v>
      </c>
      <c r="G1034">
        <v>1330.4138184000001</v>
      </c>
      <c r="H1034">
        <v>1329.9445800999999</v>
      </c>
      <c r="I1034">
        <v>1334.3243408000001</v>
      </c>
      <c r="J1034">
        <v>1332.9400635</v>
      </c>
      <c r="K1034">
        <v>0</v>
      </c>
      <c r="L1034">
        <v>550</v>
      </c>
      <c r="M1034">
        <v>550</v>
      </c>
      <c r="N1034">
        <v>0</v>
      </c>
    </row>
    <row r="1035" spans="1:14" x14ac:dyDescent="0.25">
      <c r="A1035">
        <v>933.430747</v>
      </c>
      <c r="B1035" s="1">
        <f>DATE(2012,11,19) + TIME(10,20,16)</f>
        <v>41232.43074074074</v>
      </c>
      <c r="C1035">
        <v>80</v>
      </c>
      <c r="D1035">
        <v>78.526321410999998</v>
      </c>
      <c r="E1035">
        <v>50</v>
      </c>
      <c r="F1035">
        <v>49.955669403000002</v>
      </c>
      <c r="G1035">
        <v>1330.3900146000001</v>
      </c>
      <c r="H1035">
        <v>1329.9110106999999</v>
      </c>
      <c r="I1035">
        <v>1334.3277588000001</v>
      </c>
      <c r="J1035">
        <v>1332.9412841999999</v>
      </c>
      <c r="K1035">
        <v>0</v>
      </c>
      <c r="L1035">
        <v>550</v>
      </c>
      <c r="M1035">
        <v>550</v>
      </c>
      <c r="N1035">
        <v>0</v>
      </c>
    </row>
    <row r="1036" spans="1:14" x14ac:dyDescent="0.25">
      <c r="A1036">
        <v>934.580512</v>
      </c>
      <c r="B1036" s="1">
        <f>DATE(2012,11,20) + TIME(13,55,56)</f>
        <v>41233.580509259256</v>
      </c>
      <c r="C1036">
        <v>80</v>
      </c>
      <c r="D1036">
        <v>78.447761536000002</v>
      </c>
      <c r="E1036">
        <v>50</v>
      </c>
      <c r="F1036">
        <v>49.950271606000001</v>
      </c>
      <c r="G1036">
        <v>1330.3653564000001</v>
      </c>
      <c r="H1036">
        <v>1329.8764647999999</v>
      </c>
      <c r="I1036">
        <v>1334.3305664</v>
      </c>
      <c r="J1036">
        <v>1332.9422606999999</v>
      </c>
      <c r="K1036">
        <v>0</v>
      </c>
      <c r="L1036">
        <v>550</v>
      </c>
      <c r="M1036">
        <v>550</v>
      </c>
      <c r="N1036">
        <v>0</v>
      </c>
    </row>
    <row r="1037" spans="1:14" x14ac:dyDescent="0.25">
      <c r="A1037">
        <v>935.79801599999996</v>
      </c>
      <c r="B1037" s="1">
        <f>DATE(2012,11,21) + TIME(19,9,8)</f>
        <v>41234.798009259262</v>
      </c>
      <c r="C1037">
        <v>80</v>
      </c>
      <c r="D1037">
        <v>78.364791870000005</v>
      </c>
      <c r="E1037">
        <v>50</v>
      </c>
      <c r="F1037">
        <v>49.946239470999998</v>
      </c>
      <c r="G1037">
        <v>1330.3399658000001</v>
      </c>
      <c r="H1037">
        <v>1329.8409423999999</v>
      </c>
      <c r="I1037">
        <v>1334.3330077999999</v>
      </c>
      <c r="J1037">
        <v>1332.9428711</v>
      </c>
      <c r="K1037">
        <v>0</v>
      </c>
      <c r="L1037">
        <v>550</v>
      </c>
      <c r="M1037">
        <v>550</v>
      </c>
      <c r="N1037">
        <v>0</v>
      </c>
    </row>
    <row r="1038" spans="1:14" x14ac:dyDescent="0.25">
      <c r="A1038">
        <v>937.08254299999999</v>
      </c>
      <c r="B1038" s="1">
        <f>DATE(2012,11,23) + TIME(1,58,51)</f>
        <v>41236.08253472222</v>
      </c>
      <c r="C1038">
        <v>80</v>
      </c>
      <c r="D1038">
        <v>78.277275084999999</v>
      </c>
      <c r="E1038">
        <v>50</v>
      </c>
      <c r="F1038">
        <v>49.943248748999999</v>
      </c>
      <c r="G1038">
        <v>1330.3137207</v>
      </c>
      <c r="H1038">
        <v>1329.8041992000001</v>
      </c>
      <c r="I1038">
        <v>1334.3348389</v>
      </c>
      <c r="J1038">
        <v>1332.9432373</v>
      </c>
      <c r="K1038">
        <v>0</v>
      </c>
      <c r="L1038">
        <v>550</v>
      </c>
      <c r="M1038">
        <v>550</v>
      </c>
      <c r="N1038">
        <v>0</v>
      </c>
    </row>
    <row r="1039" spans="1:14" x14ac:dyDescent="0.25">
      <c r="A1039">
        <v>938.43717100000003</v>
      </c>
      <c r="B1039" s="1">
        <f>DATE(2012,11,24) + TIME(10,29,31)</f>
        <v>41237.437164351853</v>
      </c>
      <c r="C1039">
        <v>80</v>
      </c>
      <c r="D1039">
        <v>78.184829711999996</v>
      </c>
      <c r="E1039">
        <v>50</v>
      </c>
      <c r="F1039">
        <v>49.941036224000001</v>
      </c>
      <c r="G1039">
        <v>1330.2866211</v>
      </c>
      <c r="H1039">
        <v>1329.7664795000001</v>
      </c>
      <c r="I1039">
        <v>1334.3364257999999</v>
      </c>
      <c r="J1039">
        <v>1332.9433594</v>
      </c>
      <c r="K1039">
        <v>0</v>
      </c>
      <c r="L1039">
        <v>550</v>
      </c>
      <c r="M1039">
        <v>550</v>
      </c>
      <c r="N1039">
        <v>0</v>
      </c>
    </row>
    <row r="1040" spans="1:14" x14ac:dyDescent="0.25">
      <c r="A1040">
        <v>939.86824899999999</v>
      </c>
      <c r="B1040" s="1">
        <f>DATE(2012,11,25) + TIME(20,50,16)</f>
        <v>41238.86824074074</v>
      </c>
      <c r="C1040">
        <v>80</v>
      </c>
      <c r="D1040">
        <v>78.086875915999997</v>
      </c>
      <c r="E1040">
        <v>50</v>
      </c>
      <c r="F1040">
        <v>49.939388274999999</v>
      </c>
      <c r="G1040">
        <v>1330.2586670000001</v>
      </c>
      <c r="H1040">
        <v>1329.7275391000001</v>
      </c>
      <c r="I1040">
        <v>1334.3375243999999</v>
      </c>
      <c r="J1040">
        <v>1332.9433594</v>
      </c>
      <c r="K1040">
        <v>0</v>
      </c>
      <c r="L1040">
        <v>550</v>
      </c>
      <c r="M1040">
        <v>550</v>
      </c>
      <c r="N1040">
        <v>0</v>
      </c>
    </row>
    <row r="1041" spans="1:14" x14ac:dyDescent="0.25">
      <c r="A1041">
        <v>941.38362099999995</v>
      </c>
      <c r="B1041" s="1">
        <f>DATE(2012,11,27) + TIME(9,12,24)</f>
        <v>41240.383611111109</v>
      </c>
      <c r="C1041">
        <v>80</v>
      </c>
      <c r="D1041">
        <v>77.982742310000006</v>
      </c>
      <c r="E1041">
        <v>50</v>
      </c>
      <c r="F1041">
        <v>49.938163756999998</v>
      </c>
      <c r="G1041">
        <v>1330.2297363</v>
      </c>
      <c r="H1041">
        <v>1329.6876221</v>
      </c>
      <c r="I1041">
        <v>1334.3382568</v>
      </c>
      <c r="J1041">
        <v>1332.9429932</v>
      </c>
      <c r="K1041">
        <v>0</v>
      </c>
      <c r="L1041">
        <v>550</v>
      </c>
      <c r="M1041">
        <v>550</v>
      </c>
      <c r="N1041">
        <v>0</v>
      </c>
    </row>
    <row r="1042" spans="1:14" x14ac:dyDescent="0.25">
      <c r="A1042">
        <v>942.99244999999996</v>
      </c>
      <c r="B1042" s="1">
        <f>DATE(2012,11,28) + TIME(23,49,7)</f>
        <v>41241.992442129631</v>
      </c>
      <c r="C1042">
        <v>80</v>
      </c>
      <c r="D1042">
        <v>77.871604919000006</v>
      </c>
      <c r="E1042">
        <v>50</v>
      </c>
      <c r="F1042">
        <v>49.937252045000001</v>
      </c>
      <c r="G1042">
        <v>1330.1999512</v>
      </c>
      <c r="H1042">
        <v>1329.6463623</v>
      </c>
      <c r="I1042">
        <v>1334.3388672000001</v>
      </c>
      <c r="J1042">
        <v>1332.9425048999999</v>
      </c>
      <c r="K1042">
        <v>0</v>
      </c>
      <c r="L1042">
        <v>550</v>
      </c>
      <c r="M1042">
        <v>550</v>
      </c>
      <c r="N1042">
        <v>0</v>
      </c>
    </row>
    <row r="1043" spans="1:14" x14ac:dyDescent="0.25">
      <c r="A1043">
        <v>944.68450700000005</v>
      </c>
      <c r="B1043" s="1">
        <f>DATE(2012,11,30) + TIME(16,25,41)</f>
        <v>41243.684502314813</v>
      </c>
      <c r="C1043">
        <v>80</v>
      </c>
      <c r="D1043">
        <v>77.753524780000006</v>
      </c>
      <c r="E1043">
        <v>50</v>
      </c>
      <c r="F1043">
        <v>49.936573029000002</v>
      </c>
      <c r="G1043">
        <v>1330.1690673999999</v>
      </c>
      <c r="H1043">
        <v>1329.6037598</v>
      </c>
      <c r="I1043">
        <v>1334.3389893000001</v>
      </c>
      <c r="J1043">
        <v>1332.9418945</v>
      </c>
      <c r="K1043">
        <v>0</v>
      </c>
      <c r="L1043">
        <v>550</v>
      </c>
      <c r="M1043">
        <v>550</v>
      </c>
      <c r="N1043">
        <v>0</v>
      </c>
    </row>
    <row r="1044" spans="1:14" x14ac:dyDescent="0.25">
      <c r="A1044">
        <v>945</v>
      </c>
      <c r="B1044" s="1">
        <f>DATE(2012,12,1) + TIME(0,0,0)</f>
        <v>41244</v>
      </c>
      <c r="C1044">
        <v>80</v>
      </c>
      <c r="D1044">
        <v>77.723312378000003</v>
      </c>
      <c r="E1044">
        <v>50</v>
      </c>
      <c r="F1044">
        <v>49.936462401999997</v>
      </c>
      <c r="G1044">
        <v>1330.1392822</v>
      </c>
      <c r="H1044">
        <v>1329.5637207</v>
      </c>
      <c r="I1044">
        <v>1334.3392334</v>
      </c>
      <c r="J1044">
        <v>1332.9411620999999</v>
      </c>
      <c r="K1044">
        <v>0</v>
      </c>
      <c r="L1044">
        <v>550</v>
      </c>
      <c r="M1044">
        <v>550</v>
      </c>
      <c r="N1044">
        <v>0</v>
      </c>
    </row>
    <row r="1045" spans="1:14" x14ac:dyDescent="0.25">
      <c r="A1045">
        <v>946.736805</v>
      </c>
      <c r="B1045" s="1">
        <f>DATE(2012,12,2) + TIME(17,40,59)</f>
        <v>41245.736793981479</v>
      </c>
      <c r="C1045">
        <v>80</v>
      </c>
      <c r="D1045">
        <v>77.601608275999993</v>
      </c>
      <c r="E1045">
        <v>50</v>
      </c>
      <c r="F1045">
        <v>49.936012267999999</v>
      </c>
      <c r="G1045">
        <v>1330.1298827999999</v>
      </c>
      <c r="H1045">
        <v>1329.5491943</v>
      </c>
      <c r="I1045">
        <v>1334.3389893000001</v>
      </c>
      <c r="J1045">
        <v>1332.940918</v>
      </c>
      <c r="K1045">
        <v>0</v>
      </c>
      <c r="L1045">
        <v>550</v>
      </c>
      <c r="M1045">
        <v>550</v>
      </c>
      <c r="N1045">
        <v>0</v>
      </c>
    </row>
    <row r="1046" spans="1:14" x14ac:dyDescent="0.25">
      <c r="A1046">
        <v>948.54893500000003</v>
      </c>
      <c r="B1046" s="1">
        <f>DATE(2012,12,4) + TIME(13,10,28)</f>
        <v>41247.548935185187</v>
      </c>
      <c r="C1046">
        <v>80</v>
      </c>
      <c r="D1046">
        <v>77.472259520999998</v>
      </c>
      <c r="E1046">
        <v>50</v>
      </c>
      <c r="F1046">
        <v>49.935676575000002</v>
      </c>
      <c r="G1046">
        <v>1330.0986327999999</v>
      </c>
      <c r="H1046">
        <v>1329.5064697</v>
      </c>
      <c r="I1046">
        <v>1334.3387451000001</v>
      </c>
      <c r="J1046">
        <v>1332.9400635</v>
      </c>
      <c r="K1046">
        <v>0</v>
      </c>
      <c r="L1046">
        <v>550</v>
      </c>
      <c r="M1046">
        <v>550</v>
      </c>
      <c r="N1046">
        <v>0</v>
      </c>
    </row>
    <row r="1047" spans="1:14" x14ac:dyDescent="0.25">
      <c r="A1047">
        <v>950.44237399999997</v>
      </c>
      <c r="B1047" s="1">
        <f>DATE(2012,12,6) + TIME(10,37,1)</f>
        <v>41249.442372685182</v>
      </c>
      <c r="C1047">
        <v>80</v>
      </c>
      <c r="D1047">
        <v>77.334754943999997</v>
      </c>
      <c r="E1047">
        <v>50</v>
      </c>
      <c r="F1047">
        <v>49.935436248999999</v>
      </c>
      <c r="G1047">
        <v>1330.0665283000001</v>
      </c>
      <c r="H1047">
        <v>1329.4625243999999</v>
      </c>
      <c r="I1047">
        <v>1334.3383789</v>
      </c>
      <c r="J1047">
        <v>1332.9392089999999</v>
      </c>
      <c r="K1047">
        <v>0</v>
      </c>
      <c r="L1047">
        <v>550</v>
      </c>
      <c r="M1047">
        <v>550</v>
      </c>
      <c r="N1047">
        <v>0</v>
      </c>
    </row>
    <row r="1048" spans="1:14" x14ac:dyDescent="0.25">
      <c r="A1048">
        <v>952.43773099999999</v>
      </c>
      <c r="B1048" s="1">
        <f>DATE(2012,12,8) + TIME(10,30,19)</f>
        <v>41251.437719907408</v>
      </c>
      <c r="C1048">
        <v>80</v>
      </c>
      <c r="D1048">
        <v>77.187805175999998</v>
      </c>
      <c r="E1048">
        <v>50</v>
      </c>
      <c r="F1048">
        <v>49.935268401999998</v>
      </c>
      <c r="G1048">
        <v>1330.0336914</v>
      </c>
      <c r="H1048">
        <v>1329.4176024999999</v>
      </c>
      <c r="I1048">
        <v>1334.3377685999999</v>
      </c>
      <c r="J1048">
        <v>1332.9382324000001</v>
      </c>
      <c r="K1048">
        <v>0</v>
      </c>
      <c r="L1048">
        <v>550</v>
      </c>
      <c r="M1048">
        <v>550</v>
      </c>
      <c r="N1048">
        <v>0</v>
      </c>
    </row>
    <row r="1049" spans="1:14" x14ac:dyDescent="0.25">
      <c r="A1049">
        <v>954.55894899999998</v>
      </c>
      <c r="B1049" s="1">
        <f>DATE(2012,12,10) + TIME(13,24,53)</f>
        <v>41253.558946759258</v>
      </c>
      <c r="C1049">
        <v>80</v>
      </c>
      <c r="D1049">
        <v>77.029739379999995</v>
      </c>
      <c r="E1049">
        <v>50</v>
      </c>
      <c r="F1049">
        <v>49.935153960999997</v>
      </c>
      <c r="G1049">
        <v>1330</v>
      </c>
      <c r="H1049">
        <v>1329.371582</v>
      </c>
      <c r="I1049">
        <v>1334.3370361</v>
      </c>
      <c r="J1049">
        <v>1332.9372559000001</v>
      </c>
      <c r="K1049">
        <v>0</v>
      </c>
      <c r="L1049">
        <v>550</v>
      </c>
      <c r="M1049">
        <v>550</v>
      </c>
      <c r="N1049">
        <v>0</v>
      </c>
    </row>
    <row r="1050" spans="1:14" x14ac:dyDescent="0.25">
      <c r="A1050">
        <v>956.78038700000002</v>
      </c>
      <c r="B1050" s="1">
        <f>DATE(2012,12,12) + TIME(18,43,45)</f>
        <v>41255.780381944445</v>
      </c>
      <c r="C1050">
        <v>80</v>
      </c>
      <c r="D1050">
        <v>76.860870360999996</v>
      </c>
      <c r="E1050">
        <v>50</v>
      </c>
      <c r="F1050">
        <v>49.935081482000001</v>
      </c>
      <c r="G1050">
        <v>1329.9652100000001</v>
      </c>
      <c r="H1050">
        <v>1329.3242187999999</v>
      </c>
      <c r="I1050">
        <v>1334.3361815999999</v>
      </c>
      <c r="J1050">
        <v>1332.9361572</v>
      </c>
      <c r="K1050">
        <v>0</v>
      </c>
      <c r="L1050">
        <v>550</v>
      </c>
      <c r="M1050">
        <v>550</v>
      </c>
      <c r="N1050">
        <v>0</v>
      </c>
    </row>
    <row r="1051" spans="1:14" x14ac:dyDescent="0.25">
      <c r="A1051">
        <v>959.06365700000003</v>
      </c>
      <c r="B1051" s="1">
        <f>DATE(2012,12,15) + TIME(1,31,39)</f>
        <v>41258.063645833332</v>
      </c>
      <c r="C1051">
        <v>80</v>
      </c>
      <c r="D1051">
        <v>76.682579040999997</v>
      </c>
      <c r="E1051">
        <v>50</v>
      </c>
      <c r="F1051">
        <v>49.935043335000003</v>
      </c>
      <c r="G1051">
        <v>1329.9296875</v>
      </c>
      <c r="H1051">
        <v>1329.2758789</v>
      </c>
      <c r="I1051">
        <v>1334.3353271000001</v>
      </c>
      <c r="J1051">
        <v>1332.9350586</v>
      </c>
      <c r="K1051">
        <v>0</v>
      </c>
      <c r="L1051">
        <v>550</v>
      </c>
      <c r="M1051">
        <v>550</v>
      </c>
      <c r="N1051">
        <v>0</v>
      </c>
    </row>
    <row r="1052" spans="1:14" x14ac:dyDescent="0.25">
      <c r="A1052">
        <v>961.43618000000004</v>
      </c>
      <c r="B1052" s="1">
        <f>DATE(2012,12,17) + TIME(10,28,5)</f>
        <v>41260.436168981483</v>
      </c>
      <c r="C1052">
        <v>80</v>
      </c>
      <c r="D1052">
        <v>76.493804932000003</v>
      </c>
      <c r="E1052">
        <v>50</v>
      </c>
      <c r="F1052">
        <v>49.935028076000002</v>
      </c>
      <c r="G1052">
        <v>1329.8939209</v>
      </c>
      <c r="H1052">
        <v>1329.2271728999999</v>
      </c>
      <c r="I1052">
        <v>1334.3342285000001</v>
      </c>
      <c r="J1052">
        <v>1332.934082</v>
      </c>
      <c r="K1052">
        <v>0</v>
      </c>
      <c r="L1052">
        <v>550</v>
      </c>
      <c r="M1052">
        <v>550</v>
      </c>
      <c r="N1052">
        <v>0</v>
      </c>
    </row>
    <row r="1053" spans="1:14" x14ac:dyDescent="0.25">
      <c r="A1053">
        <v>963.92463099999998</v>
      </c>
      <c r="B1053" s="1">
        <f>DATE(2012,12,19) + TIME(22,11,28)</f>
        <v>41262.924629629626</v>
      </c>
      <c r="C1053">
        <v>80</v>
      </c>
      <c r="D1053">
        <v>76.292953491000006</v>
      </c>
      <c r="E1053">
        <v>50</v>
      </c>
      <c r="F1053">
        <v>49.935028076000002</v>
      </c>
      <c r="G1053">
        <v>1329.8576660000001</v>
      </c>
      <c r="H1053">
        <v>1329.1781006000001</v>
      </c>
      <c r="I1053">
        <v>1334.3332519999999</v>
      </c>
      <c r="J1053">
        <v>1332.9331055</v>
      </c>
      <c r="K1053">
        <v>0</v>
      </c>
      <c r="L1053">
        <v>550</v>
      </c>
      <c r="M1053">
        <v>550</v>
      </c>
      <c r="N1053">
        <v>0</v>
      </c>
    </row>
    <row r="1054" spans="1:14" x14ac:dyDescent="0.25">
      <c r="A1054">
        <v>966.54306899999995</v>
      </c>
      <c r="B1054" s="1">
        <f>DATE(2012,12,22) + TIME(13,2,1)</f>
        <v>41265.543067129627</v>
      </c>
      <c r="C1054">
        <v>80</v>
      </c>
      <c r="D1054">
        <v>76.078567504999995</v>
      </c>
      <c r="E1054">
        <v>50</v>
      </c>
      <c r="F1054">
        <v>49.935039519999997</v>
      </c>
      <c r="G1054">
        <v>1329.8209228999999</v>
      </c>
      <c r="H1054">
        <v>1329.1282959</v>
      </c>
      <c r="I1054">
        <v>1334.3321533000001</v>
      </c>
      <c r="J1054">
        <v>1332.9321289</v>
      </c>
      <c r="K1054">
        <v>0</v>
      </c>
      <c r="L1054">
        <v>550</v>
      </c>
      <c r="M1054">
        <v>550</v>
      </c>
      <c r="N1054">
        <v>0</v>
      </c>
    </row>
    <row r="1055" spans="1:14" x14ac:dyDescent="0.25">
      <c r="A1055">
        <v>969.24267899999995</v>
      </c>
      <c r="B1055" s="1">
        <f>DATE(2012,12,25) + TIME(5,49,27)</f>
        <v>41268.242673611108</v>
      </c>
      <c r="C1055">
        <v>80</v>
      </c>
      <c r="D1055">
        <v>75.851928710999999</v>
      </c>
      <c r="E1055">
        <v>50</v>
      </c>
      <c r="F1055">
        <v>49.935058593999997</v>
      </c>
      <c r="G1055">
        <v>1329.7835693</v>
      </c>
      <c r="H1055">
        <v>1329.0776367000001</v>
      </c>
      <c r="I1055">
        <v>1334.3309326000001</v>
      </c>
      <c r="J1055">
        <v>1332.9311522999999</v>
      </c>
      <c r="K1055">
        <v>0</v>
      </c>
      <c r="L1055">
        <v>550</v>
      </c>
      <c r="M1055">
        <v>550</v>
      </c>
      <c r="N1055">
        <v>0</v>
      </c>
    </row>
    <row r="1056" spans="1:14" x14ac:dyDescent="0.25">
      <c r="A1056">
        <v>972.05431199999998</v>
      </c>
      <c r="B1056" s="1">
        <f>DATE(2012,12,28) + TIME(1,18,12)</f>
        <v>41271.054305555554</v>
      </c>
      <c r="C1056">
        <v>80</v>
      </c>
      <c r="D1056">
        <v>75.611976623999993</v>
      </c>
      <c r="E1056">
        <v>50</v>
      </c>
      <c r="F1056">
        <v>49.935081482000001</v>
      </c>
      <c r="G1056">
        <v>1329.7459716999999</v>
      </c>
      <c r="H1056">
        <v>1329.0268555</v>
      </c>
      <c r="I1056">
        <v>1334.3297118999999</v>
      </c>
      <c r="J1056">
        <v>1332.9302978999999</v>
      </c>
      <c r="K1056">
        <v>0</v>
      </c>
      <c r="L1056">
        <v>550</v>
      </c>
      <c r="M1056">
        <v>550</v>
      </c>
      <c r="N1056">
        <v>0</v>
      </c>
    </row>
    <row r="1057" spans="1:14" x14ac:dyDescent="0.25">
      <c r="A1057">
        <v>975.01093000000003</v>
      </c>
      <c r="B1057" s="1">
        <f>DATE(2012,12,31) + TIME(0,15,44)</f>
        <v>41274.010925925926</v>
      </c>
      <c r="C1057">
        <v>80</v>
      </c>
      <c r="D1057">
        <v>75.356788635000001</v>
      </c>
      <c r="E1057">
        <v>50</v>
      </c>
      <c r="F1057">
        <v>49.935108184999997</v>
      </c>
      <c r="G1057">
        <v>1329.7081298999999</v>
      </c>
      <c r="H1057">
        <v>1328.9755858999999</v>
      </c>
      <c r="I1057">
        <v>1334.3284911999999</v>
      </c>
      <c r="J1057">
        <v>1332.9294434000001</v>
      </c>
      <c r="K1057">
        <v>0</v>
      </c>
      <c r="L1057">
        <v>550</v>
      </c>
      <c r="M1057">
        <v>550</v>
      </c>
      <c r="N1057">
        <v>0</v>
      </c>
    </row>
    <row r="1058" spans="1:14" x14ac:dyDescent="0.25">
      <c r="A1058">
        <v>976</v>
      </c>
      <c r="B1058" s="1">
        <f>DATE(2013,1,1) + TIME(0,0,0)</f>
        <v>41275</v>
      </c>
      <c r="C1058">
        <v>80</v>
      </c>
      <c r="D1058">
        <v>75.223960876000007</v>
      </c>
      <c r="E1058">
        <v>50</v>
      </c>
      <c r="F1058">
        <v>49.935115814</v>
      </c>
      <c r="G1058">
        <v>1329.6707764</v>
      </c>
      <c r="H1058">
        <v>1328.9266356999999</v>
      </c>
      <c r="I1058">
        <v>1334.3271483999999</v>
      </c>
      <c r="J1058">
        <v>1332.9287108999999</v>
      </c>
      <c r="K1058">
        <v>0</v>
      </c>
      <c r="L1058">
        <v>550</v>
      </c>
      <c r="M1058">
        <v>550</v>
      </c>
      <c r="N1058">
        <v>0</v>
      </c>
    </row>
    <row r="1059" spans="1:14" x14ac:dyDescent="0.25">
      <c r="A1059">
        <v>979.12869499999999</v>
      </c>
      <c r="B1059" s="1">
        <f>DATE(2013,1,4) + TIME(3,5,19)</f>
        <v>41278.128692129627</v>
      </c>
      <c r="C1059">
        <v>80</v>
      </c>
      <c r="D1059">
        <v>74.971427917</v>
      </c>
      <c r="E1059">
        <v>50</v>
      </c>
      <c r="F1059">
        <v>49.935146332000002</v>
      </c>
      <c r="G1059">
        <v>1329.6530762</v>
      </c>
      <c r="H1059">
        <v>1328.8995361</v>
      </c>
      <c r="I1059">
        <v>1334.3267822</v>
      </c>
      <c r="J1059">
        <v>1332.9284668</v>
      </c>
      <c r="K1059">
        <v>0</v>
      </c>
      <c r="L1059">
        <v>550</v>
      </c>
      <c r="M1059">
        <v>550</v>
      </c>
      <c r="N1059">
        <v>0</v>
      </c>
    </row>
    <row r="1060" spans="1:14" x14ac:dyDescent="0.25">
      <c r="A1060">
        <v>982.39526000000001</v>
      </c>
      <c r="B1060" s="1">
        <f>DATE(2013,1,7) + TIME(9,29,10)</f>
        <v>41281.395254629628</v>
      </c>
      <c r="C1060">
        <v>80</v>
      </c>
      <c r="D1060">
        <v>74.690040588000002</v>
      </c>
      <c r="E1060">
        <v>50</v>
      </c>
      <c r="F1060">
        <v>49.935176849000001</v>
      </c>
      <c r="G1060">
        <v>1329.6160889</v>
      </c>
      <c r="H1060">
        <v>1328.8509521000001</v>
      </c>
      <c r="I1060">
        <v>1334.3254394999999</v>
      </c>
      <c r="J1060">
        <v>1332.9278564000001</v>
      </c>
      <c r="K1060">
        <v>0</v>
      </c>
      <c r="L1060">
        <v>550</v>
      </c>
      <c r="M1060">
        <v>550</v>
      </c>
      <c r="N1060">
        <v>0</v>
      </c>
    </row>
    <row r="1061" spans="1:14" x14ac:dyDescent="0.25">
      <c r="A1061">
        <v>985.74909000000002</v>
      </c>
      <c r="B1061" s="1">
        <f>DATE(2013,1,10) + TIME(17,58,41)</f>
        <v>41284.749085648145</v>
      </c>
      <c r="C1061">
        <v>80</v>
      </c>
      <c r="D1061">
        <v>74.387672424000002</v>
      </c>
      <c r="E1061">
        <v>50</v>
      </c>
      <c r="F1061">
        <v>49.935203551999997</v>
      </c>
      <c r="G1061">
        <v>1329.5778809000001</v>
      </c>
      <c r="H1061">
        <v>1328.7999268000001</v>
      </c>
      <c r="I1061">
        <v>1334.3240966999999</v>
      </c>
      <c r="J1061">
        <v>1332.9272461</v>
      </c>
      <c r="K1061">
        <v>0</v>
      </c>
      <c r="L1061">
        <v>550</v>
      </c>
      <c r="M1061">
        <v>550</v>
      </c>
      <c r="N1061">
        <v>0</v>
      </c>
    </row>
    <row r="1062" spans="1:14" x14ac:dyDescent="0.25">
      <c r="A1062">
        <v>989.22463100000004</v>
      </c>
      <c r="B1062" s="1">
        <f>DATE(2013,1,14) + TIME(5,23,28)</f>
        <v>41288.224629629629</v>
      </c>
      <c r="C1062">
        <v>80</v>
      </c>
      <c r="D1062">
        <v>74.067375182999996</v>
      </c>
      <c r="E1062">
        <v>50</v>
      </c>
      <c r="F1062">
        <v>49.935226440000001</v>
      </c>
      <c r="G1062">
        <v>1329.5391846</v>
      </c>
      <c r="H1062">
        <v>1328.7480469</v>
      </c>
      <c r="I1062">
        <v>1334.3226318</v>
      </c>
      <c r="J1062">
        <v>1332.9267577999999</v>
      </c>
      <c r="K1062">
        <v>0</v>
      </c>
      <c r="L1062">
        <v>550</v>
      </c>
      <c r="M1062">
        <v>550</v>
      </c>
      <c r="N1062">
        <v>0</v>
      </c>
    </row>
    <row r="1063" spans="1:14" x14ac:dyDescent="0.25">
      <c r="A1063">
        <v>992.85959000000003</v>
      </c>
      <c r="B1063" s="1">
        <f>DATE(2013,1,17) + TIME(20,37,48)</f>
        <v>41291.859583333331</v>
      </c>
      <c r="C1063">
        <v>80</v>
      </c>
      <c r="D1063">
        <v>73.728782654</v>
      </c>
      <c r="E1063">
        <v>50</v>
      </c>
      <c r="F1063">
        <v>49.935253142999997</v>
      </c>
      <c r="G1063">
        <v>1329.5002440999999</v>
      </c>
      <c r="H1063">
        <v>1328.6959228999999</v>
      </c>
      <c r="I1063">
        <v>1334.3212891000001</v>
      </c>
      <c r="J1063">
        <v>1332.9262695</v>
      </c>
      <c r="K1063">
        <v>0</v>
      </c>
      <c r="L1063">
        <v>550</v>
      </c>
      <c r="M1063">
        <v>550</v>
      </c>
      <c r="N1063">
        <v>0</v>
      </c>
    </row>
    <row r="1064" spans="1:14" x14ac:dyDescent="0.25">
      <c r="A1064">
        <v>996.69749400000001</v>
      </c>
      <c r="B1064" s="1">
        <f>DATE(2013,1,21) + TIME(16,44,23)</f>
        <v>41295.697488425925</v>
      </c>
      <c r="C1064">
        <v>80</v>
      </c>
      <c r="D1064">
        <v>73.369598389000004</v>
      </c>
      <c r="E1064">
        <v>50</v>
      </c>
      <c r="F1064">
        <v>49.935276031000001</v>
      </c>
      <c r="G1064">
        <v>1329.4610596</v>
      </c>
      <c r="H1064">
        <v>1328.6433105000001</v>
      </c>
      <c r="I1064">
        <v>1334.3198242000001</v>
      </c>
      <c r="J1064">
        <v>1332.9259033000001</v>
      </c>
      <c r="K1064">
        <v>0</v>
      </c>
      <c r="L1064">
        <v>550</v>
      </c>
      <c r="M1064">
        <v>550</v>
      </c>
      <c r="N1064">
        <v>0</v>
      </c>
    </row>
    <row r="1065" spans="1:14" x14ac:dyDescent="0.25">
      <c r="A1065">
        <v>1000.65155</v>
      </c>
      <c r="B1065" s="1">
        <f>DATE(2013,1,25) + TIME(15,38,13)</f>
        <v>41299.651539351849</v>
      </c>
      <c r="C1065">
        <v>80</v>
      </c>
      <c r="D1065">
        <v>72.991462708</v>
      </c>
      <c r="E1065">
        <v>50</v>
      </c>
      <c r="F1065">
        <v>49.935295105000002</v>
      </c>
      <c r="G1065">
        <v>1329.4212646000001</v>
      </c>
      <c r="H1065">
        <v>1328.5902100000001</v>
      </c>
      <c r="I1065">
        <v>1334.3183594</v>
      </c>
      <c r="J1065">
        <v>1332.9256591999999</v>
      </c>
      <c r="K1065">
        <v>0</v>
      </c>
      <c r="L1065">
        <v>550</v>
      </c>
      <c r="M1065">
        <v>550</v>
      </c>
      <c r="N1065">
        <v>0</v>
      </c>
    </row>
    <row r="1066" spans="1:14" x14ac:dyDescent="0.25">
      <c r="A1066">
        <v>1004.758962</v>
      </c>
      <c r="B1066" s="1">
        <f>DATE(2013,1,29) + TIME(18,12,54)</f>
        <v>41303.758958333332</v>
      </c>
      <c r="C1066">
        <v>80</v>
      </c>
      <c r="D1066">
        <v>72.595283507999994</v>
      </c>
      <c r="E1066">
        <v>50</v>
      </c>
      <c r="F1066">
        <v>49.935314177999999</v>
      </c>
      <c r="G1066">
        <v>1329.3817139</v>
      </c>
      <c r="H1066">
        <v>1328.5371094</v>
      </c>
      <c r="I1066">
        <v>1334.3167725000001</v>
      </c>
      <c r="J1066">
        <v>1332.9254149999999</v>
      </c>
      <c r="K1066">
        <v>0</v>
      </c>
      <c r="L1066">
        <v>550</v>
      </c>
      <c r="M1066">
        <v>550</v>
      </c>
      <c r="N1066">
        <v>0</v>
      </c>
    </row>
    <row r="1067" spans="1:14" x14ac:dyDescent="0.25">
      <c r="A1067">
        <v>1007</v>
      </c>
      <c r="B1067" s="1">
        <f>DATE(2013,2,1) + TIME(0,0,0)</f>
        <v>41306</v>
      </c>
      <c r="C1067">
        <v>80</v>
      </c>
      <c r="D1067">
        <v>72.287246703999998</v>
      </c>
      <c r="E1067">
        <v>50</v>
      </c>
      <c r="F1067">
        <v>49.935306549000003</v>
      </c>
      <c r="G1067">
        <v>1329.3424072</v>
      </c>
      <c r="H1067">
        <v>1328.4855957</v>
      </c>
      <c r="I1067">
        <v>1334.3151855000001</v>
      </c>
      <c r="J1067">
        <v>1332.9251709</v>
      </c>
      <c r="K1067">
        <v>0</v>
      </c>
      <c r="L1067">
        <v>550</v>
      </c>
      <c r="M1067">
        <v>550</v>
      </c>
      <c r="N1067">
        <v>0</v>
      </c>
    </row>
    <row r="1068" spans="1:14" x14ac:dyDescent="0.25">
      <c r="A1068">
        <v>1011.297218</v>
      </c>
      <c r="B1068" s="1">
        <f>DATE(2013,2,5) + TIME(7,7,59)</f>
        <v>41310.297210648147</v>
      </c>
      <c r="C1068">
        <v>80</v>
      </c>
      <c r="D1068">
        <v>71.920074463000006</v>
      </c>
      <c r="E1068">
        <v>50</v>
      </c>
      <c r="F1068">
        <v>49.935333252</v>
      </c>
      <c r="G1068">
        <v>1329.3165283000001</v>
      </c>
      <c r="H1068">
        <v>1328.4473877</v>
      </c>
      <c r="I1068">
        <v>1334.3144531</v>
      </c>
      <c r="J1068">
        <v>1332.9251709</v>
      </c>
      <c r="K1068">
        <v>0</v>
      </c>
      <c r="L1068">
        <v>550</v>
      </c>
      <c r="M1068">
        <v>550</v>
      </c>
      <c r="N1068">
        <v>0</v>
      </c>
    </row>
    <row r="1069" spans="1:14" x14ac:dyDescent="0.25">
      <c r="A1069">
        <v>1015.8293190000001</v>
      </c>
      <c r="B1069" s="1">
        <f>DATE(2013,2,9) + TIME(19,54,13)</f>
        <v>41314.829317129632</v>
      </c>
      <c r="C1069">
        <v>80</v>
      </c>
      <c r="D1069">
        <v>71.499122619999994</v>
      </c>
      <c r="E1069">
        <v>50</v>
      </c>
      <c r="F1069">
        <v>49.935348511000001</v>
      </c>
      <c r="G1069">
        <v>1329.2802733999999</v>
      </c>
      <c r="H1069">
        <v>1328.4002685999999</v>
      </c>
      <c r="I1069">
        <v>1334.3128661999999</v>
      </c>
      <c r="J1069">
        <v>1332.9251709</v>
      </c>
      <c r="K1069">
        <v>0</v>
      </c>
      <c r="L1069">
        <v>550</v>
      </c>
      <c r="M1069">
        <v>550</v>
      </c>
      <c r="N1069">
        <v>0</v>
      </c>
    </row>
    <row r="1070" spans="1:14" x14ac:dyDescent="0.25">
      <c r="A1070">
        <v>1020.475297</v>
      </c>
      <c r="B1070" s="1">
        <f>DATE(2013,2,14) + TIME(11,24,25)</f>
        <v>41319.475289351853</v>
      </c>
      <c r="C1070">
        <v>80</v>
      </c>
      <c r="D1070">
        <v>71.045768738000007</v>
      </c>
      <c r="E1070">
        <v>50</v>
      </c>
      <c r="F1070">
        <v>49.935359955000003</v>
      </c>
      <c r="G1070">
        <v>1329.2421875</v>
      </c>
      <c r="H1070">
        <v>1328.3498535000001</v>
      </c>
      <c r="I1070">
        <v>1334.3111572</v>
      </c>
      <c r="J1070">
        <v>1332.9251709</v>
      </c>
      <c r="K1070">
        <v>0</v>
      </c>
      <c r="L1070">
        <v>550</v>
      </c>
      <c r="M1070">
        <v>550</v>
      </c>
      <c r="N1070">
        <v>0</v>
      </c>
    </row>
    <row r="1071" spans="1:14" x14ac:dyDescent="0.25">
      <c r="A1071">
        <v>1025.22297</v>
      </c>
      <c r="B1071" s="1">
        <f>DATE(2013,2,19) + TIME(5,21,4)</f>
        <v>41324.222962962966</v>
      </c>
      <c r="C1071">
        <v>80</v>
      </c>
      <c r="D1071">
        <v>70.572631835999999</v>
      </c>
      <c r="E1071">
        <v>50</v>
      </c>
      <c r="F1071">
        <v>49.935367583999998</v>
      </c>
      <c r="G1071">
        <v>1329.2038574000001</v>
      </c>
      <c r="H1071">
        <v>1328.2987060999999</v>
      </c>
      <c r="I1071">
        <v>1334.3094481999999</v>
      </c>
      <c r="J1071">
        <v>1332.925293</v>
      </c>
      <c r="K1071">
        <v>0</v>
      </c>
      <c r="L1071">
        <v>550</v>
      </c>
      <c r="M1071">
        <v>550</v>
      </c>
      <c r="N1071">
        <v>0</v>
      </c>
    </row>
    <row r="1072" spans="1:14" x14ac:dyDescent="0.25">
      <c r="A1072">
        <v>1030.1244369999999</v>
      </c>
      <c r="B1072" s="1">
        <f>DATE(2013,2,24) + TIME(2,59,11)</f>
        <v>41329.124432870369</v>
      </c>
      <c r="C1072">
        <v>80</v>
      </c>
      <c r="D1072">
        <v>70.082992554</v>
      </c>
      <c r="E1072">
        <v>50</v>
      </c>
      <c r="F1072">
        <v>49.935371398999997</v>
      </c>
      <c r="G1072">
        <v>1329.1660156</v>
      </c>
      <c r="H1072">
        <v>1328.2480469</v>
      </c>
      <c r="I1072">
        <v>1334.3077393000001</v>
      </c>
      <c r="J1072">
        <v>1332.9254149999999</v>
      </c>
      <c r="K1072">
        <v>0</v>
      </c>
      <c r="L1072">
        <v>550</v>
      </c>
      <c r="M1072">
        <v>550</v>
      </c>
      <c r="N1072">
        <v>0</v>
      </c>
    </row>
    <row r="1073" spans="1:14" x14ac:dyDescent="0.25">
      <c r="A1073">
        <v>1035</v>
      </c>
      <c r="B1073" s="1">
        <f>DATE(2013,3,1) + TIME(0,0,0)</f>
        <v>41334</v>
      </c>
      <c r="C1073">
        <v>80</v>
      </c>
      <c r="D1073">
        <v>69.582397460999999</v>
      </c>
      <c r="E1073">
        <v>50</v>
      </c>
      <c r="F1073">
        <v>49.935375213999997</v>
      </c>
      <c r="G1073">
        <v>1329.1286620999999</v>
      </c>
      <c r="H1073">
        <v>1328.1979980000001</v>
      </c>
      <c r="I1073">
        <v>1334.3059082</v>
      </c>
      <c r="J1073">
        <v>1332.9255370999999</v>
      </c>
      <c r="K1073">
        <v>0</v>
      </c>
      <c r="L1073">
        <v>550</v>
      </c>
      <c r="M1073">
        <v>550</v>
      </c>
      <c r="N1073">
        <v>0</v>
      </c>
    </row>
    <row r="1074" spans="1:14" x14ac:dyDescent="0.25">
      <c r="A1074">
        <v>1040.114135</v>
      </c>
      <c r="B1074" s="1">
        <f>DATE(2013,3,6) + TIME(2,44,21)</f>
        <v>41339.114131944443</v>
      </c>
      <c r="C1074">
        <v>80</v>
      </c>
      <c r="D1074">
        <v>69.070297241000006</v>
      </c>
      <c r="E1074">
        <v>50</v>
      </c>
      <c r="F1074">
        <v>49.935382842999999</v>
      </c>
      <c r="G1074">
        <v>1329.0926514</v>
      </c>
      <c r="H1074">
        <v>1328.1494141000001</v>
      </c>
      <c r="I1074">
        <v>1334.3041992000001</v>
      </c>
      <c r="J1074">
        <v>1332.9257812000001</v>
      </c>
      <c r="K1074">
        <v>0</v>
      </c>
      <c r="L1074">
        <v>550</v>
      </c>
      <c r="M1074">
        <v>550</v>
      </c>
      <c r="N1074">
        <v>0</v>
      </c>
    </row>
    <row r="1075" spans="1:14" x14ac:dyDescent="0.25">
      <c r="A1075">
        <v>1045.487525</v>
      </c>
      <c r="B1075" s="1">
        <f>DATE(2013,3,11) + TIME(11,42,2)</f>
        <v>41344.487523148149</v>
      </c>
      <c r="C1075">
        <v>80</v>
      </c>
      <c r="D1075">
        <v>68.537452697999996</v>
      </c>
      <c r="E1075">
        <v>50</v>
      </c>
      <c r="F1075">
        <v>49.935386657999999</v>
      </c>
      <c r="G1075">
        <v>1329.0571289</v>
      </c>
      <c r="H1075">
        <v>1328.1018065999999</v>
      </c>
      <c r="I1075">
        <v>1334.3023682</v>
      </c>
      <c r="J1075">
        <v>1332.9260254000001</v>
      </c>
      <c r="K1075">
        <v>0</v>
      </c>
      <c r="L1075">
        <v>550</v>
      </c>
      <c r="M1075">
        <v>550</v>
      </c>
      <c r="N1075">
        <v>0</v>
      </c>
    </row>
    <row r="1076" spans="1:14" x14ac:dyDescent="0.25">
      <c r="A1076">
        <v>1051.006255</v>
      </c>
      <c r="B1076" s="1">
        <f>DATE(2013,3,17) + TIME(0,9,0)</f>
        <v>41350.006249999999</v>
      </c>
      <c r="C1076">
        <v>80</v>
      </c>
      <c r="D1076">
        <v>67.983833313000005</v>
      </c>
      <c r="E1076">
        <v>50</v>
      </c>
      <c r="F1076">
        <v>49.935390472000002</v>
      </c>
      <c r="G1076">
        <v>1329.0218506000001</v>
      </c>
      <c r="H1076">
        <v>1328.0545654</v>
      </c>
      <c r="I1076">
        <v>1334.3004149999999</v>
      </c>
      <c r="J1076">
        <v>1332.9262695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1056.733997</v>
      </c>
      <c r="B1077" s="1">
        <f>DATE(2013,3,22) + TIME(17,36,57)</f>
        <v>41355.733993055554</v>
      </c>
      <c r="C1077">
        <v>80</v>
      </c>
      <c r="D1077">
        <v>67.412147521999998</v>
      </c>
      <c r="E1077">
        <v>50</v>
      </c>
      <c r="F1077">
        <v>49.935394287000001</v>
      </c>
      <c r="G1077">
        <v>1328.9871826000001</v>
      </c>
      <c r="H1077">
        <v>1328.0079346</v>
      </c>
      <c r="I1077">
        <v>1334.2984618999999</v>
      </c>
      <c r="J1077">
        <v>1332.9265137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1062.7068019999999</v>
      </c>
      <c r="B1078" s="1">
        <f>DATE(2013,3,28) + TIME(16,57,47)</f>
        <v>41361.706793981481</v>
      </c>
      <c r="C1078">
        <v>80</v>
      </c>
      <c r="D1078">
        <v>66.820198059000006</v>
      </c>
      <c r="E1078">
        <v>50</v>
      </c>
      <c r="F1078">
        <v>49.935398102000001</v>
      </c>
      <c r="G1078">
        <v>1328.9532471</v>
      </c>
      <c r="H1078">
        <v>1327.9621582</v>
      </c>
      <c r="I1078">
        <v>1334.2963867000001</v>
      </c>
      <c r="J1078">
        <v>1332.9267577999999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1066</v>
      </c>
      <c r="B1079" s="1">
        <f>DATE(2013,4,1) + TIME(0,0,0)</f>
        <v>41365</v>
      </c>
      <c r="C1079">
        <v>80</v>
      </c>
      <c r="D1079">
        <v>66.329612732000001</v>
      </c>
      <c r="E1079">
        <v>50</v>
      </c>
      <c r="F1079">
        <v>49.935371398999997</v>
      </c>
      <c r="G1079">
        <v>1328.9195557</v>
      </c>
      <c r="H1079">
        <v>1327.918457</v>
      </c>
      <c r="I1079">
        <v>1334.2943115</v>
      </c>
      <c r="J1079">
        <v>1332.927124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1072.1037779999999</v>
      </c>
      <c r="B1080" s="1">
        <f>DATE(2013,4,7) + TIME(2,29,26)</f>
        <v>41371.103773148148</v>
      </c>
      <c r="C1080">
        <v>80</v>
      </c>
      <c r="D1080">
        <v>65.827705382999994</v>
      </c>
      <c r="E1080">
        <v>50</v>
      </c>
      <c r="F1080">
        <v>49.935394287000001</v>
      </c>
      <c r="G1080">
        <v>1328.8978271000001</v>
      </c>
      <c r="H1080">
        <v>1327.8850098</v>
      </c>
      <c r="I1080">
        <v>1334.2932129000001</v>
      </c>
      <c r="J1080">
        <v>1332.9272461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1078.5393779999999</v>
      </c>
      <c r="B1081" s="1">
        <f>DATE(2013,4,13) + TIME(12,56,42)</f>
        <v>41377.539375</v>
      </c>
      <c r="C1081">
        <v>80</v>
      </c>
      <c r="D1081">
        <v>65.231216431000007</v>
      </c>
      <c r="E1081">
        <v>50</v>
      </c>
      <c r="F1081">
        <v>49.935409546000002</v>
      </c>
      <c r="G1081">
        <v>1328.8693848</v>
      </c>
      <c r="H1081">
        <v>1327.8483887</v>
      </c>
      <c r="I1081">
        <v>1334.2910156</v>
      </c>
      <c r="J1081">
        <v>1332.9274902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1085.279057</v>
      </c>
      <c r="B1082" s="1">
        <f>DATE(2013,4,20) + TIME(6,41,50)</f>
        <v>41384.279050925928</v>
      </c>
      <c r="C1082">
        <v>80</v>
      </c>
      <c r="D1082">
        <v>64.589759826999995</v>
      </c>
      <c r="E1082">
        <v>50</v>
      </c>
      <c r="F1082">
        <v>49.935417174999998</v>
      </c>
      <c r="G1082">
        <v>1328.8395995999999</v>
      </c>
      <c r="H1082">
        <v>1327.8088379000001</v>
      </c>
      <c r="I1082">
        <v>1334.2886963000001</v>
      </c>
      <c r="J1082">
        <v>1332.9278564000001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1092.2188169999999</v>
      </c>
      <c r="B1083" s="1">
        <f>DATE(2013,4,27) + TIME(5,15,5)</f>
        <v>41391.218807870369</v>
      </c>
      <c r="C1083">
        <v>80</v>
      </c>
      <c r="D1083">
        <v>63.92219162</v>
      </c>
      <c r="E1083">
        <v>50</v>
      </c>
      <c r="F1083">
        <v>49.935424804999997</v>
      </c>
      <c r="G1083">
        <v>1328.8099365</v>
      </c>
      <c r="H1083">
        <v>1327.7691649999999</v>
      </c>
      <c r="I1083">
        <v>1334.2862548999999</v>
      </c>
      <c r="J1083">
        <v>1332.9281006000001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1096</v>
      </c>
      <c r="B1084" s="1">
        <f>DATE(2013,5,1) + TIME(0,0,0)</f>
        <v>41395</v>
      </c>
      <c r="C1084">
        <v>80</v>
      </c>
      <c r="D1084">
        <v>63.366027832</v>
      </c>
      <c r="E1084">
        <v>50</v>
      </c>
      <c r="F1084">
        <v>49.935394287000001</v>
      </c>
      <c r="G1084">
        <v>1328.7808838000001</v>
      </c>
      <c r="H1084">
        <v>1327.7313231999999</v>
      </c>
      <c r="I1084">
        <v>1334.2838135</v>
      </c>
      <c r="J1084">
        <v>1332.9283447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1096.0000010000001</v>
      </c>
      <c r="B1085" s="1">
        <f>DATE(2013,5,1) + TIME(0,0,0)</f>
        <v>41395</v>
      </c>
      <c r="C1085">
        <v>80</v>
      </c>
      <c r="D1085">
        <v>63.366069793999998</v>
      </c>
      <c r="E1085">
        <v>50</v>
      </c>
      <c r="F1085">
        <v>49.935371398999997</v>
      </c>
      <c r="G1085">
        <v>1330.2680664</v>
      </c>
      <c r="H1085">
        <v>1329.0471190999999</v>
      </c>
      <c r="I1085">
        <v>1332.7539062000001</v>
      </c>
      <c r="J1085">
        <v>1332.3404541</v>
      </c>
      <c r="K1085">
        <v>550</v>
      </c>
      <c r="L1085">
        <v>0</v>
      </c>
      <c r="M1085">
        <v>0</v>
      </c>
      <c r="N1085">
        <v>550</v>
      </c>
    </row>
    <row r="1086" spans="1:14" x14ac:dyDescent="0.25">
      <c r="A1086">
        <v>1096.000004</v>
      </c>
      <c r="B1086" s="1">
        <f>DATE(2013,5,1) + TIME(0,0,0)</f>
        <v>41395</v>
      </c>
      <c r="C1086">
        <v>80</v>
      </c>
      <c r="D1086">
        <v>63.366157532000003</v>
      </c>
      <c r="E1086">
        <v>50</v>
      </c>
      <c r="F1086">
        <v>49.935329437</v>
      </c>
      <c r="G1086">
        <v>1330.6644286999999</v>
      </c>
      <c r="H1086">
        <v>1329.5178223</v>
      </c>
      <c r="I1086">
        <v>1332.4117432</v>
      </c>
      <c r="J1086">
        <v>1331.9960937999999</v>
      </c>
      <c r="K1086">
        <v>550</v>
      </c>
      <c r="L1086">
        <v>0</v>
      </c>
      <c r="M1086">
        <v>0</v>
      </c>
      <c r="N1086">
        <v>550</v>
      </c>
    </row>
    <row r="1087" spans="1:14" x14ac:dyDescent="0.25">
      <c r="A1087">
        <v>1096.0000130000001</v>
      </c>
      <c r="B1087" s="1">
        <f>DATE(2013,5,1) + TIME(0,0,1)</f>
        <v>41395.000011574077</v>
      </c>
      <c r="C1087">
        <v>80</v>
      </c>
      <c r="D1087">
        <v>63.366302490000002</v>
      </c>
      <c r="E1087">
        <v>50</v>
      </c>
      <c r="F1087">
        <v>49.935268401999998</v>
      </c>
      <c r="G1087">
        <v>1331.2600098</v>
      </c>
      <c r="H1087">
        <v>1330.128418</v>
      </c>
      <c r="I1087">
        <v>1331.9274902</v>
      </c>
      <c r="J1087">
        <v>1331.5035399999999</v>
      </c>
      <c r="K1087">
        <v>550</v>
      </c>
      <c r="L1087">
        <v>0</v>
      </c>
      <c r="M1087">
        <v>0</v>
      </c>
      <c r="N1087">
        <v>550</v>
      </c>
    </row>
    <row r="1088" spans="1:14" x14ac:dyDescent="0.25">
      <c r="A1088">
        <v>1096.0000399999999</v>
      </c>
      <c r="B1088" s="1">
        <f>DATE(2013,5,1) + TIME(0,0,3)</f>
        <v>41395.000034722223</v>
      </c>
      <c r="C1088">
        <v>80</v>
      </c>
      <c r="D1088">
        <v>63.366588593000003</v>
      </c>
      <c r="E1088">
        <v>50</v>
      </c>
      <c r="F1088">
        <v>49.935199738000001</v>
      </c>
      <c r="G1088">
        <v>1331.940918</v>
      </c>
      <c r="H1088">
        <v>1330.7821045000001</v>
      </c>
      <c r="I1088">
        <v>1331.395874</v>
      </c>
      <c r="J1088">
        <v>1330.9572754000001</v>
      </c>
      <c r="K1088">
        <v>550</v>
      </c>
      <c r="L1088">
        <v>0</v>
      </c>
      <c r="M1088">
        <v>0</v>
      </c>
      <c r="N1088">
        <v>550</v>
      </c>
    </row>
    <row r="1089" spans="1:14" x14ac:dyDescent="0.25">
      <c r="A1089">
        <v>1096.000121</v>
      </c>
      <c r="B1089" s="1">
        <f>DATE(2013,5,1) + TIME(0,0,10)</f>
        <v>41395.000115740739</v>
      </c>
      <c r="C1089">
        <v>80</v>
      </c>
      <c r="D1089">
        <v>63.367294311999999</v>
      </c>
      <c r="E1089">
        <v>50</v>
      </c>
      <c r="F1089">
        <v>49.935127258000001</v>
      </c>
      <c r="G1089">
        <v>1332.6251221</v>
      </c>
      <c r="H1089">
        <v>1331.4354248</v>
      </c>
      <c r="I1089">
        <v>1330.8564452999999</v>
      </c>
      <c r="J1089">
        <v>1330.3928223</v>
      </c>
      <c r="K1089">
        <v>550</v>
      </c>
      <c r="L1089">
        <v>0</v>
      </c>
      <c r="M1089">
        <v>0</v>
      </c>
      <c r="N1089">
        <v>550</v>
      </c>
    </row>
    <row r="1090" spans="1:14" x14ac:dyDescent="0.25">
      <c r="A1090">
        <v>1096.000364</v>
      </c>
      <c r="B1090" s="1">
        <f>DATE(2013,5,1) + TIME(0,0,31)</f>
        <v>41395.000358796293</v>
      </c>
      <c r="C1090">
        <v>80</v>
      </c>
      <c r="D1090">
        <v>63.369274138999998</v>
      </c>
      <c r="E1090">
        <v>50</v>
      </c>
      <c r="F1090">
        <v>49.935047150000003</v>
      </c>
      <c r="G1090">
        <v>1333.2579346</v>
      </c>
      <c r="H1090">
        <v>1332.0386963000001</v>
      </c>
      <c r="I1090">
        <v>1330.3356934000001</v>
      </c>
      <c r="J1090">
        <v>1329.8304443</v>
      </c>
      <c r="K1090">
        <v>550</v>
      </c>
      <c r="L1090">
        <v>0</v>
      </c>
      <c r="M1090">
        <v>0</v>
      </c>
      <c r="N1090">
        <v>550</v>
      </c>
    </row>
    <row r="1091" spans="1:14" x14ac:dyDescent="0.25">
      <c r="A1091">
        <v>1096.0010930000001</v>
      </c>
      <c r="B1091" s="1">
        <f>DATE(2013,5,1) + TIME(0,1,34)</f>
        <v>41395.001087962963</v>
      </c>
      <c r="C1091">
        <v>80</v>
      </c>
      <c r="D1091">
        <v>63.375137328999998</v>
      </c>
      <c r="E1091">
        <v>50</v>
      </c>
      <c r="F1091">
        <v>49.934951781999999</v>
      </c>
      <c r="G1091">
        <v>1333.7386475000001</v>
      </c>
      <c r="H1091">
        <v>1332.4952393000001</v>
      </c>
      <c r="I1091">
        <v>1329.9095459</v>
      </c>
      <c r="J1091">
        <v>1329.3610839999999</v>
      </c>
      <c r="K1091">
        <v>550</v>
      </c>
      <c r="L1091">
        <v>0</v>
      </c>
      <c r="M1091">
        <v>0</v>
      </c>
      <c r="N1091">
        <v>550</v>
      </c>
    </row>
    <row r="1092" spans="1:14" x14ac:dyDescent="0.25">
      <c r="A1092">
        <v>1096.0032799999999</v>
      </c>
      <c r="B1092" s="1">
        <f>DATE(2013,5,1) + TIME(0,4,43)</f>
        <v>41395.003275462965</v>
      </c>
      <c r="C1092">
        <v>80</v>
      </c>
      <c r="D1092">
        <v>63.392734527999998</v>
      </c>
      <c r="E1092">
        <v>50</v>
      </c>
      <c r="F1092">
        <v>49.934787749999998</v>
      </c>
      <c r="G1092">
        <v>1334.0133057</v>
      </c>
      <c r="H1092">
        <v>1332.7578125</v>
      </c>
      <c r="I1092">
        <v>1329.6336670000001</v>
      </c>
      <c r="J1092">
        <v>1329.0616454999999</v>
      </c>
      <c r="K1092">
        <v>550</v>
      </c>
      <c r="L1092">
        <v>0</v>
      </c>
      <c r="M1092">
        <v>0</v>
      </c>
      <c r="N1092">
        <v>550</v>
      </c>
    </row>
    <row r="1093" spans="1:14" x14ac:dyDescent="0.25">
      <c r="A1093">
        <v>1096.0098410000001</v>
      </c>
      <c r="B1093" s="1">
        <f>DATE(2013,5,1) + TIME(0,14,10)</f>
        <v>41395.009837962964</v>
      </c>
      <c r="C1093">
        <v>80</v>
      </c>
      <c r="D1093">
        <v>63.445442200000002</v>
      </c>
      <c r="E1093">
        <v>50</v>
      </c>
      <c r="F1093">
        <v>49.934379577999998</v>
      </c>
      <c r="G1093">
        <v>1334.1347656</v>
      </c>
      <c r="H1093">
        <v>1332.8762207</v>
      </c>
      <c r="I1093">
        <v>1329.5004882999999</v>
      </c>
      <c r="J1093">
        <v>1328.9211425999999</v>
      </c>
      <c r="K1093">
        <v>550</v>
      </c>
      <c r="L1093">
        <v>0</v>
      </c>
      <c r="M1093">
        <v>0</v>
      </c>
      <c r="N1093">
        <v>550</v>
      </c>
    </row>
    <row r="1094" spans="1:14" x14ac:dyDescent="0.25">
      <c r="A1094">
        <v>1096.029524</v>
      </c>
      <c r="B1094" s="1">
        <f>DATE(2013,5,1) + TIME(0,42,30)</f>
        <v>41395.029513888891</v>
      </c>
      <c r="C1094">
        <v>80</v>
      </c>
      <c r="D1094">
        <v>63.602123259999999</v>
      </c>
      <c r="E1094">
        <v>50</v>
      </c>
      <c r="F1094">
        <v>49.933200835999997</v>
      </c>
      <c r="G1094">
        <v>1334.1729736</v>
      </c>
      <c r="H1094">
        <v>1332.9160156</v>
      </c>
      <c r="I1094">
        <v>1329.4645995999999</v>
      </c>
      <c r="J1094">
        <v>1328.8835449000001</v>
      </c>
      <c r="K1094">
        <v>550</v>
      </c>
      <c r="L1094">
        <v>0</v>
      </c>
      <c r="M1094">
        <v>0</v>
      </c>
      <c r="N1094">
        <v>550</v>
      </c>
    </row>
    <row r="1095" spans="1:14" x14ac:dyDescent="0.25">
      <c r="A1095">
        <v>1096.088573</v>
      </c>
      <c r="B1095" s="1">
        <f>DATE(2013,5,1) + TIME(2,7,32)</f>
        <v>41395.088564814818</v>
      </c>
      <c r="C1095">
        <v>80</v>
      </c>
      <c r="D1095">
        <v>64.059249878000003</v>
      </c>
      <c r="E1095">
        <v>50</v>
      </c>
      <c r="F1095">
        <v>49.929706572999997</v>
      </c>
      <c r="G1095">
        <v>1334.1735839999999</v>
      </c>
      <c r="H1095">
        <v>1332.9234618999999</v>
      </c>
      <c r="I1095">
        <v>1329.4614257999999</v>
      </c>
      <c r="J1095">
        <v>1328.8798827999999</v>
      </c>
      <c r="K1095">
        <v>550</v>
      </c>
      <c r="L1095">
        <v>0</v>
      </c>
      <c r="M1095">
        <v>0</v>
      </c>
      <c r="N1095">
        <v>550</v>
      </c>
    </row>
    <row r="1096" spans="1:14" x14ac:dyDescent="0.25">
      <c r="A1096">
        <v>1096.1726779999999</v>
      </c>
      <c r="B1096" s="1">
        <f>DATE(2013,5,1) + TIME(4,8,39)</f>
        <v>41395.172673611109</v>
      </c>
      <c r="C1096">
        <v>80</v>
      </c>
      <c r="D1096">
        <v>64.689842224000003</v>
      </c>
      <c r="E1096">
        <v>50</v>
      </c>
      <c r="F1096">
        <v>49.924770355</v>
      </c>
      <c r="G1096">
        <v>1334.1864014</v>
      </c>
      <c r="H1096">
        <v>1332.9361572</v>
      </c>
      <c r="I1096">
        <v>1329.4609375</v>
      </c>
      <c r="J1096">
        <v>1328.8782959</v>
      </c>
      <c r="K1096">
        <v>550</v>
      </c>
      <c r="L1096">
        <v>0</v>
      </c>
      <c r="M1096">
        <v>0</v>
      </c>
      <c r="N1096">
        <v>550</v>
      </c>
    </row>
    <row r="1097" spans="1:14" x14ac:dyDescent="0.25">
      <c r="A1097">
        <v>1096.2587149999999</v>
      </c>
      <c r="B1097" s="1">
        <f>DATE(2013,5,1) + TIME(6,12,32)</f>
        <v>41395.258703703701</v>
      </c>
      <c r="C1097">
        <v>80</v>
      </c>
      <c r="D1097">
        <v>65.317558289000004</v>
      </c>
      <c r="E1097">
        <v>50</v>
      </c>
      <c r="F1097">
        <v>49.919738770000002</v>
      </c>
      <c r="G1097">
        <v>1334.2165527</v>
      </c>
      <c r="H1097">
        <v>1332.9584961</v>
      </c>
      <c r="I1097">
        <v>1329.4600829999999</v>
      </c>
      <c r="J1097">
        <v>1328.8762207</v>
      </c>
      <c r="K1097">
        <v>550</v>
      </c>
      <c r="L1097">
        <v>0</v>
      </c>
      <c r="M1097">
        <v>0</v>
      </c>
      <c r="N1097">
        <v>550</v>
      </c>
    </row>
    <row r="1098" spans="1:14" x14ac:dyDescent="0.25">
      <c r="A1098">
        <v>1096.3467539999999</v>
      </c>
      <c r="B1098" s="1">
        <f>DATE(2013,5,1) + TIME(8,19,19)</f>
        <v>41395.346747685187</v>
      </c>
      <c r="C1098">
        <v>80</v>
      </c>
      <c r="D1098">
        <v>65.941848754999995</v>
      </c>
      <c r="E1098">
        <v>50</v>
      </c>
      <c r="F1098">
        <v>49.914611815999997</v>
      </c>
      <c r="G1098">
        <v>1334.2484131000001</v>
      </c>
      <c r="H1098">
        <v>1332.9820557</v>
      </c>
      <c r="I1098">
        <v>1329.4592285000001</v>
      </c>
      <c r="J1098">
        <v>1328.8740233999999</v>
      </c>
      <c r="K1098">
        <v>550</v>
      </c>
      <c r="L1098">
        <v>0</v>
      </c>
      <c r="M1098">
        <v>0</v>
      </c>
      <c r="N1098">
        <v>550</v>
      </c>
    </row>
    <row r="1099" spans="1:14" x14ac:dyDescent="0.25">
      <c r="A1099">
        <v>1096.4368999999999</v>
      </c>
      <c r="B1099" s="1">
        <f>DATE(2013,5,1) + TIME(10,29,8)</f>
        <v>41395.436898148146</v>
      </c>
      <c r="C1099">
        <v>80</v>
      </c>
      <c r="D1099">
        <v>66.562225342000005</v>
      </c>
      <c r="E1099">
        <v>50</v>
      </c>
      <c r="F1099">
        <v>49.909385681000003</v>
      </c>
      <c r="G1099">
        <v>1334.2821045000001</v>
      </c>
      <c r="H1099">
        <v>1333.0067139</v>
      </c>
      <c r="I1099">
        <v>1329.4582519999999</v>
      </c>
      <c r="J1099">
        <v>1328.8717041</v>
      </c>
      <c r="K1099">
        <v>550</v>
      </c>
      <c r="L1099">
        <v>0</v>
      </c>
      <c r="M1099">
        <v>0</v>
      </c>
      <c r="N1099">
        <v>550</v>
      </c>
    </row>
    <row r="1100" spans="1:14" x14ac:dyDescent="0.25">
      <c r="A1100">
        <v>1096.5292449999999</v>
      </c>
      <c r="B1100" s="1">
        <f>DATE(2013,5,1) + TIME(12,42,6)</f>
        <v>41395.529236111113</v>
      </c>
      <c r="C1100">
        <v>80</v>
      </c>
      <c r="D1100">
        <v>67.178070067999997</v>
      </c>
      <c r="E1100">
        <v>50</v>
      </c>
      <c r="F1100">
        <v>49.904056549000003</v>
      </c>
      <c r="G1100">
        <v>1334.3176269999999</v>
      </c>
      <c r="H1100">
        <v>1333.0324707</v>
      </c>
      <c r="I1100">
        <v>1329.4573975000001</v>
      </c>
      <c r="J1100">
        <v>1328.8693848</v>
      </c>
      <c r="K1100">
        <v>550</v>
      </c>
      <c r="L1100">
        <v>0</v>
      </c>
      <c r="M1100">
        <v>0</v>
      </c>
      <c r="N1100">
        <v>550</v>
      </c>
    </row>
    <row r="1101" spans="1:14" x14ac:dyDescent="0.25">
      <c r="A1101">
        <v>1096.6238920000001</v>
      </c>
      <c r="B1101" s="1">
        <f>DATE(2013,5,1) + TIME(14,58,24)</f>
        <v>41395.623888888891</v>
      </c>
      <c r="C1101">
        <v>80</v>
      </c>
      <c r="D1101">
        <v>67.788726807000003</v>
      </c>
      <c r="E1101">
        <v>50</v>
      </c>
      <c r="F1101">
        <v>49.898616791000002</v>
      </c>
      <c r="G1101">
        <v>1334.3547363</v>
      </c>
      <c r="H1101">
        <v>1333.0593262</v>
      </c>
      <c r="I1101">
        <v>1329.456543</v>
      </c>
      <c r="J1101">
        <v>1328.8670654</v>
      </c>
      <c r="K1101">
        <v>550</v>
      </c>
      <c r="L1101">
        <v>0</v>
      </c>
      <c r="M1101">
        <v>0</v>
      </c>
      <c r="N1101">
        <v>550</v>
      </c>
    </row>
    <row r="1102" spans="1:14" x14ac:dyDescent="0.25">
      <c r="A1102">
        <v>1096.720947</v>
      </c>
      <c r="B1102" s="1">
        <f>DATE(2013,5,1) + TIME(17,18,9)</f>
        <v>41395.720937500002</v>
      </c>
      <c r="C1102">
        <v>80</v>
      </c>
      <c r="D1102">
        <v>68.393470764</v>
      </c>
      <c r="E1102">
        <v>50</v>
      </c>
      <c r="F1102">
        <v>49.893066406000003</v>
      </c>
      <c r="G1102">
        <v>1334.3935547000001</v>
      </c>
      <c r="H1102">
        <v>1333.0871582</v>
      </c>
      <c r="I1102">
        <v>1329.4555664</v>
      </c>
      <c r="J1102">
        <v>1328.8647461</v>
      </c>
      <c r="K1102">
        <v>550</v>
      </c>
      <c r="L1102">
        <v>0</v>
      </c>
      <c r="M1102">
        <v>0</v>
      </c>
      <c r="N1102">
        <v>550</v>
      </c>
    </row>
    <row r="1103" spans="1:14" x14ac:dyDescent="0.25">
      <c r="A1103">
        <v>1096.8205310000001</v>
      </c>
      <c r="B1103" s="1">
        <f>DATE(2013,5,1) + TIME(19,41,33)</f>
        <v>41395.820520833331</v>
      </c>
      <c r="C1103">
        <v>80</v>
      </c>
      <c r="D1103">
        <v>68.991523743000002</v>
      </c>
      <c r="E1103">
        <v>50</v>
      </c>
      <c r="F1103">
        <v>49.887397765999999</v>
      </c>
      <c r="G1103">
        <v>1334.4338379000001</v>
      </c>
      <c r="H1103">
        <v>1333.1159668</v>
      </c>
      <c r="I1103">
        <v>1329.4547118999999</v>
      </c>
      <c r="J1103">
        <v>1328.8623047000001</v>
      </c>
      <c r="K1103">
        <v>550</v>
      </c>
      <c r="L1103">
        <v>0</v>
      </c>
      <c r="M1103">
        <v>0</v>
      </c>
      <c r="N1103">
        <v>550</v>
      </c>
    </row>
    <row r="1104" spans="1:14" x14ac:dyDescent="0.25">
      <c r="A1104">
        <v>1096.9227719999999</v>
      </c>
      <c r="B1104" s="1">
        <f>DATE(2013,5,1) + TIME(22,8,47)</f>
        <v>41395.922766203701</v>
      </c>
      <c r="C1104">
        <v>80</v>
      </c>
      <c r="D1104">
        <v>69.582084656000006</v>
      </c>
      <c r="E1104">
        <v>50</v>
      </c>
      <c r="F1104">
        <v>49.881603241000001</v>
      </c>
      <c r="G1104">
        <v>1334.4755858999999</v>
      </c>
      <c r="H1104">
        <v>1333.1457519999999</v>
      </c>
      <c r="I1104">
        <v>1329.4537353999999</v>
      </c>
      <c r="J1104">
        <v>1328.8597411999999</v>
      </c>
      <c r="K1104">
        <v>550</v>
      </c>
      <c r="L1104">
        <v>0</v>
      </c>
      <c r="M1104">
        <v>0</v>
      </c>
      <c r="N1104">
        <v>550</v>
      </c>
    </row>
    <row r="1105" spans="1:14" x14ac:dyDescent="0.25">
      <c r="A1105">
        <v>1097.0278109999999</v>
      </c>
      <c r="B1105" s="1">
        <f>DATE(2013,5,2) + TIME(0,40,2)</f>
        <v>41396.027800925927</v>
      </c>
      <c r="C1105">
        <v>80</v>
      </c>
      <c r="D1105">
        <v>70.164154053000004</v>
      </c>
      <c r="E1105">
        <v>50</v>
      </c>
      <c r="F1105">
        <v>49.875682830999999</v>
      </c>
      <c r="G1105">
        <v>1334.5186768000001</v>
      </c>
      <c r="H1105">
        <v>1333.1763916</v>
      </c>
      <c r="I1105">
        <v>1329.4528809000001</v>
      </c>
      <c r="J1105">
        <v>1328.8572998</v>
      </c>
      <c r="K1105">
        <v>550</v>
      </c>
      <c r="L1105">
        <v>0</v>
      </c>
      <c r="M1105">
        <v>0</v>
      </c>
      <c r="N1105">
        <v>550</v>
      </c>
    </row>
    <row r="1106" spans="1:14" x14ac:dyDescent="0.25">
      <c r="A1106">
        <v>1097.135806</v>
      </c>
      <c r="B1106" s="1">
        <f>DATE(2013,5,2) + TIME(3,15,33)</f>
        <v>41396.135798611111</v>
      </c>
      <c r="C1106">
        <v>80</v>
      </c>
      <c r="D1106">
        <v>70.736656189000001</v>
      </c>
      <c r="E1106">
        <v>50</v>
      </c>
      <c r="F1106">
        <v>49.869625092</v>
      </c>
      <c r="G1106">
        <v>1334.5629882999999</v>
      </c>
      <c r="H1106">
        <v>1333.2077637</v>
      </c>
      <c r="I1106">
        <v>1329.4519043</v>
      </c>
      <c r="J1106">
        <v>1328.8546143000001</v>
      </c>
      <c r="K1106">
        <v>550</v>
      </c>
      <c r="L1106">
        <v>0</v>
      </c>
      <c r="M1106">
        <v>0</v>
      </c>
      <c r="N1106">
        <v>550</v>
      </c>
    </row>
    <row r="1107" spans="1:14" x14ac:dyDescent="0.25">
      <c r="A1107">
        <v>1097.2469289999999</v>
      </c>
      <c r="B1107" s="1">
        <f>DATE(2013,5,2) + TIME(5,55,34)</f>
        <v>41396.246921296297</v>
      </c>
      <c r="C1107">
        <v>80</v>
      </c>
      <c r="D1107">
        <v>71.298965453999998</v>
      </c>
      <c r="E1107">
        <v>50</v>
      </c>
      <c r="F1107">
        <v>49.863422393999997</v>
      </c>
      <c r="G1107">
        <v>1334.6085204999999</v>
      </c>
      <c r="H1107">
        <v>1333.2399902</v>
      </c>
      <c r="I1107">
        <v>1329.4509277</v>
      </c>
      <c r="J1107">
        <v>1328.8520507999999</v>
      </c>
      <c r="K1107">
        <v>550</v>
      </c>
      <c r="L1107">
        <v>0</v>
      </c>
      <c r="M1107">
        <v>0</v>
      </c>
      <c r="N1107">
        <v>550</v>
      </c>
    </row>
    <row r="1108" spans="1:14" x14ac:dyDescent="0.25">
      <c r="A1108">
        <v>1097.361416</v>
      </c>
      <c r="B1108" s="1">
        <f>DATE(2013,5,2) + TIME(8,40,26)</f>
        <v>41396.36141203704</v>
      </c>
      <c r="C1108">
        <v>80</v>
      </c>
      <c r="D1108">
        <v>71.850334167</v>
      </c>
      <c r="E1108">
        <v>50</v>
      </c>
      <c r="F1108">
        <v>49.857063293000003</v>
      </c>
      <c r="G1108">
        <v>1334.6550293</v>
      </c>
      <c r="H1108">
        <v>1333.2728271000001</v>
      </c>
      <c r="I1108">
        <v>1329.4499512</v>
      </c>
      <c r="J1108">
        <v>1328.8493652</v>
      </c>
      <c r="K1108">
        <v>550</v>
      </c>
      <c r="L1108">
        <v>0</v>
      </c>
      <c r="M1108">
        <v>0</v>
      </c>
      <c r="N1108">
        <v>550</v>
      </c>
    </row>
    <row r="1109" spans="1:14" x14ac:dyDescent="0.25">
      <c r="A1109">
        <v>1097.4794340000001</v>
      </c>
      <c r="B1109" s="1">
        <f>DATE(2013,5,2) + TIME(11,30,23)</f>
        <v>41396.479432870372</v>
      </c>
      <c r="C1109">
        <v>80</v>
      </c>
      <c r="D1109">
        <v>72.389572143999999</v>
      </c>
      <c r="E1109">
        <v>50</v>
      </c>
      <c r="F1109">
        <v>49.850547790999997</v>
      </c>
      <c r="G1109">
        <v>1334.7026367000001</v>
      </c>
      <c r="H1109">
        <v>1333.3062743999999</v>
      </c>
      <c r="I1109">
        <v>1329.4489745999999</v>
      </c>
      <c r="J1109">
        <v>1328.8465576000001</v>
      </c>
      <c r="K1109">
        <v>550</v>
      </c>
      <c r="L1109">
        <v>0</v>
      </c>
      <c r="M1109">
        <v>0</v>
      </c>
      <c r="N1109">
        <v>550</v>
      </c>
    </row>
    <row r="1110" spans="1:14" x14ac:dyDescent="0.25">
      <c r="A1110">
        <v>1097.601206</v>
      </c>
      <c r="B1110" s="1">
        <f>DATE(2013,5,2) + TIME(14,25,44)</f>
        <v>41396.601203703707</v>
      </c>
      <c r="C1110">
        <v>80</v>
      </c>
      <c r="D1110">
        <v>72.915657042999996</v>
      </c>
      <c r="E1110">
        <v>50</v>
      </c>
      <c r="F1110">
        <v>49.843860626000001</v>
      </c>
      <c r="G1110">
        <v>1334.7510986</v>
      </c>
      <c r="H1110">
        <v>1333.340332</v>
      </c>
      <c r="I1110">
        <v>1329.447876</v>
      </c>
      <c r="J1110">
        <v>1328.84375</v>
      </c>
      <c r="K1110">
        <v>550</v>
      </c>
      <c r="L1110">
        <v>0</v>
      </c>
      <c r="M1110">
        <v>0</v>
      </c>
      <c r="N1110">
        <v>550</v>
      </c>
    </row>
    <row r="1111" spans="1:14" x14ac:dyDescent="0.25">
      <c r="A1111">
        <v>1097.726985</v>
      </c>
      <c r="B1111" s="1">
        <f>DATE(2013,5,2) + TIME(17,26,51)</f>
        <v>41396.726979166669</v>
      </c>
      <c r="C1111">
        <v>80</v>
      </c>
      <c r="D1111">
        <v>73.427597046000002</v>
      </c>
      <c r="E1111">
        <v>50</v>
      </c>
      <c r="F1111">
        <v>49.836990356000001</v>
      </c>
      <c r="G1111">
        <v>1334.800293</v>
      </c>
      <c r="H1111">
        <v>1333.3748779</v>
      </c>
      <c r="I1111">
        <v>1329.4468993999999</v>
      </c>
      <c r="J1111">
        <v>1328.8409423999999</v>
      </c>
      <c r="K1111">
        <v>550</v>
      </c>
      <c r="L1111">
        <v>0</v>
      </c>
      <c r="M1111">
        <v>0</v>
      </c>
      <c r="N1111">
        <v>550</v>
      </c>
    </row>
    <row r="1112" spans="1:14" x14ac:dyDescent="0.25">
      <c r="A1112">
        <v>1097.8570520000001</v>
      </c>
      <c r="B1112" s="1">
        <f>DATE(2013,5,2) + TIME(20,34,9)</f>
        <v>41396.857048611113</v>
      </c>
      <c r="C1112">
        <v>80</v>
      </c>
      <c r="D1112">
        <v>73.924392699999999</v>
      </c>
      <c r="E1112">
        <v>50</v>
      </c>
      <c r="F1112">
        <v>49.829929352000001</v>
      </c>
      <c r="G1112">
        <v>1334.8502197</v>
      </c>
      <c r="H1112">
        <v>1333.4097899999999</v>
      </c>
      <c r="I1112">
        <v>1329.4458007999999</v>
      </c>
      <c r="J1112">
        <v>1328.8380127</v>
      </c>
      <c r="K1112">
        <v>550</v>
      </c>
      <c r="L1112">
        <v>0</v>
      </c>
      <c r="M1112">
        <v>0</v>
      </c>
      <c r="N1112">
        <v>550</v>
      </c>
    </row>
    <row r="1113" spans="1:14" x14ac:dyDescent="0.25">
      <c r="A1113">
        <v>1097.9917210000001</v>
      </c>
      <c r="B1113" s="1">
        <f>DATE(2013,5,2) + TIME(23,48,4)</f>
        <v>41396.991712962961</v>
      </c>
      <c r="C1113">
        <v>80</v>
      </c>
      <c r="D1113">
        <v>74.405075073000006</v>
      </c>
      <c r="E1113">
        <v>50</v>
      </c>
      <c r="F1113">
        <v>49.822662354000002</v>
      </c>
      <c r="G1113">
        <v>1334.9006348</v>
      </c>
      <c r="H1113">
        <v>1333.4450684000001</v>
      </c>
      <c r="I1113">
        <v>1329.4447021000001</v>
      </c>
      <c r="J1113">
        <v>1328.8349608999999</v>
      </c>
      <c r="K1113">
        <v>550</v>
      </c>
      <c r="L1113">
        <v>0</v>
      </c>
      <c r="M1113">
        <v>0</v>
      </c>
      <c r="N1113">
        <v>550</v>
      </c>
    </row>
    <row r="1114" spans="1:14" x14ac:dyDescent="0.25">
      <c r="A1114">
        <v>1098.131345</v>
      </c>
      <c r="B1114" s="1">
        <f>DATE(2013,5,3) + TIME(3,9,8)</f>
        <v>41397.131342592591</v>
      </c>
      <c r="C1114">
        <v>80</v>
      </c>
      <c r="D1114">
        <v>74.868682860999996</v>
      </c>
      <c r="E1114">
        <v>50</v>
      </c>
      <c r="F1114">
        <v>49.815174102999997</v>
      </c>
      <c r="G1114">
        <v>1334.9516602000001</v>
      </c>
      <c r="H1114">
        <v>1333.4805908000001</v>
      </c>
      <c r="I1114">
        <v>1329.4434814000001</v>
      </c>
      <c r="J1114">
        <v>1328.8319091999999</v>
      </c>
      <c r="K1114">
        <v>550</v>
      </c>
      <c r="L1114">
        <v>0</v>
      </c>
      <c r="M1114">
        <v>0</v>
      </c>
      <c r="N1114">
        <v>550</v>
      </c>
    </row>
    <row r="1115" spans="1:14" x14ac:dyDescent="0.25">
      <c r="A1115">
        <v>1098.2763190000001</v>
      </c>
      <c r="B1115" s="1">
        <f>DATE(2013,5,3) + TIME(6,37,53)</f>
        <v>41397.276307870372</v>
      </c>
      <c r="C1115">
        <v>80</v>
      </c>
      <c r="D1115">
        <v>75.314086914000001</v>
      </c>
      <c r="E1115">
        <v>50</v>
      </c>
      <c r="F1115">
        <v>49.807453156000001</v>
      </c>
      <c r="G1115">
        <v>1335.0029297000001</v>
      </c>
      <c r="H1115">
        <v>1333.5163574000001</v>
      </c>
      <c r="I1115">
        <v>1329.4423827999999</v>
      </c>
      <c r="J1115">
        <v>1328.8287353999999</v>
      </c>
      <c r="K1115">
        <v>550</v>
      </c>
      <c r="L1115">
        <v>0</v>
      </c>
      <c r="M1115">
        <v>0</v>
      </c>
      <c r="N1115">
        <v>550</v>
      </c>
    </row>
    <row r="1116" spans="1:14" x14ac:dyDescent="0.25">
      <c r="A1116">
        <v>1098.427091</v>
      </c>
      <c r="B1116" s="1">
        <f>DATE(2013,5,3) + TIME(10,15,0)</f>
        <v>41397.427083333336</v>
      </c>
      <c r="C1116">
        <v>80</v>
      </c>
      <c r="D1116">
        <v>75.740562439000001</v>
      </c>
      <c r="E1116">
        <v>50</v>
      </c>
      <c r="F1116">
        <v>49.799472809000001</v>
      </c>
      <c r="G1116">
        <v>1335.0544434000001</v>
      </c>
      <c r="H1116">
        <v>1333.5522461</v>
      </c>
      <c r="I1116">
        <v>1329.4411620999999</v>
      </c>
      <c r="J1116">
        <v>1328.8255615</v>
      </c>
      <c r="K1116">
        <v>550</v>
      </c>
      <c r="L1116">
        <v>0</v>
      </c>
      <c r="M1116">
        <v>0</v>
      </c>
      <c r="N1116">
        <v>550</v>
      </c>
    </row>
    <row r="1117" spans="1:14" x14ac:dyDescent="0.25">
      <c r="A1117">
        <v>1098.584173</v>
      </c>
      <c r="B1117" s="1">
        <f>DATE(2013,5,3) + TIME(14,1,12)</f>
        <v>41397.584166666667</v>
      </c>
      <c r="C1117">
        <v>80</v>
      </c>
      <c r="D1117">
        <v>76.147407532000003</v>
      </c>
      <c r="E1117">
        <v>50</v>
      </c>
      <c r="F1117">
        <v>49.791217803999999</v>
      </c>
      <c r="G1117">
        <v>1335.1062012</v>
      </c>
      <c r="H1117">
        <v>1333.5882568</v>
      </c>
      <c r="I1117">
        <v>1329.4398193</v>
      </c>
      <c r="J1117">
        <v>1328.8222656</v>
      </c>
      <c r="K1117">
        <v>550</v>
      </c>
      <c r="L1117">
        <v>0</v>
      </c>
      <c r="M1117">
        <v>0</v>
      </c>
      <c r="N1117">
        <v>550</v>
      </c>
    </row>
    <row r="1118" spans="1:14" x14ac:dyDescent="0.25">
      <c r="A1118">
        <v>1098.7475890000001</v>
      </c>
      <c r="B1118" s="1">
        <f>DATE(2013,5,3) + TIME(17,56,31)</f>
        <v>41397.747581018521</v>
      </c>
      <c r="C1118">
        <v>80</v>
      </c>
      <c r="D1118">
        <v>76.532737732000001</v>
      </c>
      <c r="E1118">
        <v>50</v>
      </c>
      <c r="F1118">
        <v>49.782691956000001</v>
      </c>
      <c r="G1118">
        <v>1335.1580810999999</v>
      </c>
      <c r="H1118">
        <v>1333.6241454999999</v>
      </c>
      <c r="I1118">
        <v>1329.4384766000001</v>
      </c>
      <c r="J1118">
        <v>1328.8188477000001</v>
      </c>
      <c r="K1118">
        <v>550</v>
      </c>
      <c r="L1118">
        <v>0</v>
      </c>
      <c r="M1118">
        <v>0</v>
      </c>
      <c r="N1118">
        <v>550</v>
      </c>
    </row>
    <row r="1119" spans="1:14" x14ac:dyDescent="0.25">
      <c r="A1119">
        <v>1098.9177239999999</v>
      </c>
      <c r="B1119" s="1">
        <f>DATE(2013,5,3) + TIME(22,1,31)</f>
        <v>41397.917719907404</v>
      </c>
      <c r="C1119">
        <v>80</v>
      </c>
      <c r="D1119">
        <v>76.895736693999993</v>
      </c>
      <c r="E1119">
        <v>50</v>
      </c>
      <c r="F1119">
        <v>49.773880005000002</v>
      </c>
      <c r="G1119">
        <v>1335.2095947</v>
      </c>
      <c r="H1119">
        <v>1333.6599120999999</v>
      </c>
      <c r="I1119">
        <v>1329.4371338000001</v>
      </c>
      <c r="J1119">
        <v>1328.8153076000001</v>
      </c>
      <c r="K1119">
        <v>550</v>
      </c>
      <c r="L1119">
        <v>0</v>
      </c>
      <c r="M1119">
        <v>0</v>
      </c>
      <c r="N1119">
        <v>550</v>
      </c>
    </row>
    <row r="1120" spans="1:14" x14ac:dyDescent="0.25">
      <c r="A1120">
        <v>1099.0950720000001</v>
      </c>
      <c r="B1120" s="1">
        <f>DATE(2013,5,4) + TIME(2,16,54)</f>
        <v>41398.095069444447</v>
      </c>
      <c r="C1120">
        <v>80</v>
      </c>
      <c r="D1120">
        <v>77.235885620000005</v>
      </c>
      <c r="E1120">
        <v>50</v>
      </c>
      <c r="F1120">
        <v>49.764762877999999</v>
      </c>
      <c r="G1120">
        <v>1335.2608643000001</v>
      </c>
      <c r="H1120">
        <v>1333.6954346</v>
      </c>
      <c r="I1120">
        <v>1329.4356689000001</v>
      </c>
      <c r="J1120">
        <v>1328.8117675999999</v>
      </c>
      <c r="K1120">
        <v>550</v>
      </c>
      <c r="L1120">
        <v>0</v>
      </c>
      <c r="M1120">
        <v>0</v>
      </c>
      <c r="N1120">
        <v>550</v>
      </c>
    </row>
    <row r="1121" spans="1:14" x14ac:dyDescent="0.25">
      <c r="A1121">
        <v>1099.2801810000001</v>
      </c>
      <c r="B1121" s="1">
        <f>DATE(2013,5,4) + TIME(6,43,27)</f>
        <v>41398.280173611114</v>
      </c>
      <c r="C1121">
        <v>80</v>
      </c>
      <c r="D1121">
        <v>77.552841186999999</v>
      </c>
      <c r="E1121">
        <v>50</v>
      </c>
      <c r="F1121">
        <v>49.755325317</v>
      </c>
      <c r="G1121">
        <v>1335.3114014</v>
      </c>
      <c r="H1121">
        <v>1333.7303466999999</v>
      </c>
      <c r="I1121">
        <v>1329.434082</v>
      </c>
      <c r="J1121">
        <v>1328.8079834</v>
      </c>
      <c r="K1121">
        <v>550</v>
      </c>
      <c r="L1121">
        <v>0</v>
      </c>
      <c r="M1121">
        <v>0</v>
      </c>
      <c r="N1121">
        <v>550</v>
      </c>
    </row>
    <row r="1122" spans="1:14" x14ac:dyDescent="0.25">
      <c r="A1122">
        <v>1099.4736680000001</v>
      </c>
      <c r="B1122" s="1">
        <f>DATE(2013,5,4) + TIME(11,22,4)</f>
        <v>41398.473657407405</v>
      </c>
      <c r="C1122">
        <v>80</v>
      </c>
      <c r="D1122">
        <v>77.846420288000004</v>
      </c>
      <c r="E1122">
        <v>50</v>
      </c>
      <c r="F1122">
        <v>49.745536803999997</v>
      </c>
      <c r="G1122">
        <v>1335.3612060999999</v>
      </c>
      <c r="H1122">
        <v>1333.7647704999999</v>
      </c>
      <c r="I1122">
        <v>1329.4324951000001</v>
      </c>
      <c r="J1122">
        <v>1328.8041992000001</v>
      </c>
      <c r="K1122">
        <v>550</v>
      </c>
      <c r="L1122">
        <v>0</v>
      </c>
      <c r="M1122">
        <v>0</v>
      </c>
      <c r="N1122">
        <v>550</v>
      </c>
    </row>
    <row r="1123" spans="1:14" x14ac:dyDescent="0.25">
      <c r="A1123">
        <v>1099.6762100000001</v>
      </c>
      <c r="B1123" s="1">
        <f>DATE(2013,5,4) + TIME(16,13,44)</f>
        <v>41398.676203703704</v>
      </c>
      <c r="C1123">
        <v>80</v>
      </c>
      <c r="D1123">
        <v>78.116622925000001</v>
      </c>
      <c r="E1123">
        <v>50</v>
      </c>
      <c r="F1123">
        <v>49.735378265000001</v>
      </c>
      <c r="G1123">
        <v>1335.4102783000001</v>
      </c>
      <c r="H1123">
        <v>1333.7985839999999</v>
      </c>
      <c r="I1123">
        <v>1329.4309082</v>
      </c>
      <c r="J1123">
        <v>1328.800293</v>
      </c>
      <c r="K1123">
        <v>550</v>
      </c>
      <c r="L1123">
        <v>0</v>
      </c>
      <c r="M1123">
        <v>0</v>
      </c>
      <c r="N1123">
        <v>550</v>
      </c>
    </row>
    <row r="1124" spans="1:14" x14ac:dyDescent="0.25">
      <c r="A1124">
        <v>1099.888565</v>
      </c>
      <c r="B1124" s="1">
        <f>DATE(2013,5,4) + TIME(21,19,32)</f>
        <v>41398.888564814813</v>
      </c>
      <c r="C1124">
        <v>80</v>
      </c>
      <c r="D1124">
        <v>78.363624572999996</v>
      </c>
      <c r="E1124">
        <v>50</v>
      </c>
      <c r="F1124">
        <v>49.724822998</v>
      </c>
      <c r="G1124">
        <v>1335.4582519999999</v>
      </c>
      <c r="H1124">
        <v>1333.8316649999999</v>
      </c>
      <c r="I1124">
        <v>1329.4290771000001</v>
      </c>
      <c r="J1124">
        <v>1328.7962646000001</v>
      </c>
      <c r="K1124">
        <v>550</v>
      </c>
      <c r="L1124">
        <v>0</v>
      </c>
      <c r="M1124">
        <v>0</v>
      </c>
      <c r="N1124">
        <v>550</v>
      </c>
    </row>
    <row r="1125" spans="1:14" x14ac:dyDescent="0.25">
      <c r="A1125">
        <v>1100.1115970000001</v>
      </c>
      <c r="B1125" s="1">
        <f>DATE(2013,5,5) + TIME(2,40,42)</f>
        <v>41399.111597222225</v>
      </c>
      <c r="C1125">
        <v>80</v>
      </c>
      <c r="D1125">
        <v>78.587783813000001</v>
      </c>
      <c r="E1125">
        <v>50</v>
      </c>
      <c r="F1125">
        <v>49.713840484999999</v>
      </c>
      <c r="G1125">
        <v>1335.5050048999999</v>
      </c>
      <c r="H1125">
        <v>1333.8640137</v>
      </c>
      <c r="I1125">
        <v>1329.4272461</v>
      </c>
      <c r="J1125">
        <v>1328.7919922000001</v>
      </c>
      <c r="K1125">
        <v>550</v>
      </c>
      <c r="L1125">
        <v>0</v>
      </c>
      <c r="M1125">
        <v>0</v>
      </c>
      <c r="N1125">
        <v>550</v>
      </c>
    </row>
    <row r="1126" spans="1:14" x14ac:dyDescent="0.25">
      <c r="A1126">
        <v>1100.346282</v>
      </c>
      <c r="B1126" s="1">
        <f>DATE(2013,5,5) + TIME(8,18,38)</f>
        <v>41399.346273148149</v>
      </c>
      <c r="C1126">
        <v>80</v>
      </c>
      <c r="D1126">
        <v>78.789672851999995</v>
      </c>
      <c r="E1126">
        <v>50</v>
      </c>
      <c r="F1126">
        <v>49.702392578000001</v>
      </c>
      <c r="G1126">
        <v>1335.5504149999999</v>
      </c>
      <c r="H1126">
        <v>1333.8953856999999</v>
      </c>
      <c r="I1126">
        <v>1329.4251709</v>
      </c>
      <c r="J1126">
        <v>1328.7877197</v>
      </c>
      <c r="K1126">
        <v>550</v>
      </c>
      <c r="L1126">
        <v>0</v>
      </c>
      <c r="M1126">
        <v>0</v>
      </c>
      <c r="N1126">
        <v>550</v>
      </c>
    </row>
    <row r="1127" spans="1:14" x14ac:dyDescent="0.25">
      <c r="A1127">
        <v>1100.59376</v>
      </c>
      <c r="B1127" s="1">
        <f>DATE(2013,5,5) + TIME(14,15,0)</f>
        <v>41399.59375</v>
      </c>
      <c r="C1127">
        <v>80</v>
      </c>
      <c r="D1127">
        <v>78.969955443999993</v>
      </c>
      <c r="E1127">
        <v>50</v>
      </c>
      <c r="F1127">
        <v>49.690441131999997</v>
      </c>
      <c r="G1127">
        <v>1335.5920410000001</v>
      </c>
      <c r="H1127">
        <v>1333.9240723</v>
      </c>
      <c r="I1127">
        <v>1329.4230957</v>
      </c>
      <c r="J1127">
        <v>1328.7832031</v>
      </c>
      <c r="K1127">
        <v>550</v>
      </c>
      <c r="L1127">
        <v>0</v>
      </c>
      <c r="M1127">
        <v>0</v>
      </c>
      <c r="N1127">
        <v>550</v>
      </c>
    </row>
    <row r="1128" spans="1:14" x14ac:dyDescent="0.25">
      <c r="A1128">
        <v>1100.8558330000001</v>
      </c>
      <c r="B1128" s="1">
        <f>DATE(2013,5,5) + TIME(20,32,23)</f>
        <v>41399.855821759258</v>
      </c>
      <c r="C1128">
        <v>80</v>
      </c>
      <c r="D1128">
        <v>79.129791260000005</v>
      </c>
      <c r="E1128">
        <v>50</v>
      </c>
      <c r="F1128">
        <v>49.677917479999998</v>
      </c>
      <c r="G1128">
        <v>1335.6311035000001</v>
      </c>
      <c r="H1128">
        <v>1333.9511719</v>
      </c>
      <c r="I1128">
        <v>1329.4207764</v>
      </c>
      <c r="J1128">
        <v>1328.7784423999999</v>
      </c>
      <c r="K1128">
        <v>550</v>
      </c>
      <c r="L1128">
        <v>0</v>
      </c>
      <c r="M1128">
        <v>0</v>
      </c>
      <c r="N1128">
        <v>550</v>
      </c>
    </row>
    <row r="1129" spans="1:14" x14ac:dyDescent="0.25">
      <c r="A1129">
        <v>1101.134035</v>
      </c>
      <c r="B1129" s="1">
        <f>DATE(2013,5,6) + TIME(3,13,0)</f>
        <v>41400.134027777778</v>
      </c>
      <c r="C1129">
        <v>80</v>
      </c>
      <c r="D1129">
        <v>79.270164489999999</v>
      </c>
      <c r="E1129">
        <v>50</v>
      </c>
      <c r="F1129">
        <v>49.664772034000002</v>
      </c>
      <c r="G1129">
        <v>1335.6687012</v>
      </c>
      <c r="H1129">
        <v>1333.9771728999999</v>
      </c>
      <c r="I1129">
        <v>1329.4183350000001</v>
      </c>
      <c r="J1129">
        <v>1328.7735596</v>
      </c>
      <c r="K1129">
        <v>550</v>
      </c>
      <c r="L1129">
        <v>0</v>
      </c>
      <c r="M1129">
        <v>0</v>
      </c>
      <c r="N1129">
        <v>550</v>
      </c>
    </row>
    <row r="1130" spans="1:14" x14ac:dyDescent="0.25">
      <c r="A1130">
        <v>1101.430175</v>
      </c>
      <c r="B1130" s="1">
        <f>DATE(2013,5,6) + TIME(10,19,27)</f>
        <v>41400.430173611108</v>
      </c>
      <c r="C1130">
        <v>80</v>
      </c>
      <c r="D1130">
        <v>79.392089843999997</v>
      </c>
      <c r="E1130">
        <v>50</v>
      </c>
      <c r="F1130">
        <v>49.650939940999997</v>
      </c>
      <c r="G1130">
        <v>1335.7006836</v>
      </c>
      <c r="H1130">
        <v>1333.9996338000001</v>
      </c>
      <c r="I1130">
        <v>1329.4155272999999</v>
      </c>
      <c r="J1130">
        <v>1328.7685547000001</v>
      </c>
      <c r="K1130">
        <v>550</v>
      </c>
      <c r="L1130">
        <v>0</v>
      </c>
      <c r="M1130">
        <v>0</v>
      </c>
      <c r="N1130">
        <v>550</v>
      </c>
    </row>
    <row r="1131" spans="1:14" x14ac:dyDescent="0.25">
      <c r="A1131">
        <v>1101.7395039999999</v>
      </c>
      <c r="B1131" s="1">
        <f>DATE(2013,5,6) + TIME(17,44,53)</f>
        <v>41400.739502314813</v>
      </c>
      <c r="C1131">
        <v>80</v>
      </c>
      <c r="D1131">
        <v>79.495033264</v>
      </c>
      <c r="E1131">
        <v>50</v>
      </c>
      <c r="F1131">
        <v>49.636650084999999</v>
      </c>
      <c r="G1131">
        <v>1335.7307129000001</v>
      </c>
      <c r="H1131">
        <v>1334.0206298999999</v>
      </c>
      <c r="I1131">
        <v>1329.4127197</v>
      </c>
      <c r="J1131">
        <v>1328.7633057</v>
      </c>
      <c r="K1131">
        <v>550</v>
      </c>
      <c r="L1131">
        <v>0</v>
      </c>
      <c r="M1131">
        <v>0</v>
      </c>
      <c r="N1131">
        <v>550</v>
      </c>
    </row>
    <row r="1132" spans="1:14" x14ac:dyDescent="0.25">
      <c r="A1132">
        <v>1102.0568470000001</v>
      </c>
      <c r="B1132" s="1">
        <f>DATE(2013,5,7) + TIME(1,21,51)</f>
        <v>41401.056840277779</v>
      </c>
      <c r="C1132">
        <v>80</v>
      </c>
      <c r="D1132">
        <v>79.579879761000001</v>
      </c>
      <c r="E1132">
        <v>50</v>
      </c>
      <c r="F1132">
        <v>49.622138976999999</v>
      </c>
      <c r="G1132">
        <v>1335.7584228999999</v>
      </c>
      <c r="H1132">
        <v>1334.0402832</v>
      </c>
      <c r="I1132">
        <v>1329.4097899999999</v>
      </c>
      <c r="J1132">
        <v>1328.7578125</v>
      </c>
      <c r="K1132">
        <v>550</v>
      </c>
      <c r="L1132">
        <v>0</v>
      </c>
      <c r="M1132">
        <v>0</v>
      </c>
      <c r="N1132">
        <v>550</v>
      </c>
    </row>
    <row r="1133" spans="1:14" x14ac:dyDescent="0.25">
      <c r="A1133">
        <v>1102.3813319999999</v>
      </c>
      <c r="B1133" s="1">
        <f>DATE(2013,5,7) + TIME(9,9,7)</f>
        <v>41401.381331018521</v>
      </c>
      <c r="C1133">
        <v>80</v>
      </c>
      <c r="D1133">
        <v>79.649185181000007</v>
      </c>
      <c r="E1133">
        <v>50</v>
      </c>
      <c r="F1133">
        <v>49.607448578000003</v>
      </c>
      <c r="G1133">
        <v>1335.7821045000001</v>
      </c>
      <c r="H1133">
        <v>1334.0571289</v>
      </c>
      <c r="I1133">
        <v>1329.4066161999999</v>
      </c>
      <c r="J1133">
        <v>1328.7524414</v>
      </c>
      <c r="K1133">
        <v>550</v>
      </c>
      <c r="L1133">
        <v>0</v>
      </c>
      <c r="M1133">
        <v>0</v>
      </c>
      <c r="N1133">
        <v>550</v>
      </c>
    </row>
    <row r="1134" spans="1:14" x14ac:dyDescent="0.25">
      <c r="A1134">
        <v>1102.708118</v>
      </c>
      <c r="B1134" s="1">
        <f>DATE(2013,5,7) + TIME(16,59,41)</f>
        <v>41401.708113425928</v>
      </c>
      <c r="C1134">
        <v>80</v>
      </c>
      <c r="D1134">
        <v>79.704811096</v>
      </c>
      <c r="E1134">
        <v>50</v>
      </c>
      <c r="F1134">
        <v>49.592781066999997</v>
      </c>
      <c r="G1134">
        <v>1335.800293</v>
      </c>
      <c r="H1134">
        <v>1334.0704346</v>
      </c>
      <c r="I1134">
        <v>1329.4034423999999</v>
      </c>
      <c r="J1134">
        <v>1328.7469481999999</v>
      </c>
      <c r="K1134">
        <v>550</v>
      </c>
      <c r="L1134">
        <v>0</v>
      </c>
      <c r="M1134">
        <v>0</v>
      </c>
      <c r="N1134">
        <v>550</v>
      </c>
    </row>
    <row r="1135" spans="1:14" x14ac:dyDescent="0.25">
      <c r="A1135">
        <v>1103.0388029999999</v>
      </c>
      <c r="B1135" s="1">
        <f>DATE(2013,5,8) + TIME(0,55,52)</f>
        <v>41402.0387962963</v>
      </c>
      <c r="C1135">
        <v>80</v>
      </c>
      <c r="D1135">
        <v>79.749549865999995</v>
      </c>
      <c r="E1135">
        <v>50</v>
      </c>
      <c r="F1135">
        <v>49.578075409</v>
      </c>
      <c r="G1135">
        <v>1335.8161620999999</v>
      </c>
      <c r="H1135">
        <v>1334.0822754000001</v>
      </c>
      <c r="I1135">
        <v>1329.4002685999999</v>
      </c>
      <c r="J1135">
        <v>1328.7414550999999</v>
      </c>
      <c r="K1135">
        <v>550</v>
      </c>
      <c r="L1135">
        <v>0</v>
      </c>
      <c r="M1135">
        <v>0</v>
      </c>
      <c r="N1135">
        <v>550</v>
      </c>
    </row>
    <row r="1136" spans="1:14" x14ac:dyDescent="0.25">
      <c r="A1136">
        <v>1103.374296</v>
      </c>
      <c r="B1136" s="1">
        <f>DATE(2013,5,8) + TIME(8,58,59)</f>
        <v>41402.374293981484</v>
      </c>
      <c r="C1136">
        <v>80</v>
      </c>
      <c r="D1136">
        <v>79.785537719999994</v>
      </c>
      <c r="E1136">
        <v>50</v>
      </c>
      <c r="F1136">
        <v>49.563289642000001</v>
      </c>
      <c r="G1136">
        <v>1335.8300781</v>
      </c>
      <c r="H1136">
        <v>1334.0928954999999</v>
      </c>
      <c r="I1136">
        <v>1329.3970947</v>
      </c>
      <c r="J1136">
        <v>1328.7360839999999</v>
      </c>
      <c r="K1136">
        <v>550</v>
      </c>
      <c r="L1136">
        <v>0</v>
      </c>
      <c r="M1136">
        <v>0</v>
      </c>
      <c r="N1136">
        <v>550</v>
      </c>
    </row>
    <row r="1137" spans="1:14" x14ac:dyDescent="0.25">
      <c r="A1137">
        <v>1103.715559</v>
      </c>
      <c r="B1137" s="1">
        <f>DATE(2013,5,8) + TIME(17,10,24)</f>
        <v>41402.715555555558</v>
      </c>
      <c r="C1137">
        <v>80</v>
      </c>
      <c r="D1137">
        <v>79.814468383999994</v>
      </c>
      <c r="E1137">
        <v>50</v>
      </c>
      <c r="F1137">
        <v>49.548385619999998</v>
      </c>
      <c r="G1137">
        <v>1335.8422852000001</v>
      </c>
      <c r="H1137">
        <v>1334.1024170000001</v>
      </c>
      <c r="I1137">
        <v>1329.3937988</v>
      </c>
      <c r="J1137">
        <v>1328.7305908000001</v>
      </c>
      <c r="K1137">
        <v>550</v>
      </c>
      <c r="L1137">
        <v>0</v>
      </c>
      <c r="M1137">
        <v>0</v>
      </c>
      <c r="N1137">
        <v>550</v>
      </c>
    </row>
    <row r="1138" spans="1:14" x14ac:dyDescent="0.25">
      <c r="A1138">
        <v>1104.0635930000001</v>
      </c>
      <c r="B1138" s="1">
        <f>DATE(2013,5,9) + TIME(1,31,34)</f>
        <v>41403.063587962963</v>
      </c>
      <c r="C1138">
        <v>80</v>
      </c>
      <c r="D1138">
        <v>79.837722778</v>
      </c>
      <c r="E1138">
        <v>50</v>
      </c>
      <c r="F1138">
        <v>49.533329010000003</v>
      </c>
      <c r="G1138">
        <v>1335.8529053</v>
      </c>
      <c r="H1138">
        <v>1334.1108397999999</v>
      </c>
      <c r="I1138">
        <v>1329.3905029</v>
      </c>
      <c r="J1138">
        <v>1328.7250977000001</v>
      </c>
      <c r="K1138">
        <v>550</v>
      </c>
      <c r="L1138">
        <v>0</v>
      </c>
      <c r="M1138">
        <v>0</v>
      </c>
      <c r="N1138">
        <v>550</v>
      </c>
    </row>
    <row r="1139" spans="1:14" x14ac:dyDescent="0.25">
      <c r="A1139">
        <v>1104.4194680000001</v>
      </c>
      <c r="B1139" s="1">
        <f>DATE(2013,5,9) + TIME(10,4,1)</f>
        <v>41403.419456018521</v>
      </c>
      <c r="C1139">
        <v>80</v>
      </c>
      <c r="D1139">
        <v>79.856384277000004</v>
      </c>
      <c r="E1139">
        <v>50</v>
      </c>
      <c r="F1139">
        <v>49.518077849999997</v>
      </c>
      <c r="G1139">
        <v>1335.8620605000001</v>
      </c>
      <c r="H1139">
        <v>1334.1184082</v>
      </c>
      <c r="I1139">
        <v>1329.387207</v>
      </c>
      <c r="J1139">
        <v>1328.7194824000001</v>
      </c>
      <c r="K1139">
        <v>550</v>
      </c>
      <c r="L1139">
        <v>0</v>
      </c>
      <c r="M1139">
        <v>0</v>
      </c>
      <c r="N1139">
        <v>550</v>
      </c>
    </row>
    <row r="1140" spans="1:14" x14ac:dyDescent="0.25">
      <c r="A1140">
        <v>1104.7843459999999</v>
      </c>
      <c r="B1140" s="1">
        <f>DATE(2013,5,9) + TIME(18,49,27)</f>
        <v>41403.78434027778</v>
      </c>
      <c r="C1140">
        <v>80</v>
      </c>
      <c r="D1140">
        <v>79.871337890999996</v>
      </c>
      <c r="E1140">
        <v>50</v>
      </c>
      <c r="F1140">
        <v>49.502586364999999</v>
      </c>
      <c r="G1140">
        <v>1335.8681641000001</v>
      </c>
      <c r="H1140">
        <v>1334.1240233999999</v>
      </c>
      <c r="I1140">
        <v>1329.3836670000001</v>
      </c>
      <c r="J1140">
        <v>1328.7138672000001</v>
      </c>
      <c r="K1140">
        <v>550</v>
      </c>
      <c r="L1140">
        <v>0</v>
      </c>
      <c r="M1140">
        <v>0</v>
      </c>
      <c r="N1140">
        <v>550</v>
      </c>
    </row>
    <row r="1141" spans="1:14" x14ac:dyDescent="0.25">
      <c r="A1141">
        <v>1105.1597589999999</v>
      </c>
      <c r="B1141" s="1">
        <f>DATE(2013,5,10) + TIME(3,50,3)</f>
        <v>41404.159756944442</v>
      </c>
      <c r="C1141">
        <v>80</v>
      </c>
      <c r="D1141">
        <v>79.883316039999997</v>
      </c>
      <c r="E1141">
        <v>50</v>
      </c>
      <c r="F1141">
        <v>49.486801147000001</v>
      </c>
      <c r="G1141">
        <v>1335.8720702999999</v>
      </c>
      <c r="H1141">
        <v>1334.1281738</v>
      </c>
      <c r="I1141">
        <v>1329.380249</v>
      </c>
      <c r="J1141">
        <v>1328.7081298999999</v>
      </c>
      <c r="K1141">
        <v>550</v>
      </c>
      <c r="L1141">
        <v>0</v>
      </c>
      <c r="M1141">
        <v>0</v>
      </c>
      <c r="N1141">
        <v>550</v>
      </c>
    </row>
    <row r="1142" spans="1:14" x14ac:dyDescent="0.25">
      <c r="A1142">
        <v>1105.547943</v>
      </c>
      <c r="B1142" s="1">
        <f>DATE(2013,5,10) + TIME(13,9,2)</f>
        <v>41404.547939814816</v>
      </c>
      <c r="C1142">
        <v>80</v>
      </c>
      <c r="D1142">
        <v>79.892898560000006</v>
      </c>
      <c r="E1142">
        <v>50</v>
      </c>
      <c r="F1142">
        <v>49.470645904999998</v>
      </c>
      <c r="G1142">
        <v>1335.8752440999999</v>
      </c>
      <c r="H1142">
        <v>1334.1319579999999</v>
      </c>
      <c r="I1142">
        <v>1329.3765868999999</v>
      </c>
      <c r="J1142">
        <v>1328.7023925999999</v>
      </c>
      <c r="K1142">
        <v>550</v>
      </c>
      <c r="L1142">
        <v>0</v>
      </c>
      <c r="M1142">
        <v>0</v>
      </c>
      <c r="N1142">
        <v>550</v>
      </c>
    </row>
    <row r="1143" spans="1:14" x14ac:dyDescent="0.25">
      <c r="A1143">
        <v>1105.9516140000001</v>
      </c>
      <c r="B1143" s="1">
        <f>DATE(2013,5,10) + TIME(22,50,19)</f>
        <v>41404.951608796298</v>
      </c>
      <c r="C1143">
        <v>80</v>
      </c>
      <c r="D1143">
        <v>79.900566100999995</v>
      </c>
      <c r="E1143">
        <v>50</v>
      </c>
      <c r="F1143">
        <v>49.454017639</v>
      </c>
      <c r="G1143">
        <v>1335.8776855000001</v>
      </c>
      <c r="H1143">
        <v>1334.135376</v>
      </c>
      <c r="I1143">
        <v>1329.3729248</v>
      </c>
      <c r="J1143">
        <v>1328.6964111</v>
      </c>
      <c r="K1143">
        <v>550</v>
      </c>
      <c r="L1143">
        <v>0</v>
      </c>
      <c r="M1143">
        <v>0</v>
      </c>
      <c r="N1143">
        <v>550</v>
      </c>
    </row>
    <row r="1144" spans="1:14" x14ac:dyDescent="0.25">
      <c r="A1144">
        <v>1106.372807</v>
      </c>
      <c r="B1144" s="1">
        <f>DATE(2013,5,11) + TIME(8,56,50)</f>
        <v>41405.372800925928</v>
      </c>
      <c r="C1144">
        <v>80</v>
      </c>
      <c r="D1144">
        <v>79.906692504999995</v>
      </c>
      <c r="E1144">
        <v>50</v>
      </c>
      <c r="F1144">
        <v>49.436859130999999</v>
      </c>
      <c r="G1144">
        <v>1335.8793945</v>
      </c>
      <c r="H1144">
        <v>1334.1383057</v>
      </c>
      <c r="I1144">
        <v>1329.3691406</v>
      </c>
      <c r="J1144">
        <v>1328.6903076000001</v>
      </c>
      <c r="K1144">
        <v>550</v>
      </c>
      <c r="L1144">
        <v>0</v>
      </c>
      <c r="M1144">
        <v>0</v>
      </c>
      <c r="N1144">
        <v>550</v>
      </c>
    </row>
    <row r="1145" spans="1:14" x14ac:dyDescent="0.25">
      <c r="A1145">
        <v>1106.8090560000001</v>
      </c>
      <c r="B1145" s="1">
        <f>DATE(2013,5,11) + TIME(19,25,2)</f>
        <v>41405.809050925927</v>
      </c>
      <c r="C1145">
        <v>80</v>
      </c>
      <c r="D1145">
        <v>79.911521911999998</v>
      </c>
      <c r="E1145">
        <v>50</v>
      </c>
      <c r="F1145">
        <v>49.419269561999997</v>
      </c>
      <c r="G1145">
        <v>1335.8804932</v>
      </c>
      <c r="H1145">
        <v>1334.1409911999999</v>
      </c>
      <c r="I1145">
        <v>1329.3652344</v>
      </c>
      <c r="J1145">
        <v>1328.6839600000001</v>
      </c>
      <c r="K1145">
        <v>550</v>
      </c>
      <c r="L1145">
        <v>0</v>
      </c>
      <c r="M1145">
        <v>0</v>
      </c>
      <c r="N1145">
        <v>550</v>
      </c>
    </row>
    <row r="1146" spans="1:14" x14ac:dyDescent="0.25">
      <c r="A1146">
        <v>1107.2594369999999</v>
      </c>
      <c r="B1146" s="1">
        <f>DATE(2013,5,12) + TIME(6,13,35)</f>
        <v>41406.259432870371</v>
      </c>
      <c r="C1146">
        <v>80</v>
      </c>
      <c r="D1146">
        <v>79.915313721000004</v>
      </c>
      <c r="E1146">
        <v>50</v>
      </c>
      <c r="F1146">
        <v>49.401287078999999</v>
      </c>
      <c r="G1146">
        <v>1335.8811035000001</v>
      </c>
      <c r="H1146">
        <v>1334.1434326000001</v>
      </c>
      <c r="I1146">
        <v>1329.3612060999999</v>
      </c>
      <c r="J1146">
        <v>1328.6774902</v>
      </c>
      <c r="K1146">
        <v>550</v>
      </c>
      <c r="L1146">
        <v>0</v>
      </c>
      <c r="M1146">
        <v>0</v>
      </c>
      <c r="N1146">
        <v>550</v>
      </c>
    </row>
    <row r="1147" spans="1:14" x14ac:dyDescent="0.25">
      <c r="A1147">
        <v>1107.7258320000001</v>
      </c>
      <c r="B1147" s="1">
        <f>DATE(2013,5,12) + TIME(17,25,11)</f>
        <v>41406.725821759261</v>
      </c>
      <c r="C1147">
        <v>80</v>
      </c>
      <c r="D1147">
        <v>79.918281554999993</v>
      </c>
      <c r="E1147">
        <v>50</v>
      </c>
      <c r="F1147">
        <v>49.382858276</v>
      </c>
      <c r="G1147">
        <v>1335.8809814000001</v>
      </c>
      <c r="H1147">
        <v>1334.1455077999999</v>
      </c>
      <c r="I1147">
        <v>1329.3570557</v>
      </c>
      <c r="J1147">
        <v>1328.6707764</v>
      </c>
      <c r="K1147">
        <v>550</v>
      </c>
      <c r="L1147">
        <v>0</v>
      </c>
      <c r="M1147">
        <v>0</v>
      </c>
      <c r="N1147">
        <v>550</v>
      </c>
    </row>
    <row r="1148" spans="1:14" x14ac:dyDescent="0.25">
      <c r="A1148">
        <v>1108.2103030000001</v>
      </c>
      <c r="B1148" s="1">
        <f>DATE(2013,5,13) + TIME(5,2,50)</f>
        <v>41407.210300925923</v>
      </c>
      <c r="C1148">
        <v>80</v>
      </c>
      <c r="D1148">
        <v>79.920608521000005</v>
      </c>
      <c r="E1148">
        <v>50</v>
      </c>
      <c r="F1148">
        <v>49.363918304000002</v>
      </c>
      <c r="G1148">
        <v>1335.8804932</v>
      </c>
      <c r="H1148">
        <v>1334.1473389</v>
      </c>
      <c r="I1148">
        <v>1329.3527832</v>
      </c>
      <c r="J1148">
        <v>1328.6639404</v>
      </c>
      <c r="K1148">
        <v>550</v>
      </c>
      <c r="L1148">
        <v>0</v>
      </c>
      <c r="M1148">
        <v>0</v>
      </c>
      <c r="N1148">
        <v>550</v>
      </c>
    </row>
    <row r="1149" spans="1:14" x14ac:dyDescent="0.25">
      <c r="A1149">
        <v>1108.7147970000001</v>
      </c>
      <c r="B1149" s="1">
        <f>DATE(2013,5,13) + TIME(17,9,18)</f>
        <v>41407.714791666665</v>
      </c>
      <c r="C1149">
        <v>80</v>
      </c>
      <c r="D1149">
        <v>79.922431946000003</v>
      </c>
      <c r="E1149">
        <v>50</v>
      </c>
      <c r="F1149">
        <v>49.344409943000002</v>
      </c>
      <c r="G1149">
        <v>1335.8795166</v>
      </c>
      <c r="H1149">
        <v>1334.1489257999999</v>
      </c>
      <c r="I1149">
        <v>1329.3483887</v>
      </c>
      <c r="J1149">
        <v>1328.6569824000001</v>
      </c>
      <c r="K1149">
        <v>550</v>
      </c>
      <c r="L1149">
        <v>0</v>
      </c>
      <c r="M1149">
        <v>0</v>
      </c>
      <c r="N1149">
        <v>550</v>
      </c>
    </row>
    <row r="1150" spans="1:14" x14ac:dyDescent="0.25">
      <c r="A1150">
        <v>1109.2446970000001</v>
      </c>
      <c r="B1150" s="1">
        <f>DATE(2013,5,14) + TIME(5,52,21)</f>
        <v>41408.244687500002</v>
      </c>
      <c r="C1150">
        <v>80</v>
      </c>
      <c r="D1150">
        <v>79.923866271999998</v>
      </c>
      <c r="E1150">
        <v>50</v>
      </c>
      <c r="F1150">
        <v>49.324157714999998</v>
      </c>
      <c r="G1150">
        <v>1335.8781738</v>
      </c>
      <c r="H1150">
        <v>1334.1502685999999</v>
      </c>
      <c r="I1150">
        <v>1329.3438721</v>
      </c>
      <c r="J1150">
        <v>1328.6496582</v>
      </c>
      <c r="K1150">
        <v>550</v>
      </c>
      <c r="L1150">
        <v>0</v>
      </c>
      <c r="M1150">
        <v>0</v>
      </c>
      <c r="N1150">
        <v>550</v>
      </c>
    </row>
    <row r="1151" spans="1:14" x14ac:dyDescent="0.25">
      <c r="A1151">
        <v>1109.804525</v>
      </c>
      <c r="B1151" s="1">
        <f>DATE(2013,5,14) + TIME(19,18,30)</f>
        <v>41408.804513888892</v>
      </c>
      <c r="C1151">
        <v>80</v>
      </c>
      <c r="D1151">
        <v>79.924980164000004</v>
      </c>
      <c r="E1151">
        <v>50</v>
      </c>
      <c r="F1151">
        <v>49.303028107000003</v>
      </c>
      <c r="G1151">
        <v>1335.8763428</v>
      </c>
      <c r="H1151">
        <v>1334.1514893000001</v>
      </c>
      <c r="I1151">
        <v>1329.3392334</v>
      </c>
      <c r="J1151">
        <v>1328.6422118999999</v>
      </c>
      <c r="K1151">
        <v>550</v>
      </c>
      <c r="L1151">
        <v>0</v>
      </c>
      <c r="M1151">
        <v>0</v>
      </c>
      <c r="N1151">
        <v>550</v>
      </c>
    </row>
    <row r="1152" spans="1:14" x14ac:dyDescent="0.25">
      <c r="A1152">
        <v>1110.399054</v>
      </c>
      <c r="B1152" s="1">
        <f>DATE(2013,5,15) + TIME(9,34,38)</f>
        <v>41409.399050925924</v>
      </c>
      <c r="C1152">
        <v>80</v>
      </c>
      <c r="D1152">
        <v>79.925857543999996</v>
      </c>
      <c r="E1152">
        <v>50</v>
      </c>
      <c r="F1152">
        <v>49.280883789000001</v>
      </c>
      <c r="G1152">
        <v>1335.8741454999999</v>
      </c>
      <c r="H1152">
        <v>1334.1524658000001</v>
      </c>
      <c r="I1152">
        <v>1329.3342285000001</v>
      </c>
      <c r="J1152">
        <v>1328.6342772999999</v>
      </c>
      <c r="K1152">
        <v>550</v>
      </c>
      <c r="L1152">
        <v>0</v>
      </c>
      <c r="M1152">
        <v>0</v>
      </c>
      <c r="N1152">
        <v>550</v>
      </c>
    </row>
    <row r="1153" spans="1:14" x14ac:dyDescent="0.25">
      <c r="A1153">
        <v>1111.029902</v>
      </c>
      <c r="B1153" s="1">
        <f>DATE(2013,5,16) + TIME(0,43,3)</f>
        <v>41410.029895833337</v>
      </c>
      <c r="C1153">
        <v>80</v>
      </c>
      <c r="D1153">
        <v>79.926528931000007</v>
      </c>
      <c r="E1153">
        <v>50</v>
      </c>
      <c r="F1153">
        <v>49.257701873999999</v>
      </c>
      <c r="G1153">
        <v>1335.8714600000001</v>
      </c>
      <c r="H1153">
        <v>1334.1534423999999</v>
      </c>
      <c r="I1153">
        <v>1329.3291016000001</v>
      </c>
      <c r="J1153">
        <v>1328.6259766000001</v>
      </c>
      <c r="K1153">
        <v>550</v>
      </c>
      <c r="L1153">
        <v>0</v>
      </c>
      <c r="M1153">
        <v>0</v>
      </c>
      <c r="N1153">
        <v>550</v>
      </c>
    </row>
    <row r="1154" spans="1:14" x14ac:dyDescent="0.25">
      <c r="A1154">
        <v>1111.6783869999999</v>
      </c>
      <c r="B1154" s="1">
        <f>DATE(2013,5,16) + TIME(16,16,52)</f>
        <v>41410.678379629629</v>
      </c>
      <c r="C1154">
        <v>80</v>
      </c>
      <c r="D1154">
        <v>79.927024841000005</v>
      </c>
      <c r="E1154">
        <v>50</v>
      </c>
      <c r="F1154">
        <v>49.234096526999998</v>
      </c>
      <c r="G1154">
        <v>1335.8684082</v>
      </c>
      <c r="H1154">
        <v>1334.1541748</v>
      </c>
      <c r="I1154">
        <v>1329.3237305</v>
      </c>
      <c r="J1154">
        <v>1328.6173096</v>
      </c>
      <c r="K1154">
        <v>550</v>
      </c>
      <c r="L1154">
        <v>0</v>
      </c>
      <c r="M1154">
        <v>0</v>
      </c>
      <c r="N1154">
        <v>550</v>
      </c>
    </row>
    <row r="1155" spans="1:14" x14ac:dyDescent="0.25">
      <c r="A1155">
        <v>1112.3321289999999</v>
      </c>
      <c r="B1155" s="1">
        <f>DATE(2013,5,17) + TIME(7,58,15)</f>
        <v>41411.332118055558</v>
      </c>
      <c r="C1155">
        <v>80</v>
      </c>
      <c r="D1155">
        <v>79.927383422999995</v>
      </c>
      <c r="E1155">
        <v>50</v>
      </c>
      <c r="F1155">
        <v>49.210472107000001</v>
      </c>
      <c r="G1155">
        <v>1335.8651123</v>
      </c>
      <c r="H1155">
        <v>1334.1547852000001</v>
      </c>
      <c r="I1155">
        <v>1329.3182373</v>
      </c>
      <c r="J1155">
        <v>1328.6085204999999</v>
      </c>
      <c r="K1155">
        <v>550</v>
      </c>
      <c r="L1155">
        <v>0</v>
      </c>
      <c r="M1155">
        <v>0</v>
      </c>
      <c r="N1155">
        <v>550</v>
      </c>
    </row>
    <row r="1156" spans="1:14" x14ac:dyDescent="0.25">
      <c r="A1156">
        <v>1112.9927170000001</v>
      </c>
      <c r="B1156" s="1">
        <f>DATE(2013,5,17) + TIME(23,49,30)</f>
        <v>41411.992708333331</v>
      </c>
      <c r="C1156">
        <v>80</v>
      </c>
      <c r="D1156">
        <v>79.927627563000001</v>
      </c>
      <c r="E1156">
        <v>50</v>
      </c>
      <c r="F1156">
        <v>49.186786652000002</v>
      </c>
      <c r="G1156">
        <v>1335.8616943</v>
      </c>
      <c r="H1156">
        <v>1334.1552733999999</v>
      </c>
      <c r="I1156">
        <v>1329.3127440999999</v>
      </c>
      <c r="J1156">
        <v>1328.5997314000001</v>
      </c>
      <c r="K1156">
        <v>550</v>
      </c>
      <c r="L1156">
        <v>0</v>
      </c>
      <c r="M1156">
        <v>0</v>
      </c>
      <c r="N1156">
        <v>550</v>
      </c>
    </row>
    <row r="1157" spans="1:14" x14ac:dyDescent="0.25">
      <c r="A1157">
        <v>1113.6628800000001</v>
      </c>
      <c r="B1157" s="1">
        <f>DATE(2013,5,18) + TIME(15,54,32)</f>
        <v>41412.662870370368</v>
      </c>
      <c r="C1157">
        <v>80</v>
      </c>
      <c r="D1157">
        <v>79.927795410000002</v>
      </c>
      <c r="E1157">
        <v>50</v>
      </c>
      <c r="F1157">
        <v>49.162963867000002</v>
      </c>
      <c r="G1157">
        <v>1335.8581543</v>
      </c>
      <c r="H1157">
        <v>1334.1557617000001</v>
      </c>
      <c r="I1157">
        <v>1329.307251</v>
      </c>
      <c r="J1157">
        <v>1328.5909423999999</v>
      </c>
      <c r="K1157">
        <v>550</v>
      </c>
      <c r="L1157">
        <v>0</v>
      </c>
      <c r="M1157">
        <v>0</v>
      </c>
      <c r="N1157">
        <v>550</v>
      </c>
    </row>
    <row r="1158" spans="1:14" x14ac:dyDescent="0.25">
      <c r="A1158">
        <v>1114.345339</v>
      </c>
      <c r="B1158" s="1">
        <f>DATE(2013,5,19) + TIME(8,17,17)</f>
        <v>41413.345335648148</v>
      </c>
      <c r="C1158">
        <v>80</v>
      </c>
      <c r="D1158">
        <v>79.927909850999995</v>
      </c>
      <c r="E1158">
        <v>50</v>
      </c>
      <c r="F1158">
        <v>49.138927459999998</v>
      </c>
      <c r="G1158">
        <v>1335.8544922000001</v>
      </c>
      <c r="H1158">
        <v>1334.1560059000001</v>
      </c>
      <c r="I1158">
        <v>1329.3017577999999</v>
      </c>
      <c r="J1158">
        <v>1328.5820312000001</v>
      </c>
      <c r="K1158">
        <v>550</v>
      </c>
      <c r="L1158">
        <v>0</v>
      </c>
      <c r="M1158">
        <v>0</v>
      </c>
      <c r="N1158">
        <v>550</v>
      </c>
    </row>
    <row r="1159" spans="1:14" x14ac:dyDescent="0.25">
      <c r="A1159">
        <v>1115.0428910000001</v>
      </c>
      <c r="B1159" s="1">
        <f>DATE(2013,5,20) + TIME(1,1,45)</f>
        <v>41414.042881944442</v>
      </c>
      <c r="C1159">
        <v>80</v>
      </c>
      <c r="D1159">
        <v>79.927970885999997</v>
      </c>
      <c r="E1159">
        <v>50</v>
      </c>
      <c r="F1159">
        <v>49.114608765</v>
      </c>
      <c r="G1159">
        <v>1335.8507079999999</v>
      </c>
      <c r="H1159">
        <v>1334.15625</v>
      </c>
      <c r="I1159">
        <v>1329.2961425999999</v>
      </c>
      <c r="J1159">
        <v>1328.5729980000001</v>
      </c>
      <c r="K1159">
        <v>550</v>
      </c>
      <c r="L1159">
        <v>0</v>
      </c>
      <c r="M1159">
        <v>0</v>
      </c>
      <c r="N1159">
        <v>550</v>
      </c>
    </row>
    <row r="1160" spans="1:14" x14ac:dyDescent="0.25">
      <c r="A1160">
        <v>1115.758503</v>
      </c>
      <c r="B1160" s="1">
        <f>DATE(2013,5,20) + TIME(18,12,14)</f>
        <v>41414.75849537037</v>
      </c>
      <c r="C1160">
        <v>80</v>
      </c>
      <c r="D1160">
        <v>79.927993774000001</v>
      </c>
      <c r="E1160">
        <v>50</v>
      </c>
      <c r="F1160">
        <v>49.089923859000002</v>
      </c>
      <c r="G1160">
        <v>1335.8469238</v>
      </c>
      <c r="H1160">
        <v>1334.1564940999999</v>
      </c>
      <c r="I1160">
        <v>1329.2904053</v>
      </c>
      <c r="J1160">
        <v>1328.5638428</v>
      </c>
      <c r="K1160">
        <v>550</v>
      </c>
      <c r="L1160">
        <v>0</v>
      </c>
      <c r="M1160">
        <v>0</v>
      </c>
      <c r="N1160">
        <v>550</v>
      </c>
    </row>
    <row r="1161" spans="1:14" x14ac:dyDescent="0.25">
      <c r="A1161">
        <v>1116.4962190000001</v>
      </c>
      <c r="B1161" s="1">
        <f>DATE(2013,5,21) + TIME(11,54,33)</f>
        <v>41415.496215277781</v>
      </c>
      <c r="C1161">
        <v>80</v>
      </c>
      <c r="D1161">
        <v>79.927986145000006</v>
      </c>
      <c r="E1161">
        <v>50</v>
      </c>
      <c r="F1161">
        <v>49.064777374000002</v>
      </c>
      <c r="G1161">
        <v>1335.8428954999999</v>
      </c>
      <c r="H1161">
        <v>1334.1567382999999</v>
      </c>
      <c r="I1161">
        <v>1329.284668</v>
      </c>
      <c r="J1161">
        <v>1328.5544434000001</v>
      </c>
      <c r="K1161">
        <v>550</v>
      </c>
      <c r="L1161">
        <v>0</v>
      </c>
      <c r="M1161">
        <v>0</v>
      </c>
      <c r="N1161">
        <v>550</v>
      </c>
    </row>
    <row r="1162" spans="1:14" x14ac:dyDescent="0.25">
      <c r="A1162">
        <v>1117.2540260000001</v>
      </c>
      <c r="B1162" s="1">
        <f>DATE(2013,5,22) + TIME(6,5,47)</f>
        <v>41416.254016203704</v>
      </c>
      <c r="C1162">
        <v>80</v>
      </c>
      <c r="D1162">
        <v>79.927947997999993</v>
      </c>
      <c r="E1162">
        <v>50</v>
      </c>
      <c r="F1162">
        <v>49.039237976000003</v>
      </c>
      <c r="G1162">
        <v>1335.8388672000001</v>
      </c>
      <c r="H1162">
        <v>1334.1568603999999</v>
      </c>
      <c r="I1162">
        <v>1329.2788086</v>
      </c>
      <c r="J1162">
        <v>1328.5449219</v>
      </c>
      <c r="K1162">
        <v>550</v>
      </c>
      <c r="L1162">
        <v>0</v>
      </c>
      <c r="M1162">
        <v>0</v>
      </c>
      <c r="N1162">
        <v>550</v>
      </c>
    </row>
    <row r="1163" spans="1:14" x14ac:dyDescent="0.25">
      <c r="A1163">
        <v>1118.0282709999999</v>
      </c>
      <c r="B1163" s="1">
        <f>DATE(2013,5,23) + TIME(0,40,42)</f>
        <v>41417.028263888889</v>
      </c>
      <c r="C1163">
        <v>80</v>
      </c>
      <c r="D1163">
        <v>79.927894592000001</v>
      </c>
      <c r="E1163">
        <v>50</v>
      </c>
      <c r="F1163">
        <v>49.013431549000003</v>
      </c>
      <c r="G1163">
        <v>1335.8348389</v>
      </c>
      <c r="H1163">
        <v>1334.1569824000001</v>
      </c>
      <c r="I1163">
        <v>1329.2728271000001</v>
      </c>
      <c r="J1163">
        <v>1328.5352783000001</v>
      </c>
      <c r="K1163">
        <v>550</v>
      </c>
      <c r="L1163">
        <v>0</v>
      </c>
      <c r="M1163">
        <v>0</v>
      </c>
      <c r="N1163">
        <v>550</v>
      </c>
    </row>
    <row r="1164" spans="1:14" x14ac:dyDescent="0.25">
      <c r="A1164">
        <v>1118.821962</v>
      </c>
      <c r="B1164" s="1">
        <f>DATE(2013,5,23) + TIME(19,43,37)</f>
        <v>41417.821956018517</v>
      </c>
      <c r="C1164">
        <v>80</v>
      </c>
      <c r="D1164">
        <v>79.927825928000004</v>
      </c>
      <c r="E1164">
        <v>50</v>
      </c>
      <c r="F1164">
        <v>48.987285614000001</v>
      </c>
      <c r="G1164">
        <v>1335.8306885</v>
      </c>
      <c r="H1164">
        <v>1334.1571045000001</v>
      </c>
      <c r="I1164">
        <v>1329.2667236</v>
      </c>
      <c r="J1164">
        <v>1328.5253906</v>
      </c>
      <c r="K1164">
        <v>550</v>
      </c>
      <c r="L1164">
        <v>0</v>
      </c>
      <c r="M1164">
        <v>0</v>
      </c>
      <c r="N1164">
        <v>550</v>
      </c>
    </row>
    <row r="1165" spans="1:14" x14ac:dyDescent="0.25">
      <c r="A1165">
        <v>1119.638234</v>
      </c>
      <c r="B1165" s="1">
        <f>DATE(2013,5,24) + TIME(15,19,3)</f>
        <v>41418.638229166667</v>
      </c>
      <c r="C1165">
        <v>80</v>
      </c>
      <c r="D1165">
        <v>79.927742003999995</v>
      </c>
      <c r="E1165">
        <v>50</v>
      </c>
      <c r="F1165">
        <v>48.960739136000001</v>
      </c>
      <c r="G1165">
        <v>1335.8266602000001</v>
      </c>
      <c r="H1165">
        <v>1334.1572266000001</v>
      </c>
      <c r="I1165">
        <v>1329.2606201000001</v>
      </c>
      <c r="J1165">
        <v>1328.5153809000001</v>
      </c>
      <c r="K1165">
        <v>550</v>
      </c>
      <c r="L1165">
        <v>0</v>
      </c>
      <c r="M1165">
        <v>0</v>
      </c>
      <c r="N1165">
        <v>550</v>
      </c>
    </row>
    <row r="1166" spans="1:14" x14ac:dyDescent="0.25">
      <c r="A1166">
        <v>1120.480558</v>
      </c>
      <c r="B1166" s="1">
        <f>DATE(2013,5,25) + TIME(11,32,0)</f>
        <v>41419.480555555558</v>
      </c>
      <c r="C1166">
        <v>80</v>
      </c>
      <c r="D1166">
        <v>79.927642821999996</v>
      </c>
      <c r="E1166">
        <v>50</v>
      </c>
      <c r="F1166">
        <v>48.933719635000003</v>
      </c>
      <c r="G1166">
        <v>1335.8225098</v>
      </c>
      <c r="H1166">
        <v>1334.1573486</v>
      </c>
      <c r="I1166">
        <v>1329.2542725000001</v>
      </c>
      <c r="J1166">
        <v>1328.5051269999999</v>
      </c>
      <c r="K1166">
        <v>550</v>
      </c>
      <c r="L1166">
        <v>0</v>
      </c>
      <c r="M1166">
        <v>0</v>
      </c>
      <c r="N1166">
        <v>550</v>
      </c>
    </row>
    <row r="1167" spans="1:14" x14ac:dyDescent="0.25">
      <c r="A1167">
        <v>1121.353314</v>
      </c>
      <c r="B1167" s="1">
        <f>DATE(2013,5,26) + TIME(8,28,46)</f>
        <v>41420.353310185186</v>
      </c>
      <c r="C1167">
        <v>80</v>
      </c>
      <c r="D1167">
        <v>79.927536011000001</v>
      </c>
      <c r="E1167">
        <v>50</v>
      </c>
      <c r="F1167">
        <v>48.906135558999999</v>
      </c>
      <c r="G1167">
        <v>1335.8183594</v>
      </c>
      <c r="H1167">
        <v>1334.1574707</v>
      </c>
      <c r="I1167">
        <v>1329.2479248</v>
      </c>
      <c r="J1167">
        <v>1328.494751</v>
      </c>
      <c r="K1167">
        <v>550</v>
      </c>
      <c r="L1167">
        <v>0</v>
      </c>
      <c r="M1167">
        <v>0</v>
      </c>
      <c r="N1167">
        <v>550</v>
      </c>
    </row>
    <row r="1168" spans="1:14" x14ac:dyDescent="0.25">
      <c r="A1168">
        <v>1122.261303</v>
      </c>
      <c r="B1168" s="1">
        <f>DATE(2013,5,27) + TIME(6,16,16)</f>
        <v>41421.261296296296</v>
      </c>
      <c r="C1168">
        <v>80</v>
      </c>
      <c r="D1168">
        <v>79.927421570000007</v>
      </c>
      <c r="E1168">
        <v>50</v>
      </c>
      <c r="F1168">
        <v>48.877899169999999</v>
      </c>
      <c r="G1168">
        <v>1335.8142089999999</v>
      </c>
      <c r="H1168">
        <v>1334.1575928</v>
      </c>
      <c r="I1168">
        <v>1329.2413329999999</v>
      </c>
      <c r="J1168">
        <v>1328.4840088000001</v>
      </c>
      <c r="K1168">
        <v>550</v>
      </c>
      <c r="L1168">
        <v>0</v>
      </c>
      <c r="M1168">
        <v>0</v>
      </c>
      <c r="N1168">
        <v>550</v>
      </c>
    </row>
    <row r="1169" spans="1:14" x14ac:dyDescent="0.25">
      <c r="A1169">
        <v>1123.2132320000001</v>
      </c>
      <c r="B1169" s="1">
        <f>DATE(2013,5,28) + TIME(5,7,3)</f>
        <v>41422.213229166664</v>
      </c>
      <c r="C1169">
        <v>80</v>
      </c>
      <c r="D1169">
        <v>79.927299500000004</v>
      </c>
      <c r="E1169">
        <v>50</v>
      </c>
      <c r="F1169">
        <v>48.848827362000002</v>
      </c>
      <c r="G1169">
        <v>1335.8099365</v>
      </c>
      <c r="H1169">
        <v>1334.1577147999999</v>
      </c>
      <c r="I1169">
        <v>1329.2346190999999</v>
      </c>
      <c r="J1169">
        <v>1328.4729004000001</v>
      </c>
      <c r="K1169">
        <v>550</v>
      </c>
      <c r="L1169">
        <v>0</v>
      </c>
      <c r="M1169">
        <v>0</v>
      </c>
      <c r="N1169">
        <v>550</v>
      </c>
    </row>
    <row r="1170" spans="1:14" x14ac:dyDescent="0.25">
      <c r="A1170">
        <v>1124.2193540000001</v>
      </c>
      <c r="B1170" s="1">
        <f>DATE(2013,5,29) + TIME(5,15,52)</f>
        <v>41423.219351851854</v>
      </c>
      <c r="C1170">
        <v>80</v>
      </c>
      <c r="D1170">
        <v>79.927169800000001</v>
      </c>
      <c r="E1170">
        <v>50</v>
      </c>
      <c r="F1170">
        <v>48.818717956999997</v>
      </c>
      <c r="G1170">
        <v>1335.8056641000001</v>
      </c>
      <c r="H1170">
        <v>1334.1578368999999</v>
      </c>
      <c r="I1170">
        <v>1329.2276611</v>
      </c>
      <c r="J1170">
        <v>1328.4614257999999</v>
      </c>
      <c r="K1170">
        <v>550</v>
      </c>
      <c r="L1170">
        <v>0</v>
      </c>
      <c r="M1170">
        <v>0</v>
      </c>
      <c r="N1170">
        <v>550</v>
      </c>
    </row>
    <row r="1171" spans="1:14" x14ac:dyDescent="0.25">
      <c r="A1171">
        <v>1125.269172</v>
      </c>
      <c r="B1171" s="1">
        <f>DATE(2013,5,30) + TIME(6,27,36)</f>
        <v>41424.269166666665</v>
      </c>
      <c r="C1171">
        <v>80</v>
      </c>
      <c r="D1171">
        <v>79.927032471000004</v>
      </c>
      <c r="E1171">
        <v>50</v>
      </c>
      <c r="F1171">
        <v>48.787879943999997</v>
      </c>
      <c r="G1171">
        <v>1335.8012695</v>
      </c>
      <c r="H1171">
        <v>1334.1579589999999</v>
      </c>
      <c r="I1171">
        <v>1329.2203368999999</v>
      </c>
      <c r="J1171">
        <v>1328.4494629000001</v>
      </c>
      <c r="K1171">
        <v>550</v>
      </c>
      <c r="L1171">
        <v>0</v>
      </c>
      <c r="M1171">
        <v>0</v>
      </c>
      <c r="N1171">
        <v>550</v>
      </c>
    </row>
    <row r="1172" spans="1:14" x14ac:dyDescent="0.25">
      <c r="A1172">
        <v>1126.3766840000001</v>
      </c>
      <c r="B1172" s="1">
        <f>DATE(2013,5,31) + TIME(9,2,25)</f>
        <v>41425.37667824074</v>
      </c>
      <c r="C1172">
        <v>80</v>
      </c>
      <c r="D1172">
        <v>79.926887511999993</v>
      </c>
      <c r="E1172">
        <v>50</v>
      </c>
      <c r="F1172">
        <v>48.756057738999999</v>
      </c>
      <c r="G1172">
        <v>1335.796875</v>
      </c>
      <c r="H1172">
        <v>1334.1582031</v>
      </c>
      <c r="I1172">
        <v>1329.2128906</v>
      </c>
      <c r="J1172">
        <v>1328.4371338000001</v>
      </c>
      <c r="K1172">
        <v>550</v>
      </c>
      <c r="L1172">
        <v>0</v>
      </c>
      <c r="M1172">
        <v>0</v>
      </c>
      <c r="N1172">
        <v>550</v>
      </c>
    </row>
    <row r="1173" spans="1:14" x14ac:dyDescent="0.25">
      <c r="A1173">
        <v>1127</v>
      </c>
      <c r="B1173" s="1">
        <f>DATE(2013,6,1) + TIME(0,0,0)</f>
        <v>41426</v>
      </c>
      <c r="C1173">
        <v>80</v>
      </c>
      <c r="D1173">
        <v>79.926780700999998</v>
      </c>
      <c r="E1173">
        <v>50</v>
      </c>
      <c r="F1173">
        <v>48.736568450999997</v>
      </c>
      <c r="G1173">
        <v>1335.7924805</v>
      </c>
      <c r="H1173">
        <v>1334.1584473</v>
      </c>
      <c r="I1173">
        <v>1329.2058105000001</v>
      </c>
      <c r="J1173">
        <v>1328.4254149999999</v>
      </c>
      <c r="K1173">
        <v>550</v>
      </c>
      <c r="L1173">
        <v>0</v>
      </c>
      <c r="M1173">
        <v>0</v>
      </c>
      <c r="N1173">
        <v>550</v>
      </c>
    </row>
    <row r="1174" spans="1:14" x14ac:dyDescent="0.25">
      <c r="A1174">
        <v>1128.122981</v>
      </c>
      <c r="B1174" s="1">
        <f>DATE(2013,6,2) + TIME(2,57,5)</f>
        <v>41427.122974537036</v>
      </c>
      <c r="C1174">
        <v>80</v>
      </c>
      <c r="D1174">
        <v>79.926651000999996</v>
      </c>
      <c r="E1174">
        <v>50</v>
      </c>
      <c r="F1174">
        <v>48.705413817999997</v>
      </c>
      <c r="G1174">
        <v>1335.7899170000001</v>
      </c>
      <c r="H1174">
        <v>1334.1585693</v>
      </c>
      <c r="I1174">
        <v>1329.2004394999999</v>
      </c>
      <c r="J1174">
        <v>1328.4165039</v>
      </c>
      <c r="K1174">
        <v>550</v>
      </c>
      <c r="L1174">
        <v>0</v>
      </c>
      <c r="M1174">
        <v>0</v>
      </c>
      <c r="N1174">
        <v>550</v>
      </c>
    </row>
    <row r="1175" spans="1:14" x14ac:dyDescent="0.25">
      <c r="A1175">
        <v>1129.2758220000001</v>
      </c>
      <c r="B1175" s="1">
        <f>DATE(2013,6,3) + TIME(6,37,10)</f>
        <v>41428.275810185187</v>
      </c>
      <c r="C1175">
        <v>80</v>
      </c>
      <c r="D1175">
        <v>79.926506042</v>
      </c>
      <c r="E1175">
        <v>50</v>
      </c>
      <c r="F1175">
        <v>48.674037933000001</v>
      </c>
      <c r="G1175">
        <v>1335.7856445</v>
      </c>
      <c r="H1175">
        <v>1334.1588135</v>
      </c>
      <c r="I1175">
        <v>1329.1928711</v>
      </c>
      <c r="J1175">
        <v>1328.4038086</v>
      </c>
      <c r="K1175">
        <v>550</v>
      </c>
      <c r="L1175">
        <v>0</v>
      </c>
      <c r="M1175">
        <v>0</v>
      </c>
      <c r="N1175">
        <v>550</v>
      </c>
    </row>
    <row r="1176" spans="1:14" x14ac:dyDescent="0.25">
      <c r="A1176">
        <v>1130.4538050000001</v>
      </c>
      <c r="B1176" s="1">
        <f>DATE(2013,6,4) + TIME(10,53,28)</f>
        <v>41429.453796296293</v>
      </c>
      <c r="C1176">
        <v>80</v>
      </c>
      <c r="D1176">
        <v>79.926368713000002</v>
      </c>
      <c r="E1176">
        <v>50</v>
      </c>
      <c r="F1176">
        <v>48.642631530999999</v>
      </c>
      <c r="G1176">
        <v>1335.7813721</v>
      </c>
      <c r="H1176">
        <v>1334.1590576000001</v>
      </c>
      <c r="I1176">
        <v>1329.1850586</v>
      </c>
      <c r="J1176">
        <v>1328.3907471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1131.6632770000001</v>
      </c>
      <c r="B1177" s="1">
        <f>DATE(2013,6,5) + TIME(15,55,7)</f>
        <v>41430.663275462961</v>
      </c>
      <c r="C1177">
        <v>80</v>
      </c>
      <c r="D1177">
        <v>79.926223754999995</v>
      </c>
      <c r="E1177">
        <v>50</v>
      </c>
      <c r="F1177">
        <v>48.611175537000001</v>
      </c>
      <c r="G1177">
        <v>1335.7772216999999</v>
      </c>
      <c r="H1177">
        <v>1334.1594238</v>
      </c>
      <c r="I1177">
        <v>1329.1772461</v>
      </c>
      <c r="J1177">
        <v>1328.3775635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1132.9244120000001</v>
      </c>
      <c r="B1178" s="1">
        <f>DATE(2013,6,6) + TIME(22,11,9)</f>
        <v>41431.924409722225</v>
      </c>
      <c r="C1178">
        <v>80</v>
      </c>
      <c r="D1178">
        <v>79.926078795999999</v>
      </c>
      <c r="E1178">
        <v>50</v>
      </c>
      <c r="F1178">
        <v>48.579399109000001</v>
      </c>
      <c r="G1178">
        <v>1335.7731934000001</v>
      </c>
      <c r="H1178">
        <v>1334.1597899999999</v>
      </c>
      <c r="I1178">
        <v>1329.1693115</v>
      </c>
      <c r="J1178">
        <v>1328.3641356999999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1134.2502959999999</v>
      </c>
      <c r="B1179" s="1">
        <f>DATE(2013,6,8) + TIME(6,0,25)</f>
        <v>41433.250289351854</v>
      </c>
      <c r="C1179">
        <v>80</v>
      </c>
      <c r="D1179">
        <v>79.925933838000006</v>
      </c>
      <c r="E1179">
        <v>50</v>
      </c>
      <c r="F1179">
        <v>48.547199249000002</v>
      </c>
      <c r="G1179">
        <v>1335.769043</v>
      </c>
      <c r="H1179">
        <v>1334.1600341999999</v>
      </c>
      <c r="I1179">
        <v>1329.1611327999999</v>
      </c>
      <c r="J1179">
        <v>1328.3502197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1135.599224</v>
      </c>
      <c r="B1180" s="1">
        <f>DATE(2013,6,9) + TIME(14,22,52)</f>
        <v>41434.599212962959</v>
      </c>
      <c r="C1180">
        <v>80</v>
      </c>
      <c r="D1180">
        <v>79.925788878999995</v>
      </c>
      <c r="E1180">
        <v>50</v>
      </c>
      <c r="F1180">
        <v>48.515499114999997</v>
      </c>
      <c r="G1180">
        <v>1335.7648925999999</v>
      </c>
      <c r="H1180">
        <v>1334.1604004000001</v>
      </c>
      <c r="I1180">
        <v>1329.1527100000001</v>
      </c>
      <c r="J1180">
        <v>1328.3359375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1136.9716989999999</v>
      </c>
      <c r="B1181" s="1">
        <f>DATE(2013,6,10) + TIME(23,19,14)</f>
        <v>41435.971689814818</v>
      </c>
      <c r="C1181">
        <v>80</v>
      </c>
      <c r="D1181">
        <v>79.925651549999998</v>
      </c>
      <c r="E1181">
        <v>50</v>
      </c>
      <c r="F1181">
        <v>48.484477996999999</v>
      </c>
      <c r="G1181">
        <v>1335.7608643000001</v>
      </c>
      <c r="H1181">
        <v>1334.1607666</v>
      </c>
      <c r="I1181">
        <v>1329.1442870999999</v>
      </c>
      <c r="J1181">
        <v>1328.3215332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1138.374642</v>
      </c>
      <c r="B1182" s="1">
        <f>DATE(2013,6,12) + TIME(8,59,29)</f>
        <v>41437.374641203707</v>
      </c>
      <c r="C1182">
        <v>80</v>
      </c>
      <c r="D1182">
        <v>79.925514221</v>
      </c>
      <c r="E1182">
        <v>50</v>
      </c>
      <c r="F1182">
        <v>48.454223632999998</v>
      </c>
      <c r="G1182">
        <v>1335.7568358999999</v>
      </c>
      <c r="H1182">
        <v>1334.1612548999999</v>
      </c>
      <c r="I1182">
        <v>1329.1358643000001</v>
      </c>
      <c r="J1182">
        <v>1328.3068848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1139.815261</v>
      </c>
      <c r="B1183" s="1">
        <f>DATE(2013,6,13) + TIME(19,33,58)</f>
        <v>41438.815254629626</v>
      </c>
      <c r="C1183">
        <v>80</v>
      </c>
      <c r="D1183">
        <v>79.925376892000003</v>
      </c>
      <c r="E1183">
        <v>50</v>
      </c>
      <c r="F1183">
        <v>48.424869536999999</v>
      </c>
      <c r="G1183">
        <v>1335.7529297000001</v>
      </c>
      <c r="H1183">
        <v>1334.1616211</v>
      </c>
      <c r="I1183">
        <v>1329.1273193</v>
      </c>
      <c r="J1183">
        <v>1328.2922363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1141.3009950000001</v>
      </c>
      <c r="B1184" s="1">
        <f>DATE(2013,6,15) + TIME(7,13,25)</f>
        <v>41440.300983796296</v>
      </c>
      <c r="C1184">
        <v>80</v>
      </c>
      <c r="D1184">
        <v>79.925247192</v>
      </c>
      <c r="E1184">
        <v>50</v>
      </c>
      <c r="F1184">
        <v>48.396606445000003</v>
      </c>
      <c r="G1184">
        <v>1335.7491454999999</v>
      </c>
      <c r="H1184">
        <v>1334.1619873</v>
      </c>
      <c r="I1184">
        <v>1329.1187743999999</v>
      </c>
      <c r="J1184">
        <v>1328.2772216999999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1142.8400160000001</v>
      </c>
      <c r="B1185" s="1">
        <f>DATE(2013,6,16) + TIME(20,9,37)</f>
        <v>41441.840011574073</v>
      </c>
      <c r="C1185">
        <v>80</v>
      </c>
      <c r="D1185">
        <v>79.925117493000002</v>
      </c>
      <c r="E1185">
        <v>50</v>
      </c>
      <c r="F1185">
        <v>48.369682312000002</v>
      </c>
      <c r="G1185">
        <v>1335.7453613</v>
      </c>
      <c r="H1185">
        <v>1334.1623535000001</v>
      </c>
      <c r="I1185">
        <v>1329.1102295000001</v>
      </c>
      <c r="J1185">
        <v>1328.2620850000001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1144.441769</v>
      </c>
      <c r="B1186" s="1">
        <f>DATE(2013,6,18) + TIME(10,36,8)</f>
        <v>41443.441759259258</v>
      </c>
      <c r="C1186">
        <v>80</v>
      </c>
      <c r="D1186">
        <v>79.924987793</v>
      </c>
      <c r="E1186">
        <v>50</v>
      </c>
      <c r="F1186">
        <v>48.344436645999998</v>
      </c>
      <c r="G1186">
        <v>1335.7415771000001</v>
      </c>
      <c r="H1186">
        <v>1334.1628418</v>
      </c>
      <c r="I1186">
        <v>1329.1015625</v>
      </c>
      <c r="J1186">
        <v>1328.246582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1146.1285720000001</v>
      </c>
      <c r="B1187" s="1">
        <f>DATE(2013,6,20) + TIME(3,5,8)</f>
        <v>41445.128564814811</v>
      </c>
      <c r="C1187">
        <v>80</v>
      </c>
      <c r="D1187">
        <v>79.924865722999996</v>
      </c>
      <c r="E1187">
        <v>50</v>
      </c>
      <c r="F1187">
        <v>48.321220398000001</v>
      </c>
      <c r="G1187">
        <v>1335.7376709</v>
      </c>
      <c r="H1187">
        <v>1334.1632079999999</v>
      </c>
      <c r="I1187">
        <v>1329.0926514</v>
      </c>
      <c r="J1187">
        <v>1328.2308350000001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1147.854069</v>
      </c>
      <c r="B1188" s="1">
        <f>DATE(2013,6,21) + TIME(20,29,51)</f>
        <v>41446.854062500002</v>
      </c>
      <c r="C1188">
        <v>80</v>
      </c>
      <c r="D1188">
        <v>79.924743652000004</v>
      </c>
      <c r="E1188">
        <v>50</v>
      </c>
      <c r="F1188">
        <v>48.301200866999999</v>
      </c>
      <c r="G1188">
        <v>1335.7338867000001</v>
      </c>
      <c r="H1188">
        <v>1334.1635742000001</v>
      </c>
      <c r="I1188">
        <v>1329.0837402</v>
      </c>
      <c r="J1188">
        <v>1328.2145995999999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1149.644462</v>
      </c>
      <c r="B1189" s="1">
        <f>DATE(2013,6,23) + TIME(15,28,1)</f>
        <v>41448.644456018519</v>
      </c>
      <c r="C1189">
        <v>80</v>
      </c>
      <c r="D1189">
        <v>79.924621582</v>
      </c>
      <c r="E1189">
        <v>50</v>
      </c>
      <c r="F1189">
        <v>48.284984588999997</v>
      </c>
      <c r="G1189">
        <v>1335.7301024999999</v>
      </c>
      <c r="H1189">
        <v>1334.1640625</v>
      </c>
      <c r="I1189">
        <v>1329.074707</v>
      </c>
      <c r="J1189">
        <v>1328.1981201000001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1151.5335789999999</v>
      </c>
      <c r="B1190" s="1">
        <f>DATE(2013,6,25) + TIME(12,48,21)</f>
        <v>41450.533576388887</v>
      </c>
      <c r="C1190">
        <v>80</v>
      </c>
      <c r="D1190">
        <v>79.924507141000007</v>
      </c>
      <c r="E1190">
        <v>50</v>
      </c>
      <c r="F1190">
        <v>48.273498535000002</v>
      </c>
      <c r="G1190">
        <v>1335.7263184000001</v>
      </c>
      <c r="H1190">
        <v>1334.1644286999999</v>
      </c>
      <c r="I1190">
        <v>1329.0656738</v>
      </c>
      <c r="J1190">
        <v>1328.1813964999999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1153.5228549999999</v>
      </c>
      <c r="B1191" s="1">
        <f>DATE(2013,6,27) + TIME(12,32,54)</f>
        <v>41452.522847222222</v>
      </c>
      <c r="C1191">
        <v>80</v>
      </c>
      <c r="D1191">
        <v>79.924392699999999</v>
      </c>
      <c r="E1191">
        <v>50</v>
      </c>
      <c r="F1191">
        <v>48.268268585000001</v>
      </c>
      <c r="G1191">
        <v>1335.7224120999999</v>
      </c>
      <c r="H1191">
        <v>1334.1647949000001</v>
      </c>
      <c r="I1191">
        <v>1329.0565185999999</v>
      </c>
      <c r="J1191">
        <v>1328.1643065999999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1155.6026710000001</v>
      </c>
      <c r="B1192" s="1">
        <f>DATE(2013,6,29) + TIME(14,27,50)</f>
        <v>41454.602662037039</v>
      </c>
      <c r="C1192">
        <v>80</v>
      </c>
      <c r="D1192">
        <v>79.924285889000004</v>
      </c>
      <c r="E1192">
        <v>50</v>
      </c>
      <c r="F1192">
        <v>48.271251677999999</v>
      </c>
      <c r="G1192">
        <v>1335.7185059000001</v>
      </c>
      <c r="H1192">
        <v>1334.1651611</v>
      </c>
      <c r="I1192">
        <v>1329.0472411999999</v>
      </c>
      <c r="J1192">
        <v>1328.1467285000001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1157</v>
      </c>
      <c r="B1193" s="1">
        <f>DATE(2013,7,1) + TIME(0,0,0)</f>
        <v>41456</v>
      </c>
      <c r="C1193">
        <v>80</v>
      </c>
      <c r="D1193">
        <v>79.924179077000005</v>
      </c>
      <c r="E1193">
        <v>50</v>
      </c>
      <c r="F1193">
        <v>48.281307220000002</v>
      </c>
      <c r="G1193">
        <v>1335.7147216999999</v>
      </c>
      <c r="H1193">
        <v>1334.1655272999999</v>
      </c>
      <c r="I1193">
        <v>1329.0385742000001</v>
      </c>
      <c r="J1193">
        <v>1328.1298827999999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1159.187537</v>
      </c>
      <c r="B1194" s="1">
        <f>DATE(2013,7,3) + TIME(4,30,3)</f>
        <v>41458.187534722223</v>
      </c>
      <c r="C1194">
        <v>80</v>
      </c>
      <c r="D1194">
        <v>79.924102782999995</v>
      </c>
      <c r="E1194">
        <v>50</v>
      </c>
      <c r="F1194">
        <v>48.302700043000002</v>
      </c>
      <c r="G1194">
        <v>1335.7120361</v>
      </c>
      <c r="H1194">
        <v>1334.1656493999999</v>
      </c>
      <c r="I1194">
        <v>1329.03125</v>
      </c>
      <c r="J1194">
        <v>1328.1158447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1161.4340560000001</v>
      </c>
      <c r="B1195" s="1">
        <f>DATE(2013,7,5) + TIME(10,25,2)</f>
        <v>41460.434050925927</v>
      </c>
      <c r="C1195">
        <v>80</v>
      </c>
      <c r="D1195">
        <v>79.924011230000005</v>
      </c>
      <c r="E1195">
        <v>50</v>
      </c>
      <c r="F1195">
        <v>48.339199065999999</v>
      </c>
      <c r="G1195">
        <v>1335.7081298999999</v>
      </c>
      <c r="H1195">
        <v>1334.1660156</v>
      </c>
      <c r="I1195">
        <v>1329.0224608999999</v>
      </c>
      <c r="J1195">
        <v>1328.0985106999999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1163.7210439999999</v>
      </c>
      <c r="B1196" s="1">
        <f>DATE(2013,7,7) + TIME(17,18,18)</f>
        <v>41462.721041666664</v>
      </c>
      <c r="C1196">
        <v>80</v>
      </c>
      <c r="D1196">
        <v>79.923919678000004</v>
      </c>
      <c r="E1196">
        <v>50</v>
      </c>
      <c r="F1196">
        <v>48.393672942999999</v>
      </c>
      <c r="G1196">
        <v>1335.7043457</v>
      </c>
      <c r="H1196">
        <v>1334.1662598</v>
      </c>
      <c r="I1196">
        <v>1329.0139160000001</v>
      </c>
      <c r="J1196">
        <v>1328.0810547000001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1166.028415</v>
      </c>
      <c r="B1197" s="1">
        <f>DATE(2013,7,10) + TIME(0,40,55)</f>
        <v>41465.028414351851</v>
      </c>
      <c r="C1197">
        <v>80</v>
      </c>
      <c r="D1197">
        <v>79.923835753999995</v>
      </c>
      <c r="E1197">
        <v>50</v>
      </c>
      <c r="F1197">
        <v>48.468921661000003</v>
      </c>
      <c r="G1197">
        <v>1335.7005615</v>
      </c>
      <c r="H1197">
        <v>1334.1665039</v>
      </c>
      <c r="I1197">
        <v>1329.0056152</v>
      </c>
      <c r="J1197">
        <v>1328.0638428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1168.382983</v>
      </c>
      <c r="B1198" s="1">
        <f>DATE(2013,7,12) + TIME(9,11,29)</f>
        <v>41467.382974537039</v>
      </c>
      <c r="C1198">
        <v>80</v>
      </c>
      <c r="D1198">
        <v>79.923759459999999</v>
      </c>
      <c r="E1198">
        <v>50</v>
      </c>
      <c r="F1198">
        <v>48.568618774000001</v>
      </c>
      <c r="G1198">
        <v>1335.6968993999999</v>
      </c>
      <c r="H1198">
        <v>1334.166626</v>
      </c>
      <c r="I1198">
        <v>1328.9978027</v>
      </c>
      <c r="J1198">
        <v>1328.0471190999999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1170.813979</v>
      </c>
      <c r="B1199" s="1">
        <f>DATE(2013,7,14) + TIME(19,32,7)</f>
        <v>41469.813969907409</v>
      </c>
      <c r="C1199">
        <v>80</v>
      </c>
      <c r="D1199">
        <v>79.923683166999993</v>
      </c>
      <c r="E1199">
        <v>50</v>
      </c>
      <c r="F1199">
        <v>48.697673797999997</v>
      </c>
      <c r="G1199">
        <v>1335.6933594</v>
      </c>
      <c r="H1199">
        <v>1334.1667480000001</v>
      </c>
      <c r="I1199">
        <v>1328.9902344</v>
      </c>
      <c r="J1199">
        <v>1328.0308838000001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1172.063537</v>
      </c>
      <c r="B1200" s="1">
        <f>DATE(2013,7,16) + TIME(1,31,29)</f>
        <v>41471.063530092593</v>
      </c>
      <c r="C1200">
        <v>80</v>
      </c>
      <c r="D1200">
        <v>79.923606872999997</v>
      </c>
      <c r="E1200">
        <v>50</v>
      </c>
      <c r="F1200">
        <v>48.801643372000001</v>
      </c>
      <c r="G1200">
        <v>1335.6898193</v>
      </c>
      <c r="H1200">
        <v>1334.1669922000001</v>
      </c>
      <c r="I1200">
        <v>1328.9846190999999</v>
      </c>
      <c r="J1200">
        <v>1328.0164795000001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1173.313095</v>
      </c>
      <c r="B1201" s="1">
        <f>DATE(2013,7,17) + TIME(7,30,51)</f>
        <v>41472.313090277778</v>
      </c>
      <c r="C1201">
        <v>80</v>
      </c>
      <c r="D1201">
        <v>79.923545837000006</v>
      </c>
      <c r="E1201">
        <v>50</v>
      </c>
      <c r="F1201">
        <v>48.911254882999998</v>
      </c>
      <c r="G1201">
        <v>1335.6879882999999</v>
      </c>
      <c r="H1201">
        <v>1334.1669922000001</v>
      </c>
      <c r="I1201">
        <v>1328.9804687999999</v>
      </c>
      <c r="J1201">
        <v>1328.0074463000001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1174.562653</v>
      </c>
      <c r="B1202" s="1">
        <f>DATE(2013,7,18) + TIME(13,30,13)</f>
        <v>41473.562650462962</v>
      </c>
      <c r="C1202">
        <v>80</v>
      </c>
      <c r="D1202">
        <v>79.923507689999994</v>
      </c>
      <c r="E1202">
        <v>50</v>
      </c>
      <c r="F1202">
        <v>49.028446197999997</v>
      </c>
      <c r="G1202">
        <v>1335.6862793</v>
      </c>
      <c r="H1202">
        <v>1334.1669922000001</v>
      </c>
      <c r="I1202">
        <v>1328.9766846</v>
      </c>
      <c r="J1202">
        <v>1327.9991454999999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1175.812212</v>
      </c>
      <c r="B1203" s="1">
        <f>DATE(2013,7,19) + TIME(19,29,35)</f>
        <v>41474.812210648146</v>
      </c>
      <c r="C1203">
        <v>80</v>
      </c>
      <c r="D1203">
        <v>79.923477172999995</v>
      </c>
      <c r="E1203">
        <v>50</v>
      </c>
      <c r="F1203">
        <v>49.154411316000001</v>
      </c>
      <c r="G1203">
        <v>1335.6845702999999</v>
      </c>
      <c r="H1203">
        <v>1334.1668701000001</v>
      </c>
      <c r="I1203">
        <v>1328.9732666</v>
      </c>
      <c r="J1203">
        <v>1327.9914550999999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1177.06177</v>
      </c>
      <c r="B1204" s="1">
        <f>DATE(2013,7,21) + TIME(1,28,56)</f>
        <v>41476.061759259261</v>
      </c>
      <c r="C1204">
        <v>80</v>
      </c>
      <c r="D1204">
        <v>79.923446655000006</v>
      </c>
      <c r="E1204">
        <v>50</v>
      </c>
      <c r="F1204">
        <v>49.289836884000003</v>
      </c>
      <c r="G1204">
        <v>1335.6828613</v>
      </c>
      <c r="H1204">
        <v>1334.1668701000001</v>
      </c>
      <c r="I1204">
        <v>1328.9700928</v>
      </c>
      <c r="J1204">
        <v>1327.984375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1178.311328</v>
      </c>
      <c r="B1205" s="1">
        <f>DATE(2013,7,22) + TIME(7,28,18)</f>
        <v>41477.311319444445</v>
      </c>
      <c r="C1205">
        <v>80</v>
      </c>
      <c r="D1205">
        <v>79.923423767000003</v>
      </c>
      <c r="E1205">
        <v>50</v>
      </c>
      <c r="F1205">
        <v>49.435066223</v>
      </c>
      <c r="G1205">
        <v>1335.6811522999999</v>
      </c>
      <c r="H1205">
        <v>1334.1668701000001</v>
      </c>
      <c r="I1205">
        <v>1328.9672852000001</v>
      </c>
      <c r="J1205">
        <v>1327.9776611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1180.810444</v>
      </c>
      <c r="B1206" s="1">
        <f>DATE(2013,7,24) + TIME(19,27,2)</f>
        <v>41479.810439814813</v>
      </c>
      <c r="C1206">
        <v>80</v>
      </c>
      <c r="D1206">
        <v>79.923431395999998</v>
      </c>
      <c r="E1206">
        <v>50</v>
      </c>
      <c r="F1206">
        <v>49.677246093999997</v>
      </c>
      <c r="G1206">
        <v>1335.6794434000001</v>
      </c>
      <c r="H1206">
        <v>1334.1667480000001</v>
      </c>
      <c r="I1206">
        <v>1328.9633789</v>
      </c>
      <c r="J1206">
        <v>1327.9704589999999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1183.317391</v>
      </c>
      <c r="B1207" s="1">
        <f>DATE(2013,7,27) + TIME(7,37,2)</f>
        <v>41482.317384259259</v>
      </c>
      <c r="C1207">
        <v>80</v>
      </c>
      <c r="D1207">
        <v>79.923416137999993</v>
      </c>
      <c r="E1207">
        <v>50</v>
      </c>
      <c r="F1207">
        <v>49.979732513000002</v>
      </c>
      <c r="G1207">
        <v>1335.6762695</v>
      </c>
      <c r="H1207">
        <v>1334.1667480000001</v>
      </c>
      <c r="I1207">
        <v>1328.9600829999999</v>
      </c>
      <c r="J1207">
        <v>1327.9605713000001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1185.9619230000001</v>
      </c>
      <c r="B1208" s="1">
        <f>DATE(2013,7,29) + TIME(23,5,10)</f>
        <v>41484.961921296293</v>
      </c>
      <c r="C1208">
        <v>80</v>
      </c>
      <c r="D1208">
        <v>79.923393250000004</v>
      </c>
      <c r="E1208">
        <v>50</v>
      </c>
      <c r="F1208">
        <v>50.337310791</v>
      </c>
      <c r="G1208">
        <v>1335.6730957</v>
      </c>
      <c r="H1208">
        <v>1334.1667480000001</v>
      </c>
      <c r="I1208">
        <v>1328.9567870999999</v>
      </c>
      <c r="J1208">
        <v>1327.9512939000001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1188</v>
      </c>
      <c r="B1209" s="1">
        <f>DATE(2013,8,1) + TIME(0,0,0)</f>
        <v>41487</v>
      </c>
      <c r="C1209">
        <v>80</v>
      </c>
      <c r="D1209">
        <v>79.923347473000007</v>
      </c>
      <c r="E1209">
        <v>50</v>
      </c>
      <c r="F1209">
        <v>50.685115814</v>
      </c>
      <c r="G1209">
        <v>1335.6699219</v>
      </c>
      <c r="H1209">
        <v>1334.166626</v>
      </c>
      <c r="I1209">
        <v>1328.9547118999999</v>
      </c>
      <c r="J1209">
        <v>1327.9428711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1190.7964460000001</v>
      </c>
      <c r="B1210" s="1">
        <f>DATE(2013,8,3) + TIME(19,6,52)</f>
        <v>41489.796435185184</v>
      </c>
      <c r="C1210">
        <v>80</v>
      </c>
      <c r="D1210">
        <v>79.923347473000007</v>
      </c>
      <c r="E1210">
        <v>50</v>
      </c>
      <c r="F1210">
        <v>51.116336822999997</v>
      </c>
      <c r="G1210">
        <v>1335.6674805</v>
      </c>
      <c r="H1210">
        <v>1334.1665039</v>
      </c>
      <c r="I1210">
        <v>1328.9516602000001</v>
      </c>
      <c r="J1210">
        <v>1327.9361572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1193.612314</v>
      </c>
      <c r="B1211" s="1">
        <f>DATE(2013,8,6) + TIME(14,41,43)</f>
        <v>41492.612303240741</v>
      </c>
      <c r="C1211">
        <v>80</v>
      </c>
      <c r="D1211">
        <v>79.923332213999998</v>
      </c>
      <c r="E1211">
        <v>50</v>
      </c>
      <c r="F1211">
        <v>51.605419159</v>
      </c>
      <c r="G1211">
        <v>1335.6643065999999</v>
      </c>
      <c r="H1211">
        <v>1334.1662598</v>
      </c>
      <c r="I1211">
        <v>1328.9499512</v>
      </c>
      <c r="J1211">
        <v>1327.9293213000001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1196.5370789999999</v>
      </c>
      <c r="B1212" s="1">
        <f>DATE(2013,8,9) + TIME(12,53,23)</f>
        <v>41495.53707175926</v>
      </c>
      <c r="C1212">
        <v>80</v>
      </c>
      <c r="D1212">
        <v>79.923324585000003</v>
      </c>
      <c r="E1212">
        <v>50</v>
      </c>
      <c r="F1212">
        <v>52.151237488</v>
      </c>
      <c r="G1212">
        <v>1335.6612548999999</v>
      </c>
      <c r="H1212">
        <v>1334.1661377</v>
      </c>
      <c r="I1212">
        <v>1328.9487305</v>
      </c>
      <c r="J1212">
        <v>1327.9237060999999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1199.552927</v>
      </c>
      <c r="B1213" s="1">
        <f>DATE(2013,8,12) + TIME(13,16,12)</f>
        <v>41498.552916666667</v>
      </c>
      <c r="C1213">
        <v>80</v>
      </c>
      <c r="D1213">
        <v>79.923316955999994</v>
      </c>
      <c r="E1213">
        <v>50</v>
      </c>
      <c r="F1213">
        <v>52.748092651</v>
      </c>
      <c r="G1213">
        <v>1335.6580810999999</v>
      </c>
      <c r="H1213">
        <v>1334.1658935999999</v>
      </c>
      <c r="I1213">
        <v>1328.9479980000001</v>
      </c>
      <c r="J1213">
        <v>1327.9193115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1202.6459850000001</v>
      </c>
      <c r="B1214" s="1">
        <f>DATE(2013,8,15) + TIME(15,30,13)</f>
        <v>41501.645983796298</v>
      </c>
      <c r="C1214">
        <v>80</v>
      </c>
      <c r="D1214">
        <v>79.923324585000003</v>
      </c>
      <c r="E1214">
        <v>50</v>
      </c>
      <c r="F1214">
        <v>53.387233733999999</v>
      </c>
      <c r="G1214">
        <v>1335.6550293</v>
      </c>
      <c r="H1214">
        <v>1334.1656493999999</v>
      </c>
      <c r="I1214">
        <v>1328.9481201000001</v>
      </c>
      <c r="J1214">
        <v>1327.9162598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1205.8422350000001</v>
      </c>
      <c r="B1215" s="1">
        <f>DATE(2013,8,18) + TIME(20,12,49)</f>
        <v>41504.842233796298</v>
      </c>
      <c r="C1215">
        <v>80</v>
      </c>
      <c r="D1215">
        <v>79.923332213999998</v>
      </c>
      <c r="E1215">
        <v>50</v>
      </c>
      <c r="F1215">
        <v>54.061595916999998</v>
      </c>
      <c r="G1215">
        <v>1335.6520995999999</v>
      </c>
      <c r="H1215">
        <v>1334.1654053</v>
      </c>
      <c r="I1215">
        <v>1328.9487305</v>
      </c>
      <c r="J1215">
        <v>1327.9145507999999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1209.196283</v>
      </c>
      <c r="B1216" s="1">
        <f>DATE(2013,8,22) + TIME(4,42,38)</f>
        <v>41508.196273148147</v>
      </c>
      <c r="C1216">
        <v>80</v>
      </c>
      <c r="D1216">
        <v>79.923347473000007</v>
      </c>
      <c r="E1216">
        <v>50</v>
      </c>
      <c r="F1216">
        <v>54.768844604000002</v>
      </c>
      <c r="G1216">
        <v>1335.6490478999999</v>
      </c>
      <c r="H1216">
        <v>1334.1651611</v>
      </c>
      <c r="I1216">
        <v>1328.9500731999999</v>
      </c>
      <c r="J1216">
        <v>1327.9141846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1212.6372940000001</v>
      </c>
      <c r="B1217" s="1">
        <f>DATE(2013,8,25) + TIME(15,17,42)</f>
        <v>41511.637291666666</v>
      </c>
      <c r="C1217">
        <v>80</v>
      </c>
      <c r="D1217">
        <v>79.923362732000001</v>
      </c>
      <c r="E1217">
        <v>50</v>
      </c>
      <c r="F1217">
        <v>55.49703598</v>
      </c>
      <c r="G1217">
        <v>1335.6459961</v>
      </c>
      <c r="H1217">
        <v>1334.1647949000001</v>
      </c>
      <c r="I1217">
        <v>1328.9522704999999</v>
      </c>
      <c r="J1217">
        <v>1327.9150391000001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1216.185538</v>
      </c>
      <c r="B1218" s="1">
        <f>DATE(2013,8,29) + TIME(4,27,10)</f>
        <v>41515.185532407406</v>
      </c>
      <c r="C1218">
        <v>80</v>
      </c>
      <c r="D1218">
        <v>79.923393250000004</v>
      </c>
      <c r="E1218">
        <v>50</v>
      </c>
      <c r="F1218">
        <v>56.236270904999998</v>
      </c>
      <c r="G1218">
        <v>1335.6430664</v>
      </c>
      <c r="H1218">
        <v>1334.1645507999999</v>
      </c>
      <c r="I1218">
        <v>1328.9550781</v>
      </c>
      <c r="J1218">
        <v>1327.9172363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1219</v>
      </c>
      <c r="B1219" s="1">
        <f>DATE(2013,9,1) + TIME(0,0,0)</f>
        <v>41518</v>
      </c>
      <c r="C1219">
        <v>80</v>
      </c>
      <c r="D1219">
        <v>79.923400878999999</v>
      </c>
      <c r="E1219">
        <v>50</v>
      </c>
      <c r="F1219">
        <v>56.894428253000001</v>
      </c>
      <c r="G1219">
        <v>1335.6402588000001</v>
      </c>
      <c r="H1219">
        <v>1334.1643065999999</v>
      </c>
      <c r="I1219">
        <v>1328.9592285000001</v>
      </c>
      <c r="J1219">
        <v>1327.9206543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1222.710601</v>
      </c>
      <c r="B1220" s="1">
        <f>DATE(2013,9,4) + TIME(17,3,15)</f>
        <v>41521.710590277777</v>
      </c>
      <c r="C1220">
        <v>80</v>
      </c>
      <c r="D1220">
        <v>79.923454285000005</v>
      </c>
      <c r="E1220">
        <v>50</v>
      </c>
      <c r="F1220">
        <v>57.579730988000001</v>
      </c>
      <c r="G1220">
        <v>1335.6379394999999</v>
      </c>
      <c r="H1220">
        <v>1334.1640625</v>
      </c>
      <c r="I1220">
        <v>1328.9615478999999</v>
      </c>
      <c r="J1220">
        <v>1327.9244385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1226.622979</v>
      </c>
      <c r="B1221" s="1">
        <f>DATE(2013,9,8) + TIME(14,57,5)</f>
        <v>41525.622974537036</v>
      </c>
      <c r="C1221">
        <v>80</v>
      </c>
      <c r="D1221">
        <v>79.923507689999994</v>
      </c>
      <c r="E1221">
        <v>50</v>
      </c>
      <c r="F1221">
        <v>58.287536621000001</v>
      </c>
      <c r="G1221">
        <v>1335.6352539</v>
      </c>
      <c r="H1221">
        <v>1334.1638184000001</v>
      </c>
      <c r="I1221">
        <v>1328.9658202999999</v>
      </c>
      <c r="J1221">
        <v>1327.9287108999999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1230.6413789999999</v>
      </c>
      <c r="B1222" s="1">
        <f>DATE(2013,9,12) + TIME(15,23,35)</f>
        <v>41529.641377314816</v>
      </c>
      <c r="C1222">
        <v>80</v>
      </c>
      <c r="D1222">
        <v>79.923561096</v>
      </c>
      <c r="E1222">
        <v>50</v>
      </c>
      <c r="F1222">
        <v>58.994586945000002</v>
      </c>
      <c r="G1222">
        <v>1335.6324463000001</v>
      </c>
      <c r="H1222">
        <v>1334.1635742000001</v>
      </c>
      <c r="I1222">
        <v>1328.9707031</v>
      </c>
      <c r="J1222">
        <v>1327.934082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1234.8471159999999</v>
      </c>
      <c r="B1223" s="1">
        <f>DATE(2013,9,16) + TIME(20,19,50)</f>
        <v>41533.84710648148</v>
      </c>
      <c r="C1223">
        <v>80</v>
      </c>
      <c r="D1223">
        <v>79.923622131000002</v>
      </c>
      <c r="E1223">
        <v>50</v>
      </c>
      <c r="F1223">
        <v>59.690143585000001</v>
      </c>
      <c r="G1223">
        <v>1335.6297606999999</v>
      </c>
      <c r="H1223">
        <v>1334.1633300999999</v>
      </c>
      <c r="I1223">
        <v>1328.9759521000001</v>
      </c>
      <c r="J1223">
        <v>1327.9403076000001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1239.2529970000001</v>
      </c>
      <c r="B1224" s="1">
        <f>DATE(2013,9,21) + TIME(6,4,18)</f>
        <v>41538.252986111111</v>
      </c>
      <c r="C1224">
        <v>80</v>
      </c>
      <c r="D1224">
        <v>79.923690796000002</v>
      </c>
      <c r="E1224">
        <v>50</v>
      </c>
      <c r="F1224">
        <v>60.369823455999999</v>
      </c>
      <c r="G1224">
        <v>1335.6270752</v>
      </c>
      <c r="H1224">
        <v>1334.1632079999999</v>
      </c>
      <c r="I1224">
        <v>1328.9815673999999</v>
      </c>
      <c r="J1224">
        <v>1327.9470214999999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1243.719515</v>
      </c>
      <c r="B1225" s="1">
        <f>DATE(2013,9,25) + TIME(17,16,6)</f>
        <v>41542.719513888886</v>
      </c>
      <c r="C1225">
        <v>80</v>
      </c>
      <c r="D1225">
        <v>79.923767089999998</v>
      </c>
      <c r="E1225">
        <v>50</v>
      </c>
      <c r="F1225">
        <v>61.021415709999999</v>
      </c>
      <c r="G1225">
        <v>1335.6245117000001</v>
      </c>
      <c r="H1225">
        <v>1334.1629639</v>
      </c>
      <c r="I1225">
        <v>1328.9876709</v>
      </c>
      <c r="J1225">
        <v>1327.9541016000001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1248.3304869999999</v>
      </c>
      <c r="B1226" s="1">
        <f>DATE(2013,9,30) + TIME(7,55,54)</f>
        <v>41547.33048611111</v>
      </c>
      <c r="C1226">
        <v>80</v>
      </c>
      <c r="D1226">
        <v>79.923851013000004</v>
      </c>
      <c r="E1226">
        <v>50</v>
      </c>
      <c r="F1226">
        <v>61.639984130999999</v>
      </c>
      <c r="G1226">
        <v>1335.6219481999999</v>
      </c>
      <c r="H1226">
        <v>1334.1628418</v>
      </c>
      <c r="I1226">
        <v>1328.9937743999999</v>
      </c>
      <c r="J1226">
        <v>1327.9614257999999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1249</v>
      </c>
      <c r="B1227" s="1">
        <f>DATE(2013,10,1) + TIME(0,0,0)</f>
        <v>41548</v>
      </c>
      <c r="C1227">
        <v>80</v>
      </c>
      <c r="D1227">
        <v>79.923828125</v>
      </c>
      <c r="E1227">
        <v>50</v>
      </c>
      <c r="F1227">
        <v>61.829345703000001</v>
      </c>
      <c r="G1227">
        <v>1335.6196289</v>
      </c>
      <c r="H1227">
        <v>1334.1628418</v>
      </c>
      <c r="I1227">
        <v>1329.0032959</v>
      </c>
      <c r="J1227">
        <v>1327.9696045000001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1253.8478279999999</v>
      </c>
      <c r="B1228" s="1">
        <f>DATE(2013,10,5) + TIME(20,20,52)</f>
        <v>41552.847824074073</v>
      </c>
      <c r="C1228">
        <v>80</v>
      </c>
      <c r="D1228">
        <v>79.923950195000003</v>
      </c>
      <c r="E1228">
        <v>50</v>
      </c>
      <c r="F1228">
        <v>62.344940186000002</v>
      </c>
      <c r="G1228">
        <v>1335.6190185999999</v>
      </c>
      <c r="H1228">
        <v>1334.1625977000001</v>
      </c>
      <c r="I1228">
        <v>1329.0014647999999</v>
      </c>
      <c r="J1228">
        <v>1327.9718018000001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1258.9365330000001</v>
      </c>
      <c r="B1229" s="1">
        <f>DATE(2013,10,10) + TIME(22,28,36)</f>
        <v>41557.936527777776</v>
      </c>
      <c r="C1229">
        <v>80</v>
      </c>
      <c r="D1229">
        <v>79.924057007000002</v>
      </c>
      <c r="E1229">
        <v>50</v>
      </c>
      <c r="F1229">
        <v>62.878799438000001</v>
      </c>
      <c r="G1229">
        <v>1335.6165771000001</v>
      </c>
      <c r="H1229">
        <v>1334.1624756000001</v>
      </c>
      <c r="I1229">
        <v>1329.0073242000001</v>
      </c>
      <c r="J1229">
        <v>1327.9779053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1264.1424979999999</v>
      </c>
      <c r="B1230" s="1">
        <f>DATE(2013,10,16) + TIME(3,25,11)</f>
        <v>41563.142488425925</v>
      </c>
      <c r="C1230">
        <v>80</v>
      </c>
      <c r="D1230">
        <v>79.924163817999997</v>
      </c>
      <c r="E1230">
        <v>50</v>
      </c>
      <c r="F1230">
        <v>63.398498535000002</v>
      </c>
      <c r="G1230">
        <v>1335.6142577999999</v>
      </c>
      <c r="H1230">
        <v>1334.1624756000001</v>
      </c>
      <c r="I1230">
        <v>1329.0136719</v>
      </c>
      <c r="J1230">
        <v>1327.9847411999999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1269.5764830000001</v>
      </c>
      <c r="B1231" s="1">
        <f>DATE(2013,10,21) + TIME(13,50,8)</f>
        <v>41568.576481481483</v>
      </c>
      <c r="C1231">
        <v>80</v>
      </c>
      <c r="D1231">
        <v>79.924278259000005</v>
      </c>
      <c r="E1231">
        <v>50</v>
      </c>
      <c r="F1231">
        <v>63.892196654999999</v>
      </c>
      <c r="G1231">
        <v>1335.6119385</v>
      </c>
      <c r="H1231">
        <v>1334.1623535000001</v>
      </c>
      <c r="I1231">
        <v>1329.0198975000001</v>
      </c>
      <c r="J1231">
        <v>1327.9918213000001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1275.266196</v>
      </c>
      <c r="B1232" s="1">
        <f>DATE(2013,10,27) + TIME(6,23,19)</f>
        <v>41574.266192129631</v>
      </c>
      <c r="C1232">
        <v>80</v>
      </c>
      <c r="D1232">
        <v>79.924407959000007</v>
      </c>
      <c r="E1232">
        <v>50</v>
      </c>
      <c r="F1232">
        <v>64.360580443999993</v>
      </c>
      <c r="G1232">
        <v>1335.6096190999999</v>
      </c>
      <c r="H1232">
        <v>1334.1623535000001</v>
      </c>
      <c r="I1232">
        <v>1329.0261230000001</v>
      </c>
      <c r="J1232">
        <v>1327.9986572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1280</v>
      </c>
      <c r="B1233" s="1">
        <f>DATE(2013,11,1) + TIME(0,0,0)</f>
        <v>41579</v>
      </c>
      <c r="C1233">
        <v>80</v>
      </c>
      <c r="D1233">
        <v>79.924499511999997</v>
      </c>
      <c r="E1233">
        <v>50</v>
      </c>
      <c r="F1233">
        <v>64.772987365999995</v>
      </c>
      <c r="G1233">
        <v>1335.6074219</v>
      </c>
      <c r="H1233">
        <v>1334.1623535000001</v>
      </c>
      <c r="I1233">
        <v>1329.0325928</v>
      </c>
      <c r="J1233">
        <v>1328.0054932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1280.0000010000001</v>
      </c>
      <c r="B1234" s="1">
        <f>DATE(2013,11,1) + TIME(0,0,0)</f>
        <v>41579</v>
      </c>
      <c r="C1234">
        <v>80</v>
      </c>
      <c r="D1234">
        <v>79.924468993999994</v>
      </c>
      <c r="E1234">
        <v>50</v>
      </c>
      <c r="F1234">
        <v>64.773017882999994</v>
      </c>
      <c r="G1234">
        <v>1333.9525146000001</v>
      </c>
      <c r="H1234">
        <v>1333.9000243999999</v>
      </c>
      <c r="I1234">
        <v>1330.4503173999999</v>
      </c>
      <c r="J1234">
        <v>1329.2945557</v>
      </c>
      <c r="K1234">
        <v>0</v>
      </c>
      <c r="L1234">
        <v>550</v>
      </c>
      <c r="M1234">
        <v>550</v>
      </c>
      <c r="N1234">
        <v>0</v>
      </c>
    </row>
    <row r="1235" spans="1:14" x14ac:dyDescent="0.25">
      <c r="A1235">
        <v>1280.000004</v>
      </c>
      <c r="B1235" s="1">
        <f>DATE(2013,11,1) + TIME(0,0,0)</f>
        <v>41579</v>
      </c>
      <c r="C1235">
        <v>80</v>
      </c>
      <c r="D1235">
        <v>79.924415588000002</v>
      </c>
      <c r="E1235">
        <v>50</v>
      </c>
      <c r="F1235">
        <v>64.773063660000005</v>
      </c>
      <c r="G1235">
        <v>1333.5979004000001</v>
      </c>
      <c r="H1235">
        <v>1333.5598144999999</v>
      </c>
      <c r="I1235">
        <v>1330.8386230000001</v>
      </c>
      <c r="J1235">
        <v>1329.7584228999999</v>
      </c>
      <c r="K1235">
        <v>0</v>
      </c>
      <c r="L1235">
        <v>550</v>
      </c>
      <c r="M1235">
        <v>550</v>
      </c>
      <c r="N1235">
        <v>0</v>
      </c>
    </row>
    <row r="1236" spans="1:14" x14ac:dyDescent="0.25">
      <c r="A1236">
        <v>1280.0000130000001</v>
      </c>
      <c r="B1236" s="1">
        <f>DATE(2013,11,1) + TIME(0,0,1)</f>
        <v>41579.000011574077</v>
      </c>
      <c r="C1236">
        <v>80</v>
      </c>
      <c r="D1236">
        <v>79.924354553000001</v>
      </c>
      <c r="E1236">
        <v>50</v>
      </c>
      <c r="F1236">
        <v>64.773086547999995</v>
      </c>
      <c r="G1236">
        <v>1333.1558838000001</v>
      </c>
      <c r="H1236">
        <v>1333.1031493999999</v>
      </c>
      <c r="I1236">
        <v>1331.4101562000001</v>
      </c>
      <c r="J1236">
        <v>1330.3413086</v>
      </c>
      <c r="K1236">
        <v>0</v>
      </c>
      <c r="L1236">
        <v>550</v>
      </c>
      <c r="M1236">
        <v>550</v>
      </c>
      <c r="N1236">
        <v>0</v>
      </c>
    </row>
    <row r="1237" spans="1:14" x14ac:dyDescent="0.25">
      <c r="A1237">
        <v>1280.0000399999999</v>
      </c>
      <c r="B1237" s="1">
        <f>DATE(2013,11,1) + TIME(0,0,3)</f>
        <v>41579.000034722223</v>
      </c>
      <c r="C1237">
        <v>80</v>
      </c>
      <c r="D1237">
        <v>79.924285889000004</v>
      </c>
      <c r="E1237">
        <v>50</v>
      </c>
      <c r="F1237">
        <v>64.772994995000005</v>
      </c>
      <c r="G1237">
        <v>1332.6867675999999</v>
      </c>
      <c r="H1237">
        <v>1332.6020507999999</v>
      </c>
      <c r="I1237">
        <v>1332.0622559000001</v>
      </c>
      <c r="J1237">
        <v>1330.9729004000001</v>
      </c>
      <c r="K1237">
        <v>0</v>
      </c>
      <c r="L1237">
        <v>550</v>
      </c>
      <c r="M1237">
        <v>550</v>
      </c>
      <c r="N1237">
        <v>0</v>
      </c>
    </row>
    <row r="1238" spans="1:14" x14ac:dyDescent="0.25">
      <c r="A1238">
        <v>1280.000121</v>
      </c>
      <c r="B1238" s="1">
        <f>DATE(2013,11,1) + TIME(0,0,10)</f>
        <v>41579.000115740739</v>
      </c>
      <c r="C1238">
        <v>80</v>
      </c>
      <c r="D1238">
        <v>79.924209594999994</v>
      </c>
      <c r="E1238">
        <v>50</v>
      </c>
      <c r="F1238">
        <v>64.772544861</v>
      </c>
      <c r="G1238">
        <v>1332.2081298999999</v>
      </c>
      <c r="H1238">
        <v>1332.0874022999999</v>
      </c>
      <c r="I1238">
        <v>1332.7159423999999</v>
      </c>
      <c r="J1238">
        <v>1331.6018065999999</v>
      </c>
      <c r="K1238">
        <v>0</v>
      </c>
      <c r="L1238">
        <v>550</v>
      </c>
      <c r="M1238">
        <v>550</v>
      </c>
      <c r="N1238">
        <v>0</v>
      </c>
    </row>
    <row r="1239" spans="1:14" x14ac:dyDescent="0.25">
      <c r="A1239">
        <v>1280.000364</v>
      </c>
      <c r="B1239" s="1">
        <f>DATE(2013,11,1) + TIME(0,0,31)</f>
        <v>41579.000358796293</v>
      </c>
      <c r="C1239">
        <v>80</v>
      </c>
      <c r="D1239">
        <v>79.924133300999998</v>
      </c>
      <c r="E1239">
        <v>50</v>
      </c>
      <c r="F1239">
        <v>64.770980835000003</v>
      </c>
      <c r="G1239">
        <v>1331.7579346</v>
      </c>
      <c r="H1239">
        <v>1331.5987548999999</v>
      </c>
      <c r="I1239">
        <v>1333.3166504000001</v>
      </c>
      <c r="J1239">
        <v>1332.1678466999999</v>
      </c>
      <c r="K1239">
        <v>0</v>
      </c>
      <c r="L1239">
        <v>550</v>
      </c>
      <c r="M1239">
        <v>550</v>
      </c>
      <c r="N1239">
        <v>0</v>
      </c>
    </row>
    <row r="1240" spans="1:14" x14ac:dyDescent="0.25">
      <c r="A1240">
        <v>1280.0010930000001</v>
      </c>
      <c r="B1240" s="1">
        <f>DATE(2013,11,1) + TIME(0,1,34)</f>
        <v>41579.001087962963</v>
      </c>
      <c r="C1240">
        <v>80</v>
      </c>
      <c r="D1240">
        <v>79.924034118999998</v>
      </c>
      <c r="E1240">
        <v>50</v>
      </c>
      <c r="F1240">
        <v>64.765937804999993</v>
      </c>
      <c r="G1240">
        <v>1331.4125977000001</v>
      </c>
      <c r="H1240">
        <v>1331.2231445</v>
      </c>
      <c r="I1240">
        <v>1333.7746582</v>
      </c>
      <c r="J1240">
        <v>1332.5888672000001</v>
      </c>
      <c r="K1240">
        <v>0</v>
      </c>
      <c r="L1240">
        <v>550</v>
      </c>
      <c r="M1240">
        <v>550</v>
      </c>
      <c r="N1240">
        <v>0</v>
      </c>
    </row>
    <row r="1241" spans="1:14" x14ac:dyDescent="0.25">
      <c r="A1241">
        <v>1280.0032799999999</v>
      </c>
      <c r="B1241" s="1">
        <f>DATE(2013,11,1) + TIME(0,4,43)</f>
        <v>41579.003275462965</v>
      </c>
      <c r="C1241">
        <v>80</v>
      </c>
      <c r="D1241">
        <v>79.923843383999994</v>
      </c>
      <c r="E1241">
        <v>50</v>
      </c>
      <c r="F1241">
        <v>64.750404357999997</v>
      </c>
      <c r="G1241">
        <v>1331.2064209</v>
      </c>
      <c r="H1241">
        <v>1331.0025635</v>
      </c>
      <c r="I1241">
        <v>1334.0458983999999</v>
      </c>
      <c r="J1241">
        <v>1332.8370361</v>
      </c>
      <c r="K1241">
        <v>0</v>
      </c>
      <c r="L1241">
        <v>550</v>
      </c>
      <c r="M1241">
        <v>550</v>
      </c>
      <c r="N1241">
        <v>0</v>
      </c>
    </row>
    <row r="1242" spans="1:14" x14ac:dyDescent="0.25">
      <c r="A1242">
        <v>1280.0098410000001</v>
      </c>
      <c r="B1242" s="1">
        <f>DATE(2013,11,1) + TIME(0,14,10)</f>
        <v>41579.009837962964</v>
      </c>
      <c r="C1242">
        <v>80</v>
      </c>
      <c r="D1242">
        <v>79.923347473000007</v>
      </c>
      <c r="E1242">
        <v>50</v>
      </c>
      <c r="F1242">
        <v>64.703536987000007</v>
      </c>
      <c r="G1242">
        <v>1331.1069336</v>
      </c>
      <c r="H1242">
        <v>1330.8986815999999</v>
      </c>
      <c r="I1242">
        <v>1334.1654053</v>
      </c>
      <c r="J1242">
        <v>1332.9472656</v>
      </c>
      <c r="K1242">
        <v>0</v>
      </c>
      <c r="L1242">
        <v>550</v>
      </c>
      <c r="M1242">
        <v>550</v>
      </c>
      <c r="N1242">
        <v>0</v>
      </c>
    </row>
    <row r="1243" spans="1:14" x14ac:dyDescent="0.25">
      <c r="A1243">
        <v>1280.029524</v>
      </c>
      <c r="B1243" s="1">
        <f>DATE(2013,11,1) + TIME(0,42,30)</f>
        <v>41579.029513888891</v>
      </c>
      <c r="C1243">
        <v>80</v>
      </c>
      <c r="D1243">
        <v>79.921897888000004</v>
      </c>
      <c r="E1243">
        <v>50</v>
      </c>
      <c r="F1243">
        <v>64.564231872999997</v>
      </c>
      <c r="G1243">
        <v>1331.0708007999999</v>
      </c>
      <c r="H1243">
        <v>1330.8613281</v>
      </c>
      <c r="I1243">
        <v>1334.1938477000001</v>
      </c>
      <c r="J1243">
        <v>1332.9731445</v>
      </c>
      <c r="K1243">
        <v>0</v>
      </c>
      <c r="L1243">
        <v>550</v>
      </c>
      <c r="M1243">
        <v>550</v>
      </c>
      <c r="N1243">
        <v>0</v>
      </c>
    </row>
    <row r="1244" spans="1:14" x14ac:dyDescent="0.25">
      <c r="A1244">
        <v>1280.088573</v>
      </c>
      <c r="B1244" s="1">
        <f>DATE(2013,11,1) + TIME(2,7,32)</f>
        <v>41579.088564814818</v>
      </c>
      <c r="C1244">
        <v>80</v>
      </c>
      <c r="D1244">
        <v>79.917579650999997</v>
      </c>
      <c r="E1244">
        <v>50</v>
      </c>
      <c r="F1244">
        <v>64.159934997999997</v>
      </c>
      <c r="G1244">
        <v>1331.0612793</v>
      </c>
      <c r="H1244">
        <v>1330.8505858999999</v>
      </c>
      <c r="I1244">
        <v>1334.1921387</v>
      </c>
      <c r="J1244">
        <v>1332.9700928</v>
      </c>
      <c r="K1244">
        <v>0</v>
      </c>
      <c r="L1244">
        <v>550</v>
      </c>
      <c r="M1244">
        <v>550</v>
      </c>
      <c r="N1244">
        <v>0</v>
      </c>
    </row>
    <row r="1245" spans="1:14" x14ac:dyDescent="0.25">
      <c r="A1245">
        <v>1280.1847339999999</v>
      </c>
      <c r="B1245" s="1">
        <f>DATE(2013,11,1) + TIME(4,26,1)</f>
        <v>41579.184733796297</v>
      </c>
      <c r="C1245">
        <v>80</v>
      </c>
      <c r="D1245">
        <v>79.910552979000002</v>
      </c>
      <c r="E1245">
        <v>50</v>
      </c>
      <c r="F1245">
        <v>63.536079407000003</v>
      </c>
      <c r="G1245">
        <v>1331.0551757999999</v>
      </c>
      <c r="H1245">
        <v>1330.8416748</v>
      </c>
      <c r="I1245">
        <v>1334.1851807</v>
      </c>
      <c r="J1245">
        <v>1332.9624022999999</v>
      </c>
      <c r="K1245">
        <v>0</v>
      </c>
      <c r="L1245">
        <v>550</v>
      </c>
      <c r="M1245">
        <v>550</v>
      </c>
      <c r="N1245">
        <v>0</v>
      </c>
    </row>
    <row r="1246" spans="1:14" x14ac:dyDescent="0.25">
      <c r="A1246">
        <v>1280.2855420000001</v>
      </c>
      <c r="B1246" s="1">
        <f>DATE(2013,11,1) + TIME(6,51,10)</f>
        <v>41579.285532407404</v>
      </c>
      <c r="C1246">
        <v>80</v>
      </c>
      <c r="D1246">
        <v>79.903175353999998</v>
      </c>
      <c r="E1246">
        <v>50</v>
      </c>
      <c r="F1246">
        <v>62.917869568</v>
      </c>
      <c r="G1246">
        <v>1331.0473632999999</v>
      </c>
      <c r="H1246">
        <v>1330.8297118999999</v>
      </c>
      <c r="I1246">
        <v>1334.1773682</v>
      </c>
      <c r="J1246">
        <v>1332.9547118999999</v>
      </c>
      <c r="K1246">
        <v>0</v>
      </c>
      <c r="L1246">
        <v>550</v>
      </c>
      <c r="M1246">
        <v>550</v>
      </c>
      <c r="N1246">
        <v>0</v>
      </c>
    </row>
    <row r="1247" spans="1:14" x14ac:dyDescent="0.25">
      <c r="A1247">
        <v>1280.391014</v>
      </c>
      <c r="B1247" s="1">
        <f>DATE(2013,11,1) + TIME(9,23,3)</f>
        <v>41579.391006944446</v>
      </c>
      <c r="C1247">
        <v>80</v>
      </c>
      <c r="D1247">
        <v>79.895431518999999</v>
      </c>
      <c r="E1247">
        <v>50</v>
      </c>
      <c r="F1247">
        <v>62.307384491000001</v>
      </c>
      <c r="G1247">
        <v>1331.0394286999999</v>
      </c>
      <c r="H1247">
        <v>1330.817749</v>
      </c>
      <c r="I1247">
        <v>1334.1700439000001</v>
      </c>
      <c r="J1247">
        <v>1332.9473877</v>
      </c>
      <c r="K1247">
        <v>0</v>
      </c>
      <c r="L1247">
        <v>550</v>
      </c>
      <c r="M1247">
        <v>550</v>
      </c>
      <c r="N1247">
        <v>0</v>
      </c>
    </row>
    <row r="1248" spans="1:14" x14ac:dyDescent="0.25">
      <c r="A1248">
        <v>1280.5015249999999</v>
      </c>
      <c r="B1248" s="1">
        <f>DATE(2013,11,1) + TIME(12,2,11)</f>
        <v>41579.501516203702</v>
      </c>
      <c r="C1248">
        <v>80</v>
      </c>
      <c r="D1248">
        <v>79.887298584000007</v>
      </c>
      <c r="E1248">
        <v>50</v>
      </c>
      <c r="F1248">
        <v>61.704658508000001</v>
      </c>
      <c r="G1248">
        <v>1331.0313721</v>
      </c>
      <c r="H1248">
        <v>1330.8055420000001</v>
      </c>
      <c r="I1248">
        <v>1334.1629639</v>
      </c>
      <c r="J1248">
        <v>1332.9403076000001</v>
      </c>
      <c r="K1248">
        <v>0</v>
      </c>
      <c r="L1248">
        <v>550</v>
      </c>
      <c r="M1248">
        <v>550</v>
      </c>
      <c r="N1248">
        <v>0</v>
      </c>
    </row>
    <row r="1249" spans="1:14" x14ac:dyDescent="0.25">
      <c r="A1249">
        <v>1280.617444</v>
      </c>
      <c r="B1249" s="1">
        <f>DATE(2013,11,1) + TIME(14,49,7)</f>
        <v>41579.617442129631</v>
      </c>
      <c r="C1249">
        <v>80</v>
      </c>
      <c r="D1249">
        <v>79.878753661999994</v>
      </c>
      <c r="E1249">
        <v>50</v>
      </c>
      <c r="F1249">
        <v>61.109901428000001</v>
      </c>
      <c r="G1249">
        <v>1331.0233154</v>
      </c>
      <c r="H1249">
        <v>1330.7932129000001</v>
      </c>
      <c r="I1249">
        <v>1334.1564940999999</v>
      </c>
      <c r="J1249">
        <v>1332.9334716999999</v>
      </c>
      <c r="K1249">
        <v>0</v>
      </c>
      <c r="L1249">
        <v>550</v>
      </c>
      <c r="M1249">
        <v>550</v>
      </c>
      <c r="N1249">
        <v>0</v>
      </c>
    </row>
    <row r="1250" spans="1:14" x14ac:dyDescent="0.25">
      <c r="A1250">
        <v>1280.73918</v>
      </c>
      <c r="B1250" s="1">
        <f>DATE(2013,11,1) + TIME(17,44,25)</f>
        <v>41579.739178240743</v>
      </c>
      <c r="C1250">
        <v>80</v>
      </c>
      <c r="D1250">
        <v>79.869766235</v>
      </c>
      <c r="E1250">
        <v>50</v>
      </c>
      <c r="F1250">
        <v>60.523391724</v>
      </c>
      <c r="G1250">
        <v>1331.0151367000001</v>
      </c>
      <c r="H1250">
        <v>1330.7807617000001</v>
      </c>
      <c r="I1250">
        <v>1334.1503906</v>
      </c>
      <c r="J1250">
        <v>1332.9270019999999</v>
      </c>
      <c r="K1250">
        <v>0</v>
      </c>
      <c r="L1250">
        <v>550</v>
      </c>
      <c r="M1250">
        <v>550</v>
      </c>
      <c r="N1250">
        <v>0</v>
      </c>
    </row>
    <row r="1251" spans="1:14" x14ac:dyDescent="0.25">
      <c r="A1251">
        <v>1280.8671879999999</v>
      </c>
      <c r="B1251" s="1">
        <f>DATE(2013,11,1) + TIME(20,48,45)</f>
        <v>41579.8671875</v>
      </c>
      <c r="C1251">
        <v>80</v>
      </c>
      <c r="D1251">
        <v>79.860298157000003</v>
      </c>
      <c r="E1251">
        <v>50</v>
      </c>
      <c r="F1251">
        <v>59.945434570000003</v>
      </c>
      <c r="G1251">
        <v>1331.0068358999999</v>
      </c>
      <c r="H1251">
        <v>1330.7681885</v>
      </c>
      <c r="I1251">
        <v>1334.1446533000001</v>
      </c>
      <c r="J1251">
        <v>1332.9207764</v>
      </c>
      <c r="K1251">
        <v>0</v>
      </c>
      <c r="L1251">
        <v>550</v>
      </c>
      <c r="M1251">
        <v>550</v>
      </c>
      <c r="N1251">
        <v>0</v>
      </c>
    </row>
    <row r="1252" spans="1:14" x14ac:dyDescent="0.25">
      <c r="A1252">
        <v>1281.0019809999999</v>
      </c>
      <c r="B1252" s="1">
        <f>DATE(2013,11,2) + TIME(0,2,51)</f>
        <v>41580.001979166664</v>
      </c>
      <c r="C1252">
        <v>80</v>
      </c>
      <c r="D1252">
        <v>79.850311278999996</v>
      </c>
      <c r="E1252">
        <v>50</v>
      </c>
      <c r="F1252">
        <v>59.376014709000003</v>
      </c>
      <c r="G1252">
        <v>1330.9985352000001</v>
      </c>
      <c r="H1252">
        <v>1330.7554932</v>
      </c>
      <c r="I1252">
        <v>1334.1396483999999</v>
      </c>
      <c r="J1252">
        <v>1332.9149170000001</v>
      </c>
      <c r="K1252">
        <v>0</v>
      </c>
      <c r="L1252">
        <v>550</v>
      </c>
      <c r="M1252">
        <v>550</v>
      </c>
      <c r="N1252">
        <v>0</v>
      </c>
    </row>
    <row r="1253" spans="1:14" x14ac:dyDescent="0.25">
      <c r="A1253">
        <v>1281.144086</v>
      </c>
      <c r="B1253" s="1">
        <f>DATE(2013,11,2) + TIME(3,27,29)</f>
        <v>41580.144085648149</v>
      </c>
      <c r="C1253">
        <v>80</v>
      </c>
      <c r="D1253">
        <v>79.839775084999999</v>
      </c>
      <c r="E1253">
        <v>50</v>
      </c>
      <c r="F1253">
        <v>58.816051483000003</v>
      </c>
      <c r="G1253">
        <v>1330.9899902</v>
      </c>
      <c r="H1253">
        <v>1330.7424315999999</v>
      </c>
      <c r="I1253">
        <v>1334.1350098</v>
      </c>
      <c r="J1253">
        <v>1332.9094238</v>
      </c>
      <c r="K1253">
        <v>0</v>
      </c>
      <c r="L1253">
        <v>550</v>
      </c>
      <c r="M1253">
        <v>550</v>
      </c>
      <c r="N1253">
        <v>0</v>
      </c>
    </row>
    <row r="1254" spans="1:14" x14ac:dyDescent="0.25">
      <c r="A1254">
        <v>1281.2941060000001</v>
      </c>
      <c r="B1254" s="1">
        <f>DATE(2013,11,2) + TIME(7,3,30)</f>
        <v>41580.29409722222</v>
      </c>
      <c r="C1254">
        <v>80</v>
      </c>
      <c r="D1254">
        <v>79.828651428000001</v>
      </c>
      <c r="E1254">
        <v>50</v>
      </c>
      <c r="F1254">
        <v>58.266044616999999</v>
      </c>
      <c r="G1254">
        <v>1330.9813231999999</v>
      </c>
      <c r="H1254">
        <v>1330.7293701000001</v>
      </c>
      <c r="I1254">
        <v>1334.1309814000001</v>
      </c>
      <c r="J1254">
        <v>1332.9044189000001</v>
      </c>
      <c r="K1254">
        <v>0</v>
      </c>
      <c r="L1254">
        <v>550</v>
      </c>
      <c r="M1254">
        <v>550</v>
      </c>
      <c r="N1254">
        <v>0</v>
      </c>
    </row>
    <row r="1255" spans="1:14" x14ac:dyDescent="0.25">
      <c r="A1255">
        <v>1281.452712</v>
      </c>
      <c r="B1255" s="1">
        <f>DATE(2013,11,2) + TIME(10,51,54)</f>
        <v>41580.452708333331</v>
      </c>
      <c r="C1255">
        <v>80</v>
      </c>
      <c r="D1255">
        <v>79.816879271999994</v>
      </c>
      <c r="E1255">
        <v>50</v>
      </c>
      <c r="F1255">
        <v>57.726535796999997</v>
      </c>
      <c r="G1255">
        <v>1330.9725341999999</v>
      </c>
      <c r="H1255">
        <v>1330.7159423999999</v>
      </c>
      <c r="I1255">
        <v>1334.1276855000001</v>
      </c>
      <c r="J1255">
        <v>1332.8996582</v>
      </c>
      <c r="K1255">
        <v>0</v>
      </c>
      <c r="L1255">
        <v>550</v>
      </c>
      <c r="M1255">
        <v>550</v>
      </c>
      <c r="N1255">
        <v>0</v>
      </c>
    </row>
    <row r="1256" spans="1:14" x14ac:dyDescent="0.25">
      <c r="A1256">
        <v>1281.6206520000001</v>
      </c>
      <c r="B1256" s="1">
        <f>DATE(2013,11,2) + TIME(14,53,44)</f>
        <v>41580.620648148149</v>
      </c>
      <c r="C1256">
        <v>80</v>
      </c>
      <c r="D1256">
        <v>79.804420471</v>
      </c>
      <c r="E1256">
        <v>50</v>
      </c>
      <c r="F1256">
        <v>57.198139191000003</v>
      </c>
      <c r="G1256">
        <v>1330.963501</v>
      </c>
      <c r="H1256">
        <v>1330.7022704999999</v>
      </c>
      <c r="I1256">
        <v>1334.1248779</v>
      </c>
      <c r="J1256">
        <v>1332.8955077999999</v>
      </c>
      <c r="K1256">
        <v>0</v>
      </c>
      <c r="L1256">
        <v>550</v>
      </c>
      <c r="M1256">
        <v>550</v>
      </c>
      <c r="N1256">
        <v>0</v>
      </c>
    </row>
    <row r="1257" spans="1:14" x14ac:dyDescent="0.25">
      <c r="A1257">
        <v>1281.798632</v>
      </c>
      <c r="B1257" s="1">
        <f>DATE(2013,11,2) + TIME(19,10,1)</f>
        <v>41580.798622685186</v>
      </c>
      <c r="C1257">
        <v>80</v>
      </c>
      <c r="D1257">
        <v>79.791229247999993</v>
      </c>
      <c r="E1257">
        <v>50</v>
      </c>
      <c r="F1257">
        <v>56.681846618999998</v>
      </c>
      <c r="G1257">
        <v>1330.9543457</v>
      </c>
      <c r="H1257">
        <v>1330.6884766000001</v>
      </c>
      <c r="I1257">
        <v>1334.1228027</v>
      </c>
      <c r="J1257">
        <v>1332.8917236</v>
      </c>
      <c r="K1257">
        <v>0</v>
      </c>
      <c r="L1257">
        <v>550</v>
      </c>
      <c r="M1257">
        <v>550</v>
      </c>
      <c r="N1257">
        <v>0</v>
      </c>
    </row>
    <row r="1258" spans="1:14" x14ac:dyDescent="0.25">
      <c r="A1258">
        <v>1281.9876670000001</v>
      </c>
      <c r="B1258" s="1">
        <f>DATE(2013,11,2) + TIME(23,42,14)</f>
        <v>41580.987662037034</v>
      </c>
      <c r="C1258">
        <v>80</v>
      </c>
      <c r="D1258">
        <v>79.777221679999997</v>
      </c>
      <c r="E1258">
        <v>50</v>
      </c>
      <c r="F1258">
        <v>56.178089141999997</v>
      </c>
      <c r="G1258">
        <v>1330.9450684000001</v>
      </c>
      <c r="H1258">
        <v>1330.6743164</v>
      </c>
      <c r="I1258">
        <v>1334.1214600000001</v>
      </c>
      <c r="J1258">
        <v>1332.8884277</v>
      </c>
      <c r="K1258">
        <v>0</v>
      </c>
      <c r="L1258">
        <v>550</v>
      </c>
      <c r="M1258">
        <v>550</v>
      </c>
      <c r="N1258">
        <v>0</v>
      </c>
    </row>
    <row r="1259" spans="1:14" x14ac:dyDescent="0.25">
      <c r="A1259">
        <v>1282.1887999999999</v>
      </c>
      <c r="B1259" s="1">
        <f>DATE(2013,11,3) + TIME(4,31,52)</f>
        <v>41581.188796296294</v>
      </c>
      <c r="C1259">
        <v>80</v>
      </c>
      <c r="D1259">
        <v>79.762351989999999</v>
      </c>
      <c r="E1259">
        <v>50</v>
      </c>
      <c r="F1259">
        <v>55.687633513999998</v>
      </c>
      <c r="G1259">
        <v>1330.9355469</v>
      </c>
      <c r="H1259">
        <v>1330.6599120999999</v>
      </c>
      <c r="I1259">
        <v>1334.1208495999999</v>
      </c>
      <c r="J1259">
        <v>1332.8854980000001</v>
      </c>
      <c r="K1259">
        <v>0</v>
      </c>
      <c r="L1259">
        <v>550</v>
      </c>
      <c r="M1259">
        <v>550</v>
      </c>
      <c r="N1259">
        <v>0</v>
      </c>
    </row>
    <row r="1260" spans="1:14" x14ac:dyDescent="0.25">
      <c r="A1260">
        <v>1282.4031869999999</v>
      </c>
      <c r="B1260" s="1">
        <f>DATE(2013,11,3) + TIME(9,40,35)</f>
        <v>41581.403182870374</v>
      </c>
      <c r="C1260">
        <v>80</v>
      </c>
      <c r="D1260">
        <v>79.746528624999996</v>
      </c>
      <c r="E1260">
        <v>50</v>
      </c>
      <c r="F1260">
        <v>55.211338042999998</v>
      </c>
      <c r="G1260">
        <v>1330.9257812000001</v>
      </c>
      <c r="H1260">
        <v>1330.6450195</v>
      </c>
      <c r="I1260">
        <v>1334.1210937999999</v>
      </c>
      <c r="J1260">
        <v>1332.8831786999999</v>
      </c>
      <c r="K1260">
        <v>0</v>
      </c>
      <c r="L1260">
        <v>550</v>
      </c>
      <c r="M1260">
        <v>550</v>
      </c>
      <c r="N1260">
        <v>0</v>
      </c>
    </row>
    <row r="1261" spans="1:14" x14ac:dyDescent="0.25">
      <c r="A1261">
        <v>1282.632126</v>
      </c>
      <c r="B1261" s="1">
        <f>DATE(2013,11,3) + TIME(15,10,15)</f>
        <v>41581.632118055553</v>
      </c>
      <c r="C1261">
        <v>80</v>
      </c>
      <c r="D1261">
        <v>79.729667664000004</v>
      </c>
      <c r="E1261">
        <v>50</v>
      </c>
      <c r="F1261">
        <v>54.750137328999998</v>
      </c>
      <c r="G1261">
        <v>1330.9157714999999</v>
      </c>
      <c r="H1261">
        <v>1330.6298827999999</v>
      </c>
      <c r="I1261">
        <v>1334.1219481999999</v>
      </c>
      <c r="J1261">
        <v>1332.8814697</v>
      </c>
      <c r="K1261">
        <v>0</v>
      </c>
      <c r="L1261">
        <v>550</v>
      </c>
      <c r="M1261">
        <v>550</v>
      </c>
      <c r="N1261">
        <v>0</v>
      </c>
    </row>
    <row r="1262" spans="1:14" x14ac:dyDescent="0.25">
      <c r="A1262">
        <v>1282.877078</v>
      </c>
      <c r="B1262" s="1">
        <f>DATE(2013,11,3) + TIME(21,2,59)</f>
        <v>41581.877071759256</v>
      </c>
      <c r="C1262">
        <v>80</v>
      </c>
      <c r="D1262">
        <v>79.711692810000002</v>
      </c>
      <c r="E1262">
        <v>50</v>
      </c>
      <c r="F1262">
        <v>54.305027008000003</v>
      </c>
      <c r="G1262">
        <v>1330.9053954999999</v>
      </c>
      <c r="H1262">
        <v>1330.6143798999999</v>
      </c>
      <c r="I1262">
        <v>1334.1237793</v>
      </c>
      <c r="J1262">
        <v>1332.880249</v>
      </c>
      <c r="K1262">
        <v>0</v>
      </c>
      <c r="L1262">
        <v>550</v>
      </c>
      <c r="M1262">
        <v>550</v>
      </c>
      <c r="N1262">
        <v>0</v>
      </c>
    </row>
    <row r="1263" spans="1:14" x14ac:dyDescent="0.25">
      <c r="A1263">
        <v>1283.139688</v>
      </c>
      <c r="B1263" s="1">
        <f>DATE(2013,11,4) + TIME(3,21,9)</f>
        <v>41582.139687499999</v>
      </c>
      <c r="C1263">
        <v>80</v>
      </c>
      <c r="D1263">
        <v>79.692497252999999</v>
      </c>
      <c r="E1263">
        <v>50</v>
      </c>
      <c r="F1263">
        <v>53.877071381</v>
      </c>
      <c r="G1263">
        <v>1330.8947754000001</v>
      </c>
      <c r="H1263">
        <v>1330.5983887</v>
      </c>
      <c r="I1263">
        <v>1334.1263428</v>
      </c>
      <c r="J1263">
        <v>1332.8795166</v>
      </c>
      <c r="K1263">
        <v>0</v>
      </c>
      <c r="L1263">
        <v>550</v>
      </c>
      <c r="M1263">
        <v>550</v>
      </c>
      <c r="N1263">
        <v>0</v>
      </c>
    </row>
    <row r="1264" spans="1:14" x14ac:dyDescent="0.25">
      <c r="A1264">
        <v>1283.421814</v>
      </c>
      <c r="B1264" s="1">
        <f>DATE(2013,11,4) + TIME(10,7,24)</f>
        <v>41582.421805555554</v>
      </c>
      <c r="C1264">
        <v>80</v>
      </c>
      <c r="D1264">
        <v>79.671974182</v>
      </c>
      <c r="E1264">
        <v>50</v>
      </c>
      <c r="F1264">
        <v>53.467380523999999</v>
      </c>
      <c r="G1264">
        <v>1330.8839111</v>
      </c>
      <c r="H1264">
        <v>1330.5819091999999</v>
      </c>
      <c r="I1264">
        <v>1334.1298827999999</v>
      </c>
      <c r="J1264">
        <v>1332.8793945</v>
      </c>
      <c r="K1264">
        <v>0</v>
      </c>
      <c r="L1264">
        <v>550</v>
      </c>
      <c r="M1264">
        <v>550</v>
      </c>
      <c r="N1264">
        <v>0</v>
      </c>
    </row>
    <row r="1265" spans="1:14" x14ac:dyDescent="0.25">
      <c r="A1265">
        <v>1283.7255540000001</v>
      </c>
      <c r="B1265" s="1">
        <f>DATE(2013,11,4) + TIME(17,24,47)</f>
        <v>41582.725543981483</v>
      </c>
      <c r="C1265">
        <v>80</v>
      </c>
      <c r="D1265">
        <v>79.649993895999998</v>
      </c>
      <c r="E1265">
        <v>50</v>
      </c>
      <c r="F1265">
        <v>53.077117919999999</v>
      </c>
      <c r="G1265">
        <v>1330.8725586</v>
      </c>
      <c r="H1265">
        <v>1330.5648193</v>
      </c>
      <c r="I1265">
        <v>1334.1341553</v>
      </c>
      <c r="J1265">
        <v>1332.8798827999999</v>
      </c>
      <c r="K1265">
        <v>0</v>
      </c>
      <c r="L1265">
        <v>550</v>
      </c>
      <c r="M1265">
        <v>550</v>
      </c>
      <c r="N1265">
        <v>0</v>
      </c>
    </row>
    <row r="1266" spans="1:14" x14ac:dyDescent="0.25">
      <c r="A1266">
        <v>1284.0532909999999</v>
      </c>
      <c r="B1266" s="1">
        <f>DATE(2013,11,5) + TIME(1,16,44)</f>
        <v>41583.053287037037</v>
      </c>
      <c r="C1266">
        <v>80</v>
      </c>
      <c r="D1266">
        <v>79.626426696999999</v>
      </c>
      <c r="E1266">
        <v>50</v>
      </c>
      <c r="F1266">
        <v>52.707458496000001</v>
      </c>
      <c r="G1266">
        <v>1330.8608397999999</v>
      </c>
      <c r="H1266">
        <v>1330.5472411999999</v>
      </c>
      <c r="I1266">
        <v>1334.1392822</v>
      </c>
      <c r="J1266">
        <v>1332.8809814000001</v>
      </c>
      <c r="K1266">
        <v>0</v>
      </c>
      <c r="L1266">
        <v>550</v>
      </c>
      <c r="M1266">
        <v>550</v>
      </c>
      <c r="N1266">
        <v>0</v>
      </c>
    </row>
    <row r="1267" spans="1:14" x14ac:dyDescent="0.25">
      <c r="A1267">
        <v>1284.407682</v>
      </c>
      <c r="B1267" s="1">
        <f>DATE(2013,11,5) + TIME(9,47,3)</f>
        <v>41583.407673611109</v>
      </c>
      <c r="C1267">
        <v>80</v>
      </c>
      <c r="D1267">
        <v>79.601119995000005</v>
      </c>
      <c r="E1267">
        <v>50</v>
      </c>
      <c r="F1267">
        <v>52.359615325999997</v>
      </c>
      <c r="G1267">
        <v>1330.8486327999999</v>
      </c>
      <c r="H1267">
        <v>1330.5289307</v>
      </c>
      <c r="I1267">
        <v>1334.1452637</v>
      </c>
      <c r="J1267">
        <v>1332.8825684000001</v>
      </c>
      <c r="K1267">
        <v>0</v>
      </c>
      <c r="L1267">
        <v>550</v>
      </c>
      <c r="M1267">
        <v>550</v>
      </c>
      <c r="N1267">
        <v>0</v>
      </c>
    </row>
    <row r="1268" spans="1:14" x14ac:dyDescent="0.25">
      <c r="A1268">
        <v>1284.7916720000001</v>
      </c>
      <c r="B1268" s="1">
        <f>DATE(2013,11,5) + TIME(19,0,0)</f>
        <v>41583.791666666664</v>
      </c>
      <c r="C1268">
        <v>80</v>
      </c>
      <c r="D1268">
        <v>79.573928832999997</v>
      </c>
      <c r="E1268">
        <v>50</v>
      </c>
      <c r="F1268">
        <v>52.034801483000003</v>
      </c>
      <c r="G1268">
        <v>1330.8358154</v>
      </c>
      <c r="H1268">
        <v>1330.5098877</v>
      </c>
      <c r="I1268">
        <v>1334.1520995999999</v>
      </c>
      <c r="J1268">
        <v>1332.8847656</v>
      </c>
      <c r="K1268">
        <v>0</v>
      </c>
      <c r="L1268">
        <v>550</v>
      </c>
      <c r="M1268">
        <v>550</v>
      </c>
      <c r="N1268">
        <v>0</v>
      </c>
    </row>
    <row r="1269" spans="1:14" x14ac:dyDescent="0.25">
      <c r="A1269">
        <v>1285.2088550000001</v>
      </c>
      <c r="B1269" s="1">
        <f>DATE(2013,11,6) + TIME(5,0,45)</f>
        <v>41584.208854166667</v>
      </c>
      <c r="C1269">
        <v>80</v>
      </c>
      <c r="D1269">
        <v>79.544647217000005</v>
      </c>
      <c r="E1269">
        <v>50</v>
      </c>
      <c r="F1269">
        <v>51.733955383000001</v>
      </c>
      <c r="G1269">
        <v>1330.8226318</v>
      </c>
      <c r="H1269">
        <v>1330.4901123</v>
      </c>
      <c r="I1269">
        <v>1334.159668</v>
      </c>
      <c r="J1269">
        <v>1332.8874512</v>
      </c>
      <c r="K1269">
        <v>0</v>
      </c>
      <c r="L1269">
        <v>550</v>
      </c>
      <c r="M1269">
        <v>550</v>
      </c>
      <c r="N1269">
        <v>0</v>
      </c>
    </row>
    <row r="1270" spans="1:14" x14ac:dyDescent="0.25">
      <c r="A1270">
        <v>1285.6632050000001</v>
      </c>
      <c r="B1270" s="1">
        <f>DATE(2013,11,6) + TIME(15,55,0)</f>
        <v>41584.663194444445</v>
      </c>
      <c r="C1270">
        <v>80</v>
      </c>
      <c r="D1270">
        <v>79.513092040999993</v>
      </c>
      <c r="E1270">
        <v>50</v>
      </c>
      <c r="F1270">
        <v>51.457988739000001</v>
      </c>
      <c r="G1270">
        <v>1330.8085937999999</v>
      </c>
      <c r="H1270">
        <v>1330.4693603999999</v>
      </c>
      <c r="I1270">
        <v>1334.1679687999999</v>
      </c>
      <c r="J1270">
        <v>1332.8907471</v>
      </c>
      <c r="K1270">
        <v>0</v>
      </c>
      <c r="L1270">
        <v>550</v>
      </c>
      <c r="M1270">
        <v>550</v>
      </c>
      <c r="N1270">
        <v>0</v>
      </c>
    </row>
    <row r="1271" spans="1:14" x14ac:dyDescent="0.25">
      <c r="A1271">
        <v>1286.1592559999999</v>
      </c>
      <c r="B1271" s="1">
        <f>DATE(2013,11,7) + TIME(3,49,19)</f>
        <v>41585.159247685187</v>
      </c>
      <c r="C1271">
        <v>80</v>
      </c>
      <c r="D1271">
        <v>79.479026794000006</v>
      </c>
      <c r="E1271">
        <v>50</v>
      </c>
      <c r="F1271">
        <v>51.207622528000002</v>
      </c>
      <c r="G1271">
        <v>1330.7939452999999</v>
      </c>
      <c r="H1271">
        <v>1330.4476318</v>
      </c>
      <c r="I1271">
        <v>1334.1768798999999</v>
      </c>
      <c r="J1271">
        <v>1332.8944091999999</v>
      </c>
      <c r="K1271">
        <v>0</v>
      </c>
      <c r="L1271">
        <v>550</v>
      </c>
      <c r="M1271">
        <v>550</v>
      </c>
      <c r="N1271">
        <v>0</v>
      </c>
    </row>
    <row r="1272" spans="1:14" x14ac:dyDescent="0.25">
      <c r="A1272">
        <v>1286.7021950000001</v>
      </c>
      <c r="B1272" s="1">
        <f>DATE(2013,11,7) + TIME(16,51,9)</f>
        <v>41585.702187499999</v>
      </c>
      <c r="C1272">
        <v>80</v>
      </c>
      <c r="D1272">
        <v>79.442207335999996</v>
      </c>
      <c r="E1272">
        <v>50</v>
      </c>
      <c r="F1272">
        <v>50.983303069999998</v>
      </c>
      <c r="G1272">
        <v>1330.7785644999999</v>
      </c>
      <c r="H1272">
        <v>1330.4248047000001</v>
      </c>
      <c r="I1272">
        <v>1334.1864014</v>
      </c>
      <c r="J1272">
        <v>1332.8984375</v>
      </c>
      <c r="K1272">
        <v>0</v>
      </c>
      <c r="L1272">
        <v>550</v>
      </c>
      <c r="M1272">
        <v>550</v>
      </c>
      <c r="N1272">
        <v>0</v>
      </c>
    </row>
    <row r="1273" spans="1:14" x14ac:dyDescent="0.25">
      <c r="A1273">
        <v>1287.2979580000001</v>
      </c>
      <c r="B1273" s="1">
        <f>DATE(2013,11,8) + TIME(7,9,3)</f>
        <v>41586.297951388886</v>
      </c>
      <c r="C1273">
        <v>80</v>
      </c>
      <c r="D1273">
        <v>79.402351378999995</v>
      </c>
      <c r="E1273">
        <v>50</v>
      </c>
      <c r="F1273">
        <v>50.785160064999999</v>
      </c>
      <c r="G1273">
        <v>1330.762207</v>
      </c>
      <c r="H1273">
        <v>1330.4007568</v>
      </c>
      <c r="I1273">
        <v>1334.1962891000001</v>
      </c>
      <c r="J1273">
        <v>1332.9029541</v>
      </c>
      <c r="K1273">
        <v>0</v>
      </c>
      <c r="L1273">
        <v>550</v>
      </c>
      <c r="M1273">
        <v>550</v>
      </c>
      <c r="N1273">
        <v>0</v>
      </c>
    </row>
    <row r="1274" spans="1:14" x14ac:dyDescent="0.25">
      <c r="A1274">
        <v>1287.9533630000001</v>
      </c>
      <c r="B1274" s="1">
        <f>DATE(2013,11,8) + TIME(22,52,50)</f>
        <v>41586.953356481485</v>
      </c>
      <c r="C1274">
        <v>80</v>
      </c>
      <c r="D1274">
        <v>79.359153747999997</v>
      </c>
      <c r="E1274">
        <v>50</v>
      </c>
      <c r="F1274">
        <v>50.612926483000003</v>
      </c>
      <c r="G1274">
        <v>1330.7448730000001</v>
      </c>
      <c r="H1274">
        <v>1330.3753661999999</v>
      </c>
      <c r="I1274">
        <v>1334.2064209</v>
      </c>
      <c r="J1274">
        <v>1332.9075928</v>
      </c>
      <c r="K1274">
        <v>0</v>
      </c>
      <c r="L1274">
        <v>550</v>
      </c>
      <c r="M1274">
        <v>550</v>
      </c>
      <c r="N1274">
        <v>0</v>
      </c>
    </row>
    <row r="1275" spans="1:14" x14ac:dyDescent="0.25">
      <c r="A1275">
        <v>1288.6762650000001</v>
      </c>
      <c r="B1275" s="1">
        <f>DATE(2013,11,9) + TIME(16,13,49)</f>
        <v>41587.676261574074</v>
      </c>
      <c r="C1275">
        <v>80</v>
      </c>
      <c r="D1275">
        <v>79.312263489000003</v>
      </c>
      <c r="E1275">
        <v>50</v>
      </c>
      <c r="F1275">
        <v>50.465881348000003</v>
      </c>
      <c r="G1275">
        <v>1330.7263184000001</v>
      </c>
      <c r="H1275">
        <v>1330.3483887</v>
      </c>
      <c r="I1275">
        <v>1334.2166748</v>
      </c>
      <c r="J1275">
        <v>1332.9123535000001</v>
      </c>
      <c r="K1275">
        <v>0</v>
      </c>
      <c r="L1275">
        <v>550</v>
      </c>
      <c r="M1275">
        <v>550</v>
      </c>
      <c r="N1275">
        <v>0</v>
      </c>
    </row>
    <row r="1276" spans="1:14" x14ac:dyDescent="0.25">
      <c r="A1276">
        <v>1289.4270839999999</v>
      </c>
      <c r="B1276" s="1">
        <f>DATE(2013,11,10) + TIME(10,15,0)</f>
        <v>41588.427083333336</v>
      </c>
      <c r="C1276">
        <v>80</v>
      </c>
      <c r="D1276">
        <v>79.263992310000006</v>
      </c>
      <c r="E1276">
        <v>50</v>
      </c>
      <c r="F1276">
        <v>50.348587035999998</v>
      </c>
      <c r="G1276">
        <v>1330.7066649999999</v>
      </c>
      <c r="H1276">
        <v>1330.3198242000001</v>
      </c>
      <c r="I1276">
        <v>1334.2272949000001</v>
      </c>
      <c r="J1276">
        <v>1332.9174805</v>
      </c>
      <c r="K1276">
        <v>0</v>
      </c>
      <c r="L1276">
        <v>550</v>
      </c>
      <c r="M1276">
        <v>550</v>
      </c>
      <c r="N1276">
        <v>0</v>
      </c>
    </row>
    <row r="1277" spans="1:14" x14ac:dyDescent="0.25">
      <c r="A1277">
        <v>1290.2035129999999</v>
      </c>
      <c r="B1277" s="1">
        <f>DATE(2013,11,11) + TIME(4,53,3)</f>
        <v>41589.203506944446</v>
      </c>
      <c r="C1277">
        <v>80</v>
      </c>
      <c r="D1277">
        <v>79.214485167999996</v>
      </c>
      <c r="E1277">
        <v>50</v>
      </c>
      <c r="F1277">
        <v>50.256092072000001</v>
      </c>
      <c r="G1277">
        <v>1330.6867675999999</v>
      </c>
      <c r="H1277">
        <v>1330.2910156</v>
      </c>
      <c r="I1277">
        <v>1334.2370605000001</v>
      </c>
      <c r="J1277">
        <v>1332.9222411999999</v>
      </c>
      <c r="K1277">
        <v>0</v>
      </c>
      <c r="L1277">
        <v>550</v>
      </c>
      <c r="M1277">
        <v>550</v>
      </c>
      <c r="N1277">
        <v>0</v>
      </c>
    </row>
    <row r="1278" spans="1:14" x14ac:dyDescent="0.25">
      <c r="A1278">
        <v>1291.007595</v>
      </c>
      <c r="B1278" s="1">
        <f>DATE(2013,11,12) + TIME(0,10,56)</f>
        <v>41590.007592592592</v>
      </c>
      <c r="C1278">
        <v>80</v>
      </c>
      <c r="D1278">
        <v>79.163619995000005</v>
      </c>
      <c r="E1278">
        <v>50</v>
      </c>
      <c r="F1278">
        <v>50.18359375</v>
      </c>
      <c r="G1278">
        <v>1330.6665039</v>
      </c>
      <c r="H1278">
        <v>1330.2618408000001</v>
      </c>
      <c r="I1278">
        <v>1334.2459716999999</v>
      </c>
      <c r="J1278">
        <v>1332.9265137</v>
      </c>
      <c r="K1278">
        <v>0</v>
      </c>
      <c r="L1278">
        <v>550</v>
      </c>
      <c r="M1278">
        <v>550</v>
      </c>
      <c r="N1278">
        <v>0</v>
      </c>
    </row>
    <row r="1279" spans="1:14" x14ac:dyDescent="0.25">
      <c r="A1279">
        <v>1291.84222</v>
      </c>
      <c r="B1279" s="1">
        <f>DATE(2013,11,12) + TIME(20,12,47)</f>
        <v>41590.842210648145</v>
      </c>
      <c r="C1279">
        <v>80</v>
      </c>
      <c r="D1279">
        <v>79.111251831000004</v>
      </c>
      <c r="E1279">
        <v>50</v>
      </c>
      <c r="F1279">
        <v>50.127090453999998</v>
      </c>
      <c r="G1279">
        <v>1330.6459961</v>
      </c>
      <c r="H1279">
        <v>1330.2322998</v>
      </c>
      <c r="I1279">
        <v>1334.2541504000001</v>
      </c>
      <c r="J1279">
        <v>1332.9302978999999</v>
      </c>
      <c r="K1279">
        <v>0</v>
      </c>
      <c r="L1279">
        <v>550</v>
      </c>
      <c r="M1279">
        <v>550</v>
      </c>
      <c r="N1279">
        <v>0</v>
      </c>
    </row>
    <row r="1280" spans="1:14" x14ac:dyDescent="0.25">
      <c r="A1280">
        <v>1292.7102190000001</v>
      </c>
      <c r="B1280" s="1">
        <f>DATE(2013,11,13) + TIME(17,2,42)</f>
        <v>41591.71020833333</v>
      </c>
      <c r="C1280">
        <v>80</v>
      </c>
      <c r="D1280">
        <v>79.057205199999999</v>
      </c>
      <c r="E1280">
        <v>50</v>
      </c>
      <c r="F1280">
        <v>50.083335876</v>
      </c>
      <c r="G1280">
        <v>1330.6251221</v>
      </c>
      <c r="H1280">
        <v>1330.2023925999999</v>
      </c>
      <c r="I1280">
        <v>1334.2613524999999</v>
      </c>
      <c r="J1280">
        <v>1332.9337158000001</v>
      </c>
      <c r="K1280">
        <v>0</v>
      </c>
      <c r="L1280">
        <v>550</v>
      </c>
      <c r="M1280">
        <v>550</v>
      </c>
      <c r="N1280">
        <v>0</v>
      </c>
    </row>
    <row r="1281" spans="1:14" x14ac:dyDescent="0.25">
      <c r="A1281">
        <v>1293.6145979999999</v>
      </c>
      <c r="B1281" s="1">
        <f>DATE(2013,11,14) + TIME(14,45,1)</f>
        <v>41592.614594907405</v>
      </c>
      <c r="C1281">
        <v>80</v>
      </c>
      <c r="D1281">
        <v>79.001312256000006</v>
      </c>
      <c r="E1281">
        <v>50</v>
      </c>
      <c r="F1281">
        <v>50.049671173</v>
      </c>
      <c r="G1281">
        <v>1330.6038818</v>
      </c>
      <c r="H1281">
        <v>1330.1719971</v>
      </c>
      <c r="I1281">
        <v>1334.2679443</v>
      </c>
      <c r="J1281">
        <v>1332.9366454999999</v>
      </c>
      <c r="K1281">
        <v>0</v>
      </c>
      <c r="L1281">
        <v>550</v>
      </c>
      <c r="M1281">
        <v>550</v>
      </c>
      <c r="N1281">
        <v>0</v>
      </c>
    </row>
    <row r="1282" spans="1:14" x14ac:dyDescent="0.25">
      <c r="A1282">
        <v>1294.558653</v>
      </c>
      <c r="B1282" s="1">
        <f>DATE(2013,11,15) + TIME(13,24,27)</f>
        <v>41593.558645833335</v>
      </c>
      <c r="C1282">
        <v>80</v>
      </c>
      <c r="D1282">
        <v>78.943367003999995</v>
      </c>
      <c r="E1282">
        <v>50</v>
      </c>
      <c r="F1282">
        <v>50.023944855000003</v>
      </c>
      <c r="G1282">
        <v>1330.5822754000001</v>
      </c>
      <c r="H1282">
        <v>1330.1411132999999</v>
      </c>
      <c r="I1282">
        <v>1334.2736815999999</v>
      </c>
      <c r="J1282">
        <v>1332.9390868999999</v>
      </c>
      <c r="K1282">
        <v>0</v>
      </c>
      <c r="L1282">
        <v>550</v>
      </c>
      <c r="M1282">
        <v>550</v>
      </c>
      <c r="N1282">
        <v>0</v>
      </c>
    </row>
    <row r="1283" spans="1:14" x14ac:dyDescent="0.25">
      <c r="A1283">
        <v>1295.546012</v>
      </c>
      <c r="B1283" s="1">
        <f>DATE(2013,11,16) + TIME(13,6,15)</f>
        <v>41594.546006944445</v>
      </c>
      <c r="C1283">
        <v>80</v>
      </c>
      <c r="D1283">
        <v>78.883148192999997</v>
      </c>
      <c r="E1283">
        <v>50</v>
      </c>
      <c r="F1283">
        <v>50.004402161000002</v>
      </c>
      <c r="G1283">
        <v>1330.5600586</v>
      </c>
      <c r="H1283">
        <v>1330.1096190999999</v>
      </c>
      <c r="I1283">
        <v>1334.2788086</v>
      </c>
      <c r="J1283">
        <v>1332.9412841999999</v>
      </c>
      <c r="K1283">
        <v>0</v>
      </c>
      <c r="L1283">
        <v>550</v>
      </c>
      <c r="M1283">
        <v>550</v>
      </c>
      <c r="N1283">
        <v>0</v>
      </c>
    </row>
    <row r="1284" spans="1:14" x14ac:dyDescent="0.25">
      <c r="A1284">
        <v>1296.580717</v>
      </c>
      <c r="B1284" s="1">
        <f>DATE(2013,11,17) + TIME(13,56,13)</f>
        <v>41595.580706018518</v>
      </c>
      <c r="C1284">
        <v>80</v>
      </c>
      <c r="D1284">
        <v>78.820404053000004</v>
      </c>
      <c r="E1284">
        <v>50</v>
      </c>
      <c r="F1284">
        <v>49.989643096999998</v>
      </c>
      <c r="G1284">
        <v>1330.5374756000001</v>
      </c>
      <c r="H1284">
        <v>1330.0775146000001</v>
      </c>
      <c r="I1284">
        <v>1334.2832031</v>
      </c>
      <c r="J1284">
        <v>1332.9429932</v>
      </c>
      <c r="K1284">
        <v>0</v>
      </c>
      <c r="L1284">
        <v>550</v>
      </c>
      <c r="M1284">
        <v>550</v>
      </c>
      <c r="N1284">
        <v>0</v>
      </c>
    </row>
    <row r="1285" spans="1:14" x14ac:dyDescent="0.25">
      <c r="A1285">
        <v>1297.667244</v>
      </c>
      <c r="B1285" s="1">
        <f>DATE(2013,11,18) + TIME(16,0,49)</f>
        <v>41596.667233796295</v>
      </c>
      <c r="C1285">
        <v>80</v>
      </c>
      <c r="D1285">
        <v>78.754837035999998</v>
      </c>
      <c r="E1285">
        <v>50</v>
      </c>
      <c r="F1285">
        <v>49.978557586999997</v>
      </c>
      <c r="G1285">
        <v>1330.5141602000001</v>
      </c>
      <c r="H1285">
        <v>1330.0446777</v>
      </c>
      <c r="I1285">
        <v>1334.2869873</v>
      </c>
      <c r="J1285">
        <v>1332.9443358999999</v>
      </c>
      <c r="K1285">
        <v>0</v>
      </c>
      <c r="L1285">
        <v>550</v>
      </c>
      <c r="M1285">
        <v>550</v>
      </c>
      <c r="N1285">
        <v>0</v>
      </c>
    </row>
    <row r="1286" spans="1:14" x14ac:dyDescent="0.25">
      <c r="A1286">
        <v>1298.810602</v>
      </c>
      <c r="B1286" s="1">
        <f>DATE(2013,11,19) + TIME(19,27,16)</f>
        <v>41597.810601851852</v>
      </c>
      <c r="C1286">
        <v>80</v>
      </c>
      <c r="D1286">
        <v>78.686103821000003</v>
      </c>
      <c r="E1286">
        <v>50</v>
      </c>
      <c r="F1286">
        <v>49.970268249999997</v>
      </c>
      <c r="G1286">
        <v>1330.4903564000001</v>
      </c>
      <c r="H1286">
        <v>1330.0109863</v>
      </c>
      <c r="I1286">
        <v>1334.2902832</v>
      </c>
      <c r="J1286">
        <v>1332.9453125</v>
      </c>
      <c r="K1286">
        <v>0</v>
      </c>
      <c r="L1286">
        <v>550</v>
      </c>
      <c r="M1286">
        <v>550</v>
      </c>
      <c r="N1286">
        <v>0</v>
      </c>
    </row>
    <row r="1287" spans="1:14" x14ac:dyDescent="0.25">
      <c r="A1287">
        <v>1300.016431</v>
      </c>
      <c r="B1287" s="1">
        <f>DATE(2013,11,21) + TIME(0,23,39)</f>
        <v>41599.016423611109</v>
      </c>
      <c r="C1287">
        <v>80</v>
      </c>
      <c r="D1287">
        <v>78.613822936999995</v>
      </c>
      <c r="E1287">
        <v>50</v>
      </c>
      <c r="F1287">
        <v>49.964088439999998</v>
      </c>
      <c r="G1287">
        <v>1330.4658202999999</v>
      </c>
      <c r="H1287">
        <v>1329.9765625</v>
      </c>
      <c r="I1287">
        <v>1334.2930908000001</v>
      </c>
      <c r="J1287">
        <v>1332.9460449000001</v>
      </c>
      <c r="K1287">
        <v>0</v>
      </c>
      <c r="L1287">
        <v>550</v>
      </c>
      <c r="M1287">
        <v>550</v>
      </c>
      <c r="N1287">
        <v>0</v>
      </c>
    </row>
    <row r="1288" spans="1:14" x14ac:dyDescent="0.25">
      <c r="A1288">
        <v>1301.2908729999999</v>
      </c>
      <c r="B1288" s="1">
        <f>DATE(2013,11,22) + TIME(6,58,51)</f>
        <v>41600.290868055556</v>
      </c>
      <c r="C1288">
        <v>80</v>
      </c>
      <c r="D1288">
        <v>78.537551879999995</v>
      </c>
      <c r="E1288">
        <v>50</v>
      </c>
      <c r="F1288">
        <v>49.959491730000003</v>
      </c>
      <c r="G1288">
        <v>1330.4404297000001</v>
      </c>
      <c r="H1288">
        <v>1329.9410399999999</v>
      </c>
      <c r="I1288">
        <v>1334.2954102000001</v>
      </c>
      <c r="J1288">
        <v>1332.9464111</v>
      </c>
      <c r="K1288">
        <v>0</v>
      </c>
      <c r="L1288">
        <v>550</v>
      </c>
      <c r="M1288">
        <v>550</v>
      </c>
      <c r="N1288">
        <v>0</v>
      </c>
    </row>
    <row r="1289" spans="1:14" x14ac:dyDescent="0.25">
      <c r="A1289">
        <v>1302.640997</v>
      </c>
      <c r="B1289" s="1">
        <f>DATE(2013,11,23) + TIME(15,23,2)</f>
        <v>41601.64099537037</v>
      </c>
      <c r="C1289">
        <v>80</v>
      </c>
      <c r="D1289">
        <v>78.456787109000004</v>
      </c>
      <c r="E1289">
        <v>50</v>
      </c>
      <c r="F1289">
        <v>49.956069946</v>
      </c>
      <c r="G1289">
        <v>1330.4143065999999</v>
      </c>
      <c r="H1289">
        <v>1329.9045410000001</v>
      </c>
      <c r="I1289">
        <v>1334.2972411999999</v>
      </c>
      <c r="J1289">
        <v>1332.9466553</v>
      </c>
      <c r="K1289">
        <v>0</v>
      </c>
      <c r="L1289">
        <v>550</v>
      </c>
      <c r="M1289">
        <v>550</v>
      </c>
      <c r="N1289">
        <v>0</v>
      </c>
    </row>
    <row r="1290" spans="1:14" x14ac:dyDescent="0.25">
      <c r="A1290">
        <v>1304.066855</v>
      </c>
      <c r="B1290" s="1">
        <f>DATE(2013,11,25) + TIME(1,36,16)</f>
        <v>41603.066851851851</v>
      </c>
      <c r="C1290">
        <v>80</v>
      </c>
      <c r="D1290">
        <v>78.371284485000004</v>
      </c>
      <c r="E1290">
        <v>50</v>
      </c>
      <c r="F1290">
        <v>49.953533172999997</v>
      </c>
      <c r="G1290">
        <v>1330.3873291</v>
      </c>
      <c r="H1290">
        <v>1329.8669434000001</v>
      </c>
      <c r="I1290">
        <v>1334.2988281</v>
      </c>
      <c r="J1290">
        <v>1332.9465332</v>
      </c>
      <c r="K1290">
        <v>0</v>
      </c>
      <c r="L1290">
        <v>550</v>
      </c>
      <c r="M1290">
        <v>550</v>
      </c>
      <c r="N1290">
        <v>0</v>
      </c>
    </row>
    <row r="1291" spans="1:14" x14ac:dyDescent="0.25">
      <c r="A1291">
        <v>1305.5730430000001</v>
      </c>
      <c r="B1291" s="1">
        <f>DATE(2013,11,26) + TIME(13,45,10)</f>
        <v>41604.57303240741</v>
      </c>
      <c r="C1291">
        <v>80</v>
      </c>
      <c r="D1291">
        <v>78.280578613000003</v>
      </c>
      <c r="E1291">
        <v>50</v>
      </c>
      <c r="F1291">
        <v>49.951644897000001</v>
      </c>
      <c r="G1291">
        <v>1330.359375</v>
      </c>
      <c r="H1291">
        <v>1329.8282471</v>
      </c>
      <c r="I1291">
        <v>1334.2999268000001</v>
      </c>
      <c r="J1291">
        <v>1332.9461670000001</v>
      </c>
      <c r="K1291">
        <v>0</v>
      </c>
      <c r="L1291">
        <v>550</v>
      </c>
      <c r="M1291">
        <v>550</v>
      </c>
      <c r="N1291">
        <v>0</v>
      </c>
    </row>
    <row r="1292" spans="1:14" x14ac:dyDescent="0.25">
      <c r="A1292">
        <v>1307.1674640000001</v>
      </c>
      <c r="B1292" s="1">
        <f>DATE(2013,11,28) + TIME(4,1,8)</f>
        <v>41606.167453703703</v>
      </c>
      <c r="C1292">
        <v>80</v>
      </c>
      <c r="D1292">
        <v>78.184028624999996</v>
      </c>
      <c r="E1292">
        <v>50</v>
      </c>
      <c r="F1292">
        <v>49.950237274000003</v>
      </c>
      <c r="G1292">
        <v>1330.3306885</v>
      </c>
      <c r="H1292">
        <v>1329.7884521000001</v>
      </c>
      <c r="I1292">
        <v>1334.3009033000001</v>
      </c>
      <c r="J1292">
        <v>1332.9456786999999</v>
      </c>
      <c r="K1292">
        <v>0</v>
      </c>
      <c r="L1292">
        <v>550</v>
      </c>
      <c r="M1292">
        <v>550</v>
      </c>
      <c r="N1292">
        <v>0</v>
      </c>
    </row>
    <row r="1293" spans="1:14" x14ac:dyDescent="0.25">
      <c r="A1293">
        <v>1308.860091</v>
      </c>
      <c r="B1293" s="1">
        <f>DATE(2013,11,29) + TIME(20,38,31)</f>
        <v>41607.860081018516</v>
      </c>
      <c r="C1293">
        <v>80</v>
      </c>
      <c r="D1293">
        <v>78.080841063999998</v>
      </c>
      <c r="E1293">
        <v>50</v>
      </c>
      <c r="F1293">
        <v>49.949176788000003</v>
      </c>
      <c r="G1293">
        <v>1330.3009033000001</v>
      </c>
      <c r="H1293">
        <v>1329.7473144999999</v>
      </c>
      <c r="I1293">
        <v>1334.3013916</v>
      </c>
      <c r="J1293">
        <v>1332.9450684000001</v>
      </c>
      <c r="K1293">
        <v>0</v>
      </c>
      <c r="L1293">
        <v>550</v>
      </c>
      <c r="M1293">
        <v>550</v>
      </c>
      <c r="N1293">
        <v>0</v>
      </c>
    </row>
    <row r="1294" spans="1:14" x14ac:dyDescent="0.25">
      <c r="A1294">
        <v>1310</v>
      </c>
      <c r="B1294" s="1">
        <f>DATE(2013,12,1) + TIME(0,0,0)</f>
        <v>41609</v>
      </c>
      <c r="C1294">
        <v>80</v>
      </c>
      <c r="D1294">
        <v>78.001487732000001</v>
      </c>
      <c r="E1294">
        <v>50</v>
      </c>
      <c r="F1294">
        <v>49.948627471999998</v>
      </c>
      <c r="G1294">
        <v>1330.270874</v>
      </c>
      <c r="H1294">
        <v>1329.7062988</v>
      </c>
      <c r="I1294">
        <v>1334.3018798999999</v>
      </c>
      <c r="J1294">
        <v>1332.9443358999999</v>
      </c>
      <c r="K1294">
        <v>0</v>
      </c>
      <c r="L1294">
        <v>550</v>
      </c>
      <c r="M1294">
        <v>550</v>
      </c>
      <c r="N1294">
        <v>0</v>
      </c>
    </row>
    <row r="1295" spans="1:14" x14ac:dyDescent="0.25">
      <c r="A1295">
        <v>1311.7686650000001</v>
      </c>
      <c r="B1295" s="1">
        <f>DATE(2013,12,2) + TIME(18,26,52)</f>
        <v>41610.768657407411</v>
      </c>
      <c r="C1295">
        <v>80</v>
      </c>
      <c r="D1295">
        <v>77.892890929999993</v>
      </c>
      <c r="E1295">
        <v>50</v>
      </c>
      <c r="F1295">
        <v>49.948001861999998</v>
      </c>
      <c r="G1295">
        <v>1330.2479248</v>
      </c>
      <c r="H1295">
        <v>1329.6737060999999</v>
      </c>
      <c r="I1295">
        <v>1334.3020019999999</v>
      </c>
      <c r="J1295">
        <v>1332.9437256000001</v>
      </c>
      <c r="K1295">
        <v>0</v>
      </c>
      <c r="L1295">
        <v>550</v>
      </c>
      <c r="M1295">
        <v>550</v>
      </c>
      <c r="N1295">
        <v>0</v>
      </c>
    </row>
    <row r="1296" spans="1:14" x14ac:dyDescent="0.25">
      <c r="A1296">
        <v>1313.6556310000001</v>
      </c>
      <c r="B1296" s="1">
        <f>DATE(2013,12,4) + TIME(15,44,6)</f>
        <v>41612.655624999999</v>
      </c>
      <c r="C1296">
        <v>80</v>
      </c>
      <c r="D1296">
        <v>77.775444031000006</v>
      </c>
      <c r="E1296">
        <v>50</v>
      </c>
      <c r="F1296">
        <v>49.947525024000001</v>
      </c>
      <c r="G1296">
        <v>1330.2175293</v>
      </c>
      <c r="H1296">
        <v>1329.6320800999999</v>
      </c>
      <c r="I1296">
        <v>1334.3020019999999</v>
      </c>
      <c r="J1296">
        <v>1332.942749</v>
      </c>
      <c r="K1296">
        <v>0</v>
      </c>
      <c r="L1296">
        <v>550</v>
      </c>
      <c r="M1296">
        <v>550</v>
      </c>
      <c r="N1296">
        <v>0</v>
      </c>
    </row>
    <row r="1297" spans="1:14" x14ac:dyDescent="0.25">
      <c r="A1297">
        <v>1315.638203</v>
      </c>
      <c r="B1297" s="1">
        <f>DATE(2013,12,6) + TIME(15,19,0)</f>
        <v>41614.638194444444</v>
      </c>
      <c r="C1297">
        <v>80</v>
      </c>
      <c r="D1297">
        <v>77.649520874000004</v>
      </c>
      <c r="E1297">
        <v>50</v>
      </c>
      <c r="F1297">
        <v>49.947162628000001</v>
      </c>
      <c r="G1297">
        <v>1330.1857910000001</v>
      </c>
      <c r="H1297">
        <v>1329.5887451000001</v>
      </c>
      <c r="I1297">
        <v>1334.3017577999999</v>
      </c>
      <c r="J1297">
        <v>1332.9417725000001</v>
      </c>
      <c r="K1297">
        <v>0</v>
      </c>
      <c r="L1297">
        <v>550</v>
      </c>
      <c r="M1297">
        <v>550</v>
      </c>
      <c r="N1297">
        <v>0</v>
      </c>
    </row>
    <row r="1298" spans="1:14" x14ac:dyDescent="0.25">
      <c r="A1298">
        <v>1317.742598</v>
      </c>
      <c r="B1298" s="1">
        <f>DATE(2013,12,8) + TIME(17,49,20)</f>
        <v>41616.742592592593</v>
      </c>
      <c r="C1298">
        <v>80</v>
      </c>
      <c r="D1298">
        <v>77.513717650999993</v>
      </c>
      <c r="E1298">
        <v>50</v>
      </c>
      <c r="F1298">
        <v>49.946887969999999</v>
      </c>
      <c r="G1298">
        <v>1330.1530762</v>
      </c>
      <c r="H1298">
        <v>1329.5441894999999</v>
      </c>
      <c r="I1298">
        <v>1334.3015137</v>
      </c>
      <c r="J1298">
        <v>1332.9406738</v>
      </c>
      <c r="K1298">
        <v>0</v>
      </c>
      <c r="L1298">
        <v>550</v>
      </c>
      <c r="M1298">
        <v>550</v>
      </c>
      <c r="N1298">
        <v>0</v>
      </c>
    </row>
    <row r="1299" spans="1:14" x14ac:dyDescent="0.25">
      <c r="A1299">
        <v>1319.915757</v>
      </c>
      <c r="B1299" s="1">
        <f>DATE(2013,12,10) + TIME(21,58,41)</f>
        <v>41618.915752314817</v>
      </c>
      <c r="C1299">
        <v>80</v>
      </c>
      <c r="D1299">
        <v>77.369522094999994</v>
      </c>
      <c r="E1299">
        <v>50</v>
      </c>
      <c r="F1299">
        <v>49.946685791</v>
      </c>
      <c r="G1299">
        <v>1330.1192627</v>
      </c>
      <c r="H1299">
        <v>1329.4981689000001</v>
      </c>
      <c r="I1299">
        <v>1334.3010254000001</v>
      </c>
      <c r="J1299">
        <v>1332.9394531</v>
      </c>
      <c r="K1299">
        <v>0</v>
      </c>
      <c r="L1299">
        <v>550</v>
      </c>
      <c r="M1299">
        <v>550</v>
      </c>
      <c r="N1299">
        <v>0</v>
      </c>
    </row>
    <row r="1300" spans="1:14" x14ac:dyDescent="0.25">
      <c r="A1300">
        <v>1322.146346</v>
      </c>
      <c r="B1300" s="1">
        <f>DATE(2013,12,13) + TIME(3,30,44)</f>
        <v>41621.14634259259</v>
      </c>
      <c r="C1300">
        <v>80</v>
      </c>
      <c r="D1300">
        <v>77.217460631999998</v>
      </c>
      <c r="E1300">
        <v>50</v>
      </c>
      <c r="F1300">
        <v>49.946540833</v>
      </c>
      <c r="G1300">
        <v>1330.0850829999999</v>
      </c>
      <c r="H1300">
        <v>1329.4516602000001</v>
      </c>
      <c r="I1300">
        <v>1334.3005370999999</v>
      </c>
      <c r="J1300">
        <v>1332.9383545000001</v>
      </c>
      <c r="K1300">
        <v>0</v>
      </c>
      <c r="L1300">
        <v>550</v>
      </c>
      <c r="M1300">
        <v>550</v>
      </c>
      <c r="N1300">
        <v>0</v>
      </c>
    </row>
    <row r="1301" spans="1:14" x14ac:dyDescent="0.25">
      <c r="A1301">
        <v>1324.464884</v>
      </c>
      <c r="B1301" s="1">
        <f>DATE(2013,12,15) + TIME(11,9,25)</f>
        <v>41623.464872685188</v>
      </c>
      <c r="C1301">
        <v>80</v>
      </c>
      <c r="D1301">
        <v>77.056343079000001</v>
      </c>
      <c r="E1301">
        <v>50</v>
      </c>
      <c r="F1301">
        <v>49.946430206000002</v>
      </c>
      <c r="G1301">
        <v>1330.0506591999999</v>
      </c>
      <c r="H1301">
        <v>1329.4047852000001</v>
      </c>
      <c r="I1301">
        <v>1334.2999268000001</v>
      </c>
      <c r="J1301">
        <v>1332.9372559000001</v>
      </c>
      <c r="K1301">
        <v>0</v>
      </c>
      <c r="L1301">
        <v>550</v>
      </c>
      <c r="M1301">
        <v>550</v>
      </c>
      <c r="N1301">
        <v>0</v>
      </c>
    </row>
    <row r="1302" spans="1:14" x14ac:dyDescent="0.25">
      <c r="A1302">
        <v>1326.893147</v>
      </c>
      <c r="B1302" s="1">
        <f>DATE(2013,12,17) + TIME(21,26,7)</f>
        <v>41625.893136574072</v>
      </c>
      <c r="C1302">
        <v>80</v>
      </c>
      <c r="D1302">
        <v>76.884857178000004</v>
      </c>
      <c r="E1302">
        <v>50</v>
      </c>
      <c r="F1302">
        <v>49.946353911999999</v>
      </c>
      <c r="G1302">
        <v>1330.0159911999999</v>
      </c>
      <c r="H1302">
        <v>1329.3575439000001</v>
      </c>
      <c r="I1302">
        <v>1334.2991943</v>
      </c>
      <c r="J1302">
        <v>1332.9360352000001</v>
      </c>
      <c r="K1302">
        <v>0</v>
      </c>
      <c r="L1302">
        <v>550</v>
      </c>
      <c r="M1302">
        <v>550</v>
      </c>
      <c r="N1302">
        <v>0</v>
      </c>
    </row>
    <row r="1303" spans="1:14" x14ac:dyDescent="0.25">
      <c r="A1303">
        <v>1329.4571209999999</v>
      </c>
      <c r="B1303" s="1">
        <f>DATE(2013,12,20) + TIME(10,58,15)</f>
        <v>41628.457118055558</v>
      </c>
      <c r="C1303">
        <v>80</v>
      </c>
      <c r="D1303">
        <v>76.701232910000002</v>
      </c>
      <c r="E1303">
        <v>50</v>
      </c>
      <c r="F1303">
        <v>49.946300506999997</v>
      </c>
      <c r="G1303">
        <v>1329.9805908000001</v>
      </c>
      <c r="H1303">
        <v>1329.3095702999999</v>
      </c>
      <c r="I1303">
        <v>1334.2984618999999</v>
      </c>
      <c r="J1303">
        <v>1332.9349365</v>
      </c>
      <c r="K1303">
        <v>0</v>
      </c>
      <c r="L1303">
        <v>550</v>
      </c>
      <c r="M1303">
        <v>550</v>
      </c>
      <c r="N1303">
        <v>0</v>
      </c>
    </row>
    <row r="1304" spans="1:14" x14ac:dyDescent="0.25">
      <c r="A1304">
        <v>1332.1630319999999</v>
      </c>
      <c r="B1304" s="1">
        <f>DATE(2013,12,23) + TIME(3,54,45)</f>
        <v>41631.16302083333</v>
      </c>
      <c r="C1304">
        <v>80</v>
      </c>
      <c r="D1304">
        <v>76.504188537999994</v>
      </c>
      <c r="E1304">
        <v>50</v>
      </c>
      <c r="F1304">
        <v>49.946262359999999</v>
      </c>
      <c r="G1304">
        <v>1329.9445800999999</v>
      </c>
      <c r="H1304">
        <v>1329.2608643000001</v>
      </c>
      <c r="I1304">
        <v>1334.2976074000001</v>
      </c>
      <c r="J1304">
        <v>1332.9339600000001</v>
      </c>
      <c r="K1304">
        <v>0</v>
      </c>
      <c r="L1304">
        <v>550</v>
      </c>
      <c r="M1304">
        <v>550</v>
      </c>
      <c r="N1304">
        <v>0</v>
      </c>
    </row>
    <row r="1305" spans="1:14" x14ac:dyDescent="0.25">
      <c r="A1305">
        <v>1334.972612</v>
      </c>
      <c r="B1305" s="1">
        <f>DATE(2013,12,25) + TIME(23,20,33)</f>
        <v>41633.972604166665</v>
      </c>
      <c r="C1305">
        <v>80</v>
      </c>
      <c r="D1305">
        <v>76.294303893999995</v>
      </c>
      <c r="E1305">
        <v>50</v>
      </c>
      <c r="F1305">
        <v>49.946235657000003</v>
      </c>
      <c r="G1305">
        <v>1329.9077147999999</v>
      </c>
      <c r="H1305">
        <v>1329.2110596</v>
      </c>
      <c r="I1305">
        <v>1334.2967529</v>
      </c>
      <c r="J1305">
        <v>1332.9328613</v>
      </c>
      <c r="K1305">
        <v>0</v>
      </c>
      <c r="L1305">
        <v>550</v>
      </c>
      <c r="M1305">
        <v>550</v>
      </c>
      <c r="N1305">
        <v>0</v>
      </c>
    </row>
    <row r="1306" spans="1:14" x14ac:dyDescent="0.25">
      <c r="A1306">
        <v>1337.928952</v>
      </c>
      <c r="B1306" s="1">
        <f>DATE(2013,12,28) + TIME(22,17,41)</f>
        <v>41636.928946759261</v>
      </c>
      <c r="C1306">
        <v>80</v>
      </c>
      <c r="D1306">
        <v>76.069900512999993</v>
      </c>
      <c r="E1306">
        <v>50</v>
      </c>
      <c r="F1306">
        <v>49.946220398000001</v>
      </c>
      <c r="G1306">
        <v>1329.8703613</v>
      </c>
      <c r="H1306">
        <v>1329.1608887</v>
      </c>
      <c r="I1306">
        <v>1334.2958983999999</v>
      </c>
      <c r="J1306">
        <v>1332.9318848</v>
      </c>
      <c r="K1306">
        <v>0</v>
      </c>
      <c r="L1306">
        <v>550</v>
      </c>
      <c r="M1306">
        <v>550</v>
      </c>
      <c r="N1306">
        <v>0</v>
      </c>
    </row>
    <row r="1307" spans="1:14" x14ac:dyDescent="0.25">
      <c r="A1307">
        <v>1341</v>
      </c>
      <c r="B1307" s="1">
        <f>DATE(2014,1,1) + TIME(0,0,0)</f>
        <v>41640</v>
      </c>
      <c r="C1307">
        <v>80</v>
      </c>
      <c r="D1307">
        <v>75.831260681000003</v>
      </c>
      <c r="E1307">
        <v>50</v>
      </c>
      <c r="F1307">
        <v>49.946205139</v>
      </c>
      <c r="G1307">
        <v>1329.8325195</v>
      </c>
      <c r="H1307">
        <v>1329.1098632999999</v>
      </c>
      <c r="I1307">
        <v>1334.2949219</v>
      </c>
      <c r="J1307">
        <v>1332.9309082</v>
      </c>
      <c r="K1307">
        <v>0</v>
      </c>
      <c r="L1307">
        <v>550</v>
      </c>
      <c r="M1307">
        <v>550</v>
      </c>
      <c r="N1307">
        <v>0</v>
      </c>
    </row>
    <row r="1308" spans="1:14" x14ac:dyDescent="0.25">
      <c r="A1308">
        <v>1344.143742</v>
      </c>
      <c r="B1308" s="1">
        <f>DATE(2014,1,4) + TIME(3,26,59)</f>
        <v>41643.143738425926</v>
      </c>
      <c r="C1308">
        <v>80</v>
      </c>
      <c r="D1308">
        <v>75.580047606999997</v>
      </c>
      <c r="E1308">
        <v>50</v>
      </c>
      <c r="F1308">
        <v>49.946189879999999</v>
      </c>
      <c r="G1308">
        <v>1329.7943115</v>
      </c>
      <c r="H1308">
        <v>1329.0585937999999</v>
      </c>
      <c r="I1308">
        <v>1334.2939452999999</v>
      </c>
      <c r="J1308">
        <v>1332.9300536999999</v>
      </c>
      <c r="K1308">
        <v>0</v>
      </c>
      <c r="L1308">
        <v>550</v>
      </c>
      <c r="M1308">
        <v>550</v>
      </c>
      <c r="N1308">
        <v>0</v>
      </c>
    </row>
    <row r="1309" spans="1:14" x14ac:dyDescent="0.25">
      <c r="A1309">
        <v>1347.441409</v>
      </c>
      <c r="B1309" s="1">
        <f>DATE(2014,1,7) + TIME(10,35,37)</f>
        <v>41646.441400462965</v>
      </c>
      <c r="C1309">
        <v>80</v>
      </c>
      <c r="D1309">
        <v>75.314163207999997</v>
      </c>
      <c r="E1309">
        <v>50</v>
      </c>
      <c r="F1309">
        <v>49.946178435999997</v>
      </c>
      <c r="G1309">
        <v>1329.7563477000001</v>
      </c>
      <c r="H1309">
        <v>1329.0074463000001</v>
      </c>
      <c r="I1309">
        <v>1334.2929687999999</v>
      </c>
      <c r="J1309">
        <v>1332.9291992000001</v>
      </c>
      <c r="K1309">
        <v>0</v>
      </c>
      <c r="L1309">
        <v>550</v>
      </c>
      <c r="M1309">
        <v>550</v>
      </c>
      <c r="N1309">
        <v>0</v>
      </c>
    </row>
    <row r="1310" spans="1:14" x14ac:dyDescent="0.25">
      <c r="A1310">
        <v>1350.848573</v>
      </c>
      <c r="B1310" s="1">
        <f>DATE(2014,1,10) + TIME(20,21,56)</f>
        <v>41649.848564814813</v>
      </c>
      <c r="C1310">
        <v>80</v>
      </c>
      <c r="D1310">
        <v>75.033836364999999</v>
      </c>
      <c r="E1310">
        <v>50</v>
      </c>
      <c r="F1310">
        <v>49.946163177000003</v>
      </c>
      <c r="G1310">
        <v>1329.7180175999999</v>
      </c>
      <c r="H1310">
        <v>1328.9560547000001</v>
      </c>
      <c r="I1310">
        <v>1334.2918701000001</v>
      </c>
      <c r="J1310">
        <v>1332.9284668</v>
      </c>
      <c r="K1310">
        <v>0</v>
      </c>
      <c r="L1310">
        <v>550</v>
      </c>
      <c r="M1310">
        <v>550</v>
      </c>
      <c r="N1310">
        <v>0</v>
      </c>
    </row>
    <row r="1311" spans="1:14" x14ac:dyDescent="0.25">
      <c r="A1311">
        <v>1354.4034469999999</v>
      </c>
      <c r="B1311" s="1">
        <f>DATE(2014,1,14) + TIME(9,40,57)</f>
        <v>41653.403437499997</v>
      </c>
      <c r="C1311">
        <v>80</v>
      </c>
      <c r="D1311">
        <v>74.737709045000003</v>
      </c>
      <c r="E1311">
        <v>50</v>
      </c>
      <c r="F1311">
        <v>49.946147918999998</v>
      </c>
      <c r="G1311">
        <v>1329.6795654</v>
      </c>
      <c r="H1311">
        <v>1328.9046631000001</v>
      </c>
      <c r="I1311">
        <v>1334.2908935999999</v>
      </c>
      <c r="J1311">
        <v>1332.9278564000001</v>
      </c>
      <c r="K1311">
        <v>0</v>
      </c>
      <c r="L1311">
        <v>550</v>
      </c>
      <c r="M1311">
        <v>550</v>
      </c>
      <c r="N1311">
        <v>0</v>
      </c>
    </row>
    <row r="1312" spans="1:14" x14ac:dyDescent="0.25">
      <c r="A1312">
        <v>1358.148306</v>
      </c>
      <c r="B1312" s="1">
        <f>DATE(2014,1,18) + TIME(3,33,33)</f>
        <v>41657.148298611108</v>
      </c>
      <c r="C1312">
        <v>80</v>
      </c>
      <c r="D1312">
        <v>74.423545837000006</v>
      </c>
      <c r="E1312">
        <v>50</v>
      </c>
      <c r="F1312">
        <v>49.946128844999997</v>
      </c>
      <c r="G1312">
        <v>1329.6409911999999</v>
      </c>
      <c r="H1312">
        <v>1328.8530272999999</v>
      </c>
      <c r="I1312">
        <v>1334.2897949000001</v>
      </c>
      <c r="J1312">
        <v>1332.9272461</v>
      </c>
      <c r="K1312">
        <v>0</v>
      </c>
      <c r="L1312">
        <v>550</v>
      </c>
      <c r="M1312">
        <v>550</v>
      </c>
      <c r="N1312">
        <v>0</v>
      </c>
    </row>
    <row r="1313" spans="1:14" x14ac:dyDescent="0.25">
      <c r="A1313">
        <v>1362.134043</v>
      </c>
      <c r="B1313" s="1">
        <f>DATE(2014,1,22) + TIME(3,13,1)</f>
        <v>41661.134039351855</v>
      </c>
      <c r="C1313">
        <v>80</v>
      </c>
      <c r="D1313">
        <v>74.087997436999999</v>
      </c>
      <c r="E1313">
        <v>50</v>
      </c>
      <c r="F1313">
        <v>49.946105957</v>
      </c>
      <c r="G1313">
        <v>1329.6020507999999</v>
      </c>
      <c r="H1313">
        <v>1328.8010254000001</v>
      </c>
      <c r="I1313">
        <v>1334.2886963000001</v>
      </c>
      <c r="J1313">
        <v>1332.9267577999999</v>
      </c>
      <c r="K1313">
        <v>0</v>
      </c>
      <c r="L1313">
        <v>550</v>
      </c>
      <c r="M1313">
        <v>550</v>
      </c>
      <c r="N1313">
        <v>0</v>
      </c>
    </row>
    <row r="1314" spans="1:14" x14ac:dyDescent="0.25">
      <c r="A1314">
        <v>1366.234342</v>
      </c>
      <c r="B1314" s="1">
        <f>DATE(2014,1,26) + TIME(5,37,27)</f>
        <v>41665.234340277777</v>
      </c>
      <c r="C1314">
        <v>80</v>
      </c>
      <c r="D1314">
        <v>73.732963561999995</v>
      </c>
      <c r="E1314">
        <v>50</v>
      </c>
      <c r="F1314">
        <v>49.946083068999997</v>
      </c>
      <c r="G1314">
        <v>1329.5622559000001</v>
      </c>
      <c r="H1314">
        <v>1328.7481689000001</v>
      </c>
      <c r="I1314">
        <v>1334.2874756000001</v>
      </c>
      <c r="J1314">
        <v>1332.9263916</v>
      </c>
      <c r="K1314">
        <v>0</v>
      </c>
      <c r="L1314">
        <v>550</v>
      </c>
      <c r="M1314">
        <v>550</v>
      </c>
      <c r="N1314">
        <v>0</v>
      </c>
    </row>
    <row r="1315" spans="1:14" x14ac:dyDescent="0.25">
      <c r="A1315">
        <v>1370.424088</v>
      </c>
      <c r="B1315" s="1">
        <f>DATE(2014,1,30) + TIME(10,10,41)</f>
        <v>41669.424085648148</v>
      </c>
      <c r="C1315">
        <v>80</v>
      </c>
      <c r="D1315">
        <v>73.362403869999994</v>
      </c>
      <c r="E1315">
        <v>50</v>
      </c>
      <c r="F1315">
        <v>49.946056366000001</v>
      </c>
      <c r="G1315">
        <v>1329.5225829999999</v>
      </c>
      <c r="H1315">
        <v>1328.6953125</v>
      </c>
      <c r="I1315">
        <v>1334.2862548999999</v>
      </c>
      <c r="J1315">
        <v>1332.9260254000001</v>
      </c>
      <c r="K1315">
        <v>0</v>
      </c>
      <c r="L1315">
        <v>550</v>
      </c>
      <c r="M1315">
        <v>550</v>
      </c>
      <c r="N1315">
        <v>0</v>
      </c>
    </row>
    <row r="1316" spans="1:14" x14ac:dyDescent="0.25">
      <c r="A1316">
        <v>1372</v>
      </c>
      <c r="B1316" s="1">
        <f>DATE(2014,2,1) + TIME(0,0,0)</f>
        <v>41671</v>
      </c>
      <c r="C1316">
        <v>80</v>
      </c>
      <c r="D1316">
        <v>73.131126404</v>
      </c>
      <c r="E1316">
        <v>50</v>
      </c>
      <c r="F1316">
        <v>49.946037292</v>
      </c>
      <c r="G1316">
        <v>1329.4840088000001</v>
      </c>
      <c r="H1316">
        <v>1328.6452637</v>
      </c>
      <c r="I1316">
        <v>1334.2850341999999</v>
      </c>
      <c r="J1316">
        <v>1332.9256591999999</v>
      </c>
      <c r="K1316">
        <v>0</v>
      </c>
      <c r="L1316">
        <v>550</v>
      </c>
      <c r="M1316">
        <v>550</v>
      </c>
      <c r="N1316">
        <v>0</v>
      </c>
    </row>
    <row r="1317" spans="1:14" x14ac:dyDescent="0.25">
      <c r="A1317">
        <v>1376.321514</v>
      </c>
      <c r="B1317" s="1">
        <f>DATE(2014,2,5) + TIME(7,42,58)</f>
        <v>41675.321504629632</v>
      </c>
      <c r="C1317">
        <v>80</v>
      </c>
      <c r="D1317">
        <v>72.797706603999998</v>
      </c>
      <c r="E1317">
        <v>50</v>
      </c>
      <c r="F1317">
        <v>49.946014404000003</v>
      </c>
      <c r="G1317">
        <v>1329.4641113</v>
      </c>
      <c r="H1317">
        <v>1328.614624</v>
      </c>
      <c r="I1317">
        <v>1334.284668</v>
      </c>
      <c r="J1317">
        <v>1332.9255370999999</v>
      </c>
      <c r="K1317">
        <v>0</v>
      </c>
      <c r="L1317">
        <v>550</v>
      </c>
      <c r="M1317">
        <v>550</v>
      </c>
      <c r="N1317">
        <v>0</v>
      </c>
    </row>
    <row r="1318" spans="1:14" x14ac:dyDescent="0.25">
      <c r="A1318">
        <v>1380.9076600000001</v>
      </c>
      <c r="B1318" s="1">
        <f>DATE(2014,2,9) + TIME(21,47,1)</f>
        <v>41679.907650462963</v>
      </c>
      <c r="C1318">
        <v>80</v>
      </c>
      <c r="D1318">
        <v>72.412002563000001</v>
      </c>
      <c r="E1318">
        <v>50</v>
      </c>
      <c r="F1318">
        <v>49.945980071999998</v>
      </c>
      <c r="G1318">
        <v>1329.4287108999999</v>
      </c>
      <c r="H1318">
        <v>1328.5689697</v>
      </c>
      <c r="I1318">
        <v>1334.2834473</v>
      </c>
      <c r="J1318">
        <v>1332.9254149999999</v>
      </c>
      <c r="K1318">
        <v>0</v>
      </c>
      <c r="L1318">
        <v>550</v>
      </c>
      <c r="M1318">
        <v>550</v>
      </c>
      <c r="N1318">
        <v>0</v>
      </c>
    </row>
    <row r="1319" spans="1:14" x14ac:dyDescent="0.25">
      <c r="A1319">
        <v>1385.6673450000001</v>
      </c>
      <c r="B1319" s="1">
        <f>DATE(2014,2,14) + TIME(16,0,58)</f>
        <v>41684.667337962965</v>
      </c>
      <c r="C1319">
        <v>80</v>
      </c>
      <c r="D1319">
        <v>71.992355347</v>
      </c>
      <c r="E1319">
        <v>50</v>
      </c>
      <c r="F1319">
        <v>49.945941925</v>
      </c>
      <c r="G1319">
        <v>1329.3913574000001</v>
      </c>
      <c r="H1319">
        <v>1328.5198975000001</v>
      </c>
      <c r="I1319">
        <v>1334.2821045000001</v>
      </c>
      <c r="J1319">
        <v>1332.925293</v>
      </c>
      <c r="K1319">
        <v>0</v>
      </c>
      <c r="L1319">
        <v>550</v>
      </c>
      <c r="M1319">
        <v>550</v>
      </c>
      <c r="N1319">
        <v>0</v>
      </c>
    </row>
    <row r="1320" spans="1:14" x14ac:dyDescent="0.25">
      <c r="A1320">
        <v>1390.5300520000001</v>
      </c>
      <c r="B1320" s="1">
        <f>DATE(2014,2,19) + TIME(12,43,16)</f>
        <v>41689.530046296299</v>
      </c>
      <c r="C1320">
        <v>80</v>
      </c>
      <c r="D1320">
        <v>71.550819396999998</v>
      </c>
      <c r="E1320">
        <v>50</v>
      </c>
      <c r="F1320">
        <v>49.945899963000002</v>
      </c>
      <c r="G1320">
        <v>1329.3532714999999</v>
      </c>
      <c r="H1320">
        <v>1328.4696045000001</v>
      </c>
      <c r="I1320">
        <v>1334.2807617000001</v>
      </c>
      <c r="J1320">
        <v>1332.925293</v>
      </c>
      <c r="K1320">
        <v>0</v>
      </c>
      <c r="L1320">
        <v>550</v>
      </c>
      <c r="M1320">
        <v>550</v>
      </c>
      <c r="N1320">
        <v>0</v>
      </c>
    </row>
    <row r="1321" spans="1:14" x14ac:dyDescent="0.25">
      <c r="A1321">
        <v>1395.485013</v>
      </c>
      <c r="B1321" s="1">
        <f>DATE(2014,2,24) + TIME(11,38,25)</f>
        <v>41694.485011574077</v>
      </c>
      <c r="C1321">
        <v>80</v>
      </c>
      <c r="D1321">
        <v>71.094390868999994</v>
      </c>
      <c r="E1321">
        <v>50</v>
      </c>
      <c r="F1321">
        <v>49.945858002000001</v>
      </c>
      <c r="G1321">
        <v>1329.3155518000001</v>
      </c>
      <c r="H1321">
        <v>1328.4194336</v>
      </c>
      <c r="I1321">
        <v>1334.2794189000001</v>
      </c>
      <c r="J1321">
        <v>1332.925293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1400</v>
      </c>
      <c r="B1322" s="1">
        <f>DATE(2014,3,1) + TIME(0,0,0)</f>
        <v>41699</v>
      </c>
      <c r="C1322">
        <v>80</v>
      </c>
      <c r="D1322">
        <v>70.644042968999997</v>
      </c>
      <c r="E1322">
        <v>50</v>
      </c>
      <c r="F1322">
        <v>49.945812224999997</v>
      </c>
      <c r="G1322">
        <v>1329.2785644999999</v>
      </c>
      <c r="H1322">
        <v>1328.3703613</v>
      </c>
      <c r="I1322">
        <v>1334.2779541</v>
      </c>
      <c r="J1322">
        <v>1332.925293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1405.09735</v>
      </c>
      <c r="B1323" s="1">
        <f>DATE(2014,3,6) + TIME(2,20,11)</f>
        <v>41704.097349537034</v>
      </c>
      <c r="C1323">
        <v>80</v>
      </c>
      <c r="D1323">
        <v>70.188148498999993</v>
      </c>
      <c r="E1323">
        <v>50</v>
      </c>
      <c r="F1323">
        <v>49.945770263999997</v>
      </c>
      <c r="G1323">
        <v>1329.2448730000001</v>
      </c>
      <c r="H1323">
        <v>1328.3245850000001</v>
      </c>
      <c r="I1323">
        <v>1334.2767334</v>
      </c>
      <c r="J1323">
        <v>1332.9254149999999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1410.641259</v>
      </c>
      <c r="B1324" s="1">
        <f>DATE(2014,3,11) + TIME(15,23,24)</f>
        <v>41709.641250000001</v>
      </c>
      <c r="C1324">
        <v>80</v>
      </c>
      <c r="D1324">
        <v>69.699172974000007</v>
      </c>
      <c r="E1324">
        <v>50</v>
      </c>
      <c r="F1324">
        <v>49.945724487</v>
      </c>
      <c r="G1324">
        <v>1329.2105713000001</v>
      </c>
      <c r="H1324">
        <v>1328.2791748</v>
      </c>
      <c r="I1324">
        <v>1334.2752685999999</v>
      </c>
      <c r="J1324">
        <v>1332.9255370999999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1416.2814699999999</v>
      </c>
      <c r="B1325" s="1">
        <f>DATE(2014,3,17) + TIME(6,45,18)</f>
        <v>41715.281458333331</v>
      </c>
      <c r="C1325">
        <v>80</v>
      </c>
      <c r="D1325">
        <v>69.180557250999996</v>
      </c>
      <c r="E1325">
        <v>50</v>
      </c>
      <c r="F1325">
        <v>49.945671081999997</v>
      </c>
      <c r="G1325">
        <v>1329.175293</v>
      </c>
      <c r="H1325">
        <v>1328.2327881000001</v>
      </c>
      <c r="I1325">
        <v>1334.2736815999999</v>
      </c>
      <c r="J1325">
        <v>1332.9256591999999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1422.05303</v>
      </c>
      <c r="B1326" s="1">
        <f>DATE(2014,3,23) + TIME(1,16,21)</f>
        <v>41721.053020833337</v>
      </c>
      <c r="C1326">
        <v>80</v>
      </c>
      <c r="D1326">
        <v>68.645690918</v>
      </c>
      <c r="E1326">
        <v>50</v>
      </c>
      <c r="F1326">
        <v>49.945621490000001</v>
      </c>
      <c r="G1326">
        <v>1329.1405029</v>
      </c>
      <c r="H1326">
        <v>1328.1865233999999</v>
      </c>
      <c r="I1326">
        <v>1334.2720947</v>
      </c>
      <c r="J1326">
        <v>1332.9259033000001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1428.021553</v>
      </c>
      <c r="B1327" s="1">
        <f>DATE(2014,3,29) + TIME(0,31,2)</f>
        <v>41727.021550925929</v>
      </c>
      <c r="C1327">
        <v>80</v>
      </c>
      <c r="D1327">
        <v>68.096008300999998</v>
      </c>
      <c r="E1327">
        <v>50</v>
      </c>
      <c r="F1327">
        <v>49.945568084999998</v>
      </c>
      <c r="G1327">
        <v>1329.1064452999999</v>
      </c>
      <c r="H1327">
        <v>1328.1411132999999</v>
      </c>
      <c r="I1327">
        <v>1334.2703856999999</v>
      </c>
      <c r="J1327">
        <v>1332.9261475000001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1431</v>
      </c>
      <c r="B1328" s="1">
        <f>DATE(2014,4,1) + TIME(0,0,0)</f>
        <v>41730</v>
      </c>
      <c r="C1328">
        <v>80</v>
      </c>
      <c r="D1328">
        <v>67.662399292000003</v>
      </c>
      <c r="E1328">
        <v>50</v>
      </c>
      <c r="F1328">
        <v>49.945518493999998</v>
      </c>
      <c r="G1328">
        <v>1329.0729980000001</v>
      </c>
      <c r="H1328">
        <v>1328.0980225000001</v>
      </c>
      <c r="I1328">
        <v>1334.2686768000001</v>
      </c>
      <c r="J1328">
        <v>1332.9262695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1437.2417049999999</v>
      </c>
      <c r="B1329" s="1">
        <f>DATE(2014,4,7) + TIME(5,48,3)</f>
        <v>41736.241701388892</v>
      </c>
      <c r="C1329">
        <v>80</v>
      </c>
      <c r="D1329">
        <v>67.201911925999994</v>
      </c>
      <c r="E1329">
        <v>50</v>
      </c>
      <c r="F1329">
        <v>49.945480347</v>
      </c>
      <c r="G1329">
        <v>1329.0527344</v>
      </c>
      <c r="H1329">
        <v>1328.0666504000001</v>
      </c>
      <c r="I1329">
        <v>1334.2678223</v>
      </c>
      <c r="J1329">
        <v>1332.9263916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1443.748924</v>
      </c>
      <c r="B1330" s="1">
        <f>DATE(2014,4,13) + TIME(17,58,27)</f>
        <v>41742.748923611114</v>
      </c>
      <c r="C1330">
        <v>80</v>
      </c>
      <c r="D1330">
        <v>66.642448424999998</v>
      </c>
      <c r="E1330">
        <v>50</v>
      </c>
      <c r="F1330">
        <v>49.945430756</v>
      </c>
      <c r="G1330">
        <v>1329.0240478999999</v>
      </c>
      <c r="H1330">
        <v>1328.0303954999999</v>
      </c>
      <c r="I1330">
        <v>1334.2659911999999</v>
      </c>
      <c r="J1330">
        <v>1332.9267577999999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1450.481174</v>
      </c>
      <c r="B1331" s="1">
        <f>DATE(2014,4,20) + TIME(11,32,53)</f>
        <v>41749.481168981481</v>
      </c>
      <c r="C1331">
        <v>80</v>
      </c>
      <c r="D1331">
        <v>66.042266846000004</v>
      </c>
      <c r="E1331">
        <v>50</v>
      </c>
      <c r="F1331">
        <v>49.945377350000001</v>
      </c>
      <c r="G1331">
        <v>1328.9937743999999</v>
      </c>
      <c r="H1331">
        <v>1327.9908447</v>
      </c>
      <c r="I1331">
        <v>1334.2640381000001</v>
      </c>
      <c r="J1331">
        <v>1332.9270019999999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1457.5202899999999</v>
      </c>
      <c r="B1332" s="1">
        <f>DATE(2014,4,27) + TIME(12,29,13)</f>
        <v>41756.520289351851</v>
      </c>
      <c r="C1332">
        <v>80</v>
      </c>
      <c r="D1332">
        <v>65.417724609000004</v>
      </c>
      <c r="E1332">
        <v>50</v>
      </c>
      <c r="F1332">
        <v>49.945320129000002</v>
      </c>
      <c r="G1332">
        <v>1328.9637451000001</v>
      </c>
      <c r="H1332">
        <v>1327.9510498</v>
      </c>
      <c r="I1332">
        <v>1334.2620850000001</v>
      </c>
      <c r="J1332">
        <v>1332.9272461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1461</v>
      </c>
      <c r="B1333" s="1">
        <f>DATE(2014,5,1) + TIME(0,0,0)</f>
        <v>41760</v>
      </c>
      <c r="C1333">
        <v>80</v>
      </c>
      <c r="D1333">
        <v>64.911705017000003</v>
      </c>
      <c r="E1333">
        <v>50</v>
      </c>
      <c r="F1333">
        <v>49.945266724</v>
      </c>
      <c r="G1333">
        <v>1328.9339600000001</v>
      </c>
      <c r="H1333">
        <v>1327.9129639</v>
      </c>
      <c r="I1333">
        <v>1334.2600098</v>
      </c>
      <c r="J1333">
        <v>1332.9273682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1461.0000010000001</v>
      </c>
      <c r="B1334" s="1">
        <f>DATE(2014,5,1) + TIME(0,0,0)</f>
        <v>41760</v>
      </c>
      <c r="C1334">
        <v>80</v>
      </c>
      <c r="D1334">
        <v>64.911743164000001</v>
      </c>
      <c r="E1334">
        <v>50</v>
      </c>
      <c r="F1334">
        <v>49.945243834999999</v>
      </c>
      <c r="G1334">
        <v>1330.394043</v>
      </c>
      <c r="H1334">
        <v>1329.1987305</v>
      </c>
      <c r="I1334">
        <v>1332.7531738</v>
      </c>
      <c r="J1334">
        <v>1332.3187256000001</v>
      </c>
      <c r="K1334">
        <v>550</v>
      </c>
      <c r="L1334">
        <v>0</v>
      </c>
      <c r="M1334">
        <v>0</v>
      </c>
      <c r="N1334">
        <v>550</v>
      </c>
    </row>
    <row r="1335" spans="1:14" x14ac:dyDescent="0.25">
      <c r="A1335">
        <v>1461.000004</v>
      </c>
      <c r="B1335" s="1">
        <f>DATE(2014,5,1) + TIME(0,0,0)</f>
        <v>41760</v>
      </c>
      <c r="C1335">
        <v>80</v>
      </c>
      <c r="D1335">
        <v>64.911827087000006</v>
      </c>
      <c r="E1335">
        <v>50</v>
      </c>
      <c r="F1335">
        <v>49.945198058999999</v>
      </c>
      <c r="G1335">
        <v>1330.7869873</v>
      </c>
      <c r="H1335">
        <v>1329.6634521000001</v>
      </c>
      <c r="I1335">
        <v>1332.4113769999999</v>
      </c>
      <c r="J1335">
        <v>1331.9747314000001</v>
      </c>
      <c r="K1335">
        <v>550</v>
      </c>
      <c r="L1335">
        <v>0</v>
      </c>
      <c r="M1335">
        <v>0</v>
      </c>
      <c r="N1335">
        <v>550</v>
      </c>
    </row>
    <row r="1336" spans="1:14" x14ac:dyDescent="0.25">
      <c r="A1336">
        <v>1461.0000130000001</v>
      </c>
      <c r="B1336" s="1">
        <f>DATE(2014,5,1) + TIME(0,0,1)</f>
        <v>41760.000011574077</v>
      </c>
      <c r="C1336">
        <v>80</v>
      </c>
      <c r="D1336">
        <v>64.911972046000002</v>
      </c>
      <c r="E1336">
        <v>50</v>
      </c>
      <c r="F1336">
        <v>49.945137023999997</v>
      </c>
      <c r="G1336">
        <v>1331.3714600000001</v>
      </c>
      <c r="H1336">
        <v>1330.2619629000001</v>
      </c>
      <c r="I1336">
        <v>1331.9274902</v>
      </c>
      <c r="J1336">
        <v>1331.4824219</v>
      </c>
      <c r="K1336">
        <v>550</v>
      </c>
      <c r="L1336">
        <v>0</v>
      </c>
      <c r="M1336">
        <v>0</v>
      </c>
      <c r="N1336">
        <v>550</v>
      </c>
    </row>
    <row r="1337" spans="1:14" x14ac:dyDescent="0.25">
      <c r="A1337">
        <v>1461.0000399999999</v>
      </c>
      <c r="B1337" s="1">
        <f>DATE(2014,5,1) + TIME(0,0,3)</f>
        <v>41760.000034722223</v>
      </c>
      <c r="C1337">
        <v>80</v>
      </c>
      <c r="D1337">
        <v>64.912239075000002</v>
      </c>
      <c r="E1337">
        <v>50</v>
      </c>
      <c r="F1337">
        <v>49.945072174000003</v>
      </c>
      <c r="G1337">
        <v>1332.0386963000001</v>
      </c>
      <c r="H1337">
        <v>1330.9017334</v>
      </c>
      <c r="I1337">
        <v>1331.3974608999999</v>
      </c>
      <c r="J1337">
        <v>1330.9388428</v>
      </c>
      <c r="K1337">
        <v>550</v>
      </c>
      <c r="L1337">
        <v>0</v>
      </c>
      <c r="M1337">
        <v>0</v>
      </c>
      <c r="N1337">
        <v>550</v>
      </c>
    </row>
    <row r="1338" spans="1:14" x14ac:dyDescent="0.25">
      <c r="A1338">
        <v>1461.000121</v>
      </c>
      <c r="B1338" s="1">
        <f>DATE(2014,5,1) + TIME(0,0,10)</f>
        <v>41760.000115740739</v>
      </c>
      <c r="C1338">
        <v>80</v>
      </c>
      <c r="D1338">
        <v>64.912887573000006</v>
      </c>
      <c r="E1338">
        <v>50</v>
      </c>
      <c r="F1338">
        <v>49.944999695</v>
      </c>
      <c r="G1338">
        <v>1332.7064209</v>
      </c>
      <c r="H1338">
        <v>1331.5394286999999</v>
      </c>
      <c r="I1338">
        <v>1330.8602295000001</v>
      </c>
      <c r="J1338">
        <v>1330.3769531</v>
      </c>
      <c r="K1338">
        <v>550</v>
      </c>
      <c r="L1338">
        <v>0</v>
      </c>
      <c r="M1338">
        <v>0</v>
      </c>
      <c r="N1338">
        <v>550</v>
      </c>
    </row>
    <row r="1339" spans="1:14" x14ac:dyDescent="0.25">
      <c r="A1339">
        <v>1461.000364</v>
      </c>
      <c r="B1339" s="1">
        <f>DATE(2014,5,1) + TIME(0,0,31)</f>
        <v>41760.000358796293</v>
      </c>
      <c r="C1339">
        <v>80</v>
      </c>
      <c r="D1339">
        <v>64.91468811</v>
      </c>
      <c r="E1339">
        <v>50</v>
      </c>
      <c r="F1339">
        <v>49.944923400999997</v>
      </c>
      <c r="G1339">
        <v>1333.3223877</v>
      </c>
      <c r="H1339">
        <v>1332.1265868999999</v>
      </c>
      <c r="I1339">
        <v>1330.3447266000001</v>
      </c>
      <c r="J1339">
        <v>1329.8204346</v>
      </c>
      <c r="K1339">
        <v>550</v>
      </c>
      <c r="L1339">
        <v>0</v>
      </c>
      <c r="M1339">
        <v>0</v>
      </c>
      <c r="N1339">
        <v>550</v>
      </c>
    </row>
    <row r="1340" spans="1:14" x14ac:dyDescent="0.25">
      <c r="A1340">
        <v>1461.0010930000001</v>
      </c>
      <c r="B1340" s="1">
        <f>DATE(2014,5,1) + TIME(0,1,34)</f>
        <v>41760.001087962963</v>
      </c>
      <c r="C1340">
        <v>80</v>
      </c>
      <c r="D1340">
        <v>64.920028686999999</v>
      </c>
      <c r="E1340">
        <v>50</v>
      </c>
      <c r="F1340">
        <v>49.944835662999999</v>
      </c>
      <c r="G1340">
        <v>1333.7869873</v>
      </c>
      <c r="H1340">
        <v>1332.567749</v>
      </c>
      <c r="I1340">
        <v>1329.9284668</v>
      </c>
      <c r="J1340">
        <v>1329.3610839999999</v>
      </c>
      <c r="K1340">
        <v>550</v>
      </c>
      <c r="L1340">
        <v>0</v>
      </c>
      <c r="M1340">
        <v>0</v>
      </c>
      <c r="N1340">
        <v>550</v>
      </c>
    </row>
    <row r="1341" spans="1:14" x14ac:dyDescent="0.25">
      <c r="A1341">
        <v>1461.0032799999999</v>
      </c>
      <c r="B1341" s="1">
        <f>DATE(2014,5,1) + TIME(0,4,43)</f>
        <v>41760.003275462965</v>
      </c>
      <c r="C1341">
        <v>80</v>
      </c>
      <c r="D1341">
        <v>64.936042786000002</v>
      </c>
      <c r="E1341">
        <v>50</v>
      </c>
      <c r="F1341">
        <v>49.944690704000003</v>
      </c>
      <c r="G1341">
        <v>1334.0499268000001</v>
      </c>
      <c r="H1341">
        <v>1332.8187256000001</v>
      </c>
      <c r="I1341">
        <v>1329.6617432</v>
      </c>
      <c r="J1341">
        <v>1329.0705565999999</v>
      </c>
      <c r="K1341">
        <v>550</v>
      </c>
      <c r="L1341">
        <v>0</v>
      </c>
      <c r="M1341">
        <v>0</v>
      </c>
      <c r="N1341">
        <v>550</v>
      </c>
    </row>
    <row r="1342" spans="1:14" x14ac:dyDescent="0.25">
      <c r="A1342">
        <v>1461.0098410000001</v>
      </c>
      <c r="B1342" s="1">
        <f>DATE(2014,5,1) + TIME(0,14,10)</f>
        <v>41760.009837962964</v>
      </c>
      <c r="C1342">
        <v>80</v>
      </c>
      <c r="D1342">
        <v>64.983993530000006</v>
      </c>
      <c r="E1342">
        <v>50</v>
      </c>
      <c r="F1342">
        <v>49.944339751999998</v>
      </c>
      <c r="G1342">
        <v>1334.1649170000001</v>
      </c>
      <c r="H1342">
        <v>1332.9307861</v>
      </c>
      <c r="I1342">
        <v>1329.5328368999999</v>
      </c>
      <c r="J1342">
        <v>1328.9344481999999</v>
      </c>
      <c r="K1342">
        <v>550</v>
      </c>
      <c r="L1342">
        <v>0</v>
      </c>
      <c r="M1342">
        <v>0</v>
      </c>
      <c r="N1342">
        <v>550</v>
      </c>
    </row>
    <row r="1343" spans="1:14" x14ac:dyDescent="0.25">
      <c r="A1343">
        <v>1461.029524</v>
      </c>
      <c r="B1343" s="1">
        <f>DATE(2014,5,1) + TIME(0,42,30)</f>
        <v>41760.029513888891</v>
      </c>
      <c r="C1343">
        <v>80</v>
      </c>
      <c r="D1343">
        <v>65.126564025999997</v>
      </c>
      <c r="E1343">
        <v>50</v>
      </c>
      <c r="F1343">
        <v>49.943328856999997</v>
      </c>
      <c r="G1343">
        <v>1334.2008057</v>
      </c>
      <c r="H1343">
        <v>1332.9680175999999</v>
      </c>
      <c r="I1343">
        <v>1329.4978027</v>
      </c>
      <c r="J1343">
        <v>1328.8977050999999</v>
      </c>
      <c r="K1343">
        <v>550</v>
      </c>
      <c r="L1343">
        <v>0</v>
      </c>
      <c r="M1343">
        <v>0</v>
      </c>
      <c r="N1343">
        <v>550</v>
      </c>
    </row>
    <row r="1344" spans="1:14" x14ac:dyDescent="0.25">
      <c r="A1344">
        <v>1461.088573</v>
      </c>
      <c r="B1344" s="1">
        <f>DATE(2014,5,1) + TIME(2,7,32)</f>
        <v>41760.088564814818</v>
      </c>
      <c r="C1344">
        <v>80</v>
      </c>
      <c r="D1344">
        <v>65.542449950999995</v>
      </c>
      <c r="E1344">
        <v>50</v>
      </c>
      <c r="F1344">
        <v>49.940341949</v>
      </c>
      <c r="G1344">
        <v>1334.2021483999999</v>
      </c>
      <c r="H1344">
        <v>1332.9750977000001</v>
      </c>
      <c r="I1344">
        <v>1329.4946289</v>
      </c>
      <c r="J1344">
        <v>1328.894043</v>
      </c>
      <c r="K1344">
        <v>550</v>
      </c>
      <c r="L1344">
        <v>0</v>
      </c>
      <c r="M1344">
        <v>0</v>
      </c>
      <c r="N1344">
        <v>550</v>
      </c>
    </row>
    <row r="1345" spans="1:14" x14ac:dyDescent="0.25">
      <c r="A1345">
        <v>1461.1752429999999</v>
      </c>
      <c r="B1345" s="1">
        <f>DATE(2014,5,1) + TIME(4,12,20)</f>
        <v>41760.17523148148</v>
      </c>
      <c r="C1345">
        <v>80</v>
      </c>
      <c r="D1345">
        <v>66.132690429999997</v>
      </c>
      <c r="E1345">
        <v>50</v>
      </c>
      <c r="F1345">
        <v>49.935997008999998</v>
      </c>
      <c r="G1345">
        <v>1334.2154541</v>
      </c>
      <c r="H1345">
        <v>1332.9876709</v>
      </c>
      <c r="I1345">
        <v>1329.4940185999999</v>
      </c>
      <c r="J1345">
        <v>1328.8924560999999</v>
      </c>
      <c r="K1345">
        <v>550</v>
      </c>
      <c r="L1345">
        <v>0</v>
      </c>
      <c r="M1345">
        <v>0</v>
      </c>
      <c r="N1345">
        <v>550</v>
      </c>
    </row>
    <row r="1346" spans="1:14" x14ac:dyDescent="0.25">
      <c r="A1346">
        <v>1461.263989</v>
      </c>
      <c r="B1346" s="1">
        <f>DATE(2014,5,1) + TIME(6,20,8)</f>
        <v>41760.263981481483</v>
      </c>
      <c r="C1346">
        <v>80</v>
      </c>
      <c r="D1346">
        <v>66.720031738000003</v>
      </c>
      <c r="E1346">
        <v>50</v>
      </c>
      <c r="F1346">
        <v>49.931564330999997</v>
      </c>
      <c r="G1346">
        <v>1334.2471923999999</v>
      </c>
      <c r="H1346">
        <v>1333.0107422000001</v>
      </c>
      <c r="I1346">
        <v>1329.4931641000001</v>
      </c>
      <c r="J1346">
        <v>1328.8902588000001</v>
      </c>
      <c r="K1346">
        <v>550</v>
      </c>
      <c r="L1346">
        <v>0</v>
      </c>
      <c r="M1346">
        <v>0</v>
      </c>
      <c r="N1346">
        <v>550</v>
      </c>
    </row>
    <row r="1347" spans="1:14" x14ac:dyDescent="0.25">
      <c r="A1347">
        <v>1461.3548960000001</v>
      </c>
      <c r="B1347" s="1">
        <f>DATE(2014,5,1) + TIME(8,31,2)</f>
        <v>41760.354884259257</v>
      </c>
      <c r="C1347">
        <v>80</v>
      </c>
      <c r="D1347">
        <v>67.303955078000001</v>
      </c>
      <c r="E1347">
        <v>50</v>
      </c>
      <c r="F1347">
        <v>49.927047729000002</v>
      </c>
      <c r="G1347">
        <v>1334.2807617000001</v>
      </c>
      <c r="H1347">
        <v>1333.0349120999999</v>
      </c>
      <c r="I1347">
        <v>1329.4923096</v>
      </c>
      <c r="J1347">
        <v>1328.8880615</v>
      </c>
      <c r="K1347">
        <v>550</v>
      </c>
      <c r="L1347">
        <v>0</v>
      </c>
      <c r="M1347">
        <v>0</v>
      </c>
      <c r="N1347">
        <v>550</v>
      </c>
    </row>
    <row r="1348" spans="1:14" x14ac:dyDescent="0.25">
      <c r="A1348">
        <v>1461.448063</v>
      </c>
      <c r="B1348" s="1">
        <f>DATE(2014,5,1) + TIME(10,45,12)</f>
        <v>41760.448055555556</v>
      </c>
      <c r="C1348">
        <v>80</v>
      </c>
      <c r="D1348">
        <v>67.883911132999998</v>
      </c>
      <c r="E1348">
        <v>50</v>
      </c>
      <c r="F1348">
        <v>49.922439574999999</v>
      </c>
      <c r="G1348">
        <v>1334.3161620999999</v>
      </c>
      <c r="H1348">
        <v>1333.0601807</v>
      </c>
      <c r="I1348">
        <v>1329.4914550999999</v>
      </c>
      <c r="J1348">
        <v>1328.8858643000001</v>
      </c>
      <c r="K1348">
        <v>550</v>
      </c>
      <c r="L1348">
        <v>0</v>
      </c>
      <c r="M1348">
        <v>0</v>
      </c>
      <c r="N1348">
        <v>550</v>
      </c>
    </row>
    <row r="1349" spans="1:14" x14ac:dyDescent="0.25">
      <c r="A1349">
        <v>1461.543596</v>
      </c>
      <c r="B1349" s="1">
        <f>DATE(2014,5,1) + TIME(13,2,46)</f>
        <v>41760.543587962966</v>
      </c>
      <c r="C1349">
        <v>80</v>
      </c>
      <c r="D1349">
        <v>68.459274292000003</v>
      </c>
      <c r="E1349">
        <v>50</v>
      </c>
      <c r="F1349">
        <v>49.917739867999998</v>
      </c>
      <c r="G1349">
        <v>1334.3531493999999</v>
      </c>
      <c r="H1349">
        <v>1333.0865478999999</v>
      </c>
      <c r="I1349">
        <v>1329.4906006000001</v>
      </c>
      <c r="J1349">
        <v>1328.8835449000001</v>
      </c>
      <c r="K1349">
        <v>550</v>
      </c>
      <c r="L1349">
        <v>0</v>
      </c>
      <c r="M1349">
        <v>0</v>
      </c>
      <c r="N1349">
        <v>550</v>
      </c>
    </row>
    <row r="1350" spans="1:14" x14ac:dyDescent="0.25">
      <c r="A1350">
        <v>1461.641609</v>
      </c>
      <c r="B1350" s="1">
        <f>DATE(2014,5,1) + TIME(15,23,54)</f>
        <v>41760.641597222224</v>
      </c>
      <c r="C1350">
        <v>80</v>
      </c>
      <c r="D1350">
        <v>69.029388428000004</v>
      </c>
      <c r="E1350">
        <v>50</v>
      </c>
      <c r="F1350">
        <v>49.912940978999998</v>
      </c>
      <c r="G1350">
        <v>1334.3918457</v>
      </c>
      <c r="H1350">
        <v>1333.1138916</v>
      </c>
      <c r="I1350">
        <v>1329.489624</v>
      </c>
      <c r="J1350">
        <v>1328.8812256000001</v>
      </c>
      <c r="K1350">
        <v>550</v>
      </c>
      <c r="L1350">
        <v>0</v>
      </c>
      <c r="M1350">
        <v>0</v>
      </c>
      <c r="N1350">
        <v>550</v>
      </c>
    </row>
    <row r="1351" spans="1:14" x14ac:dyDescent="0.25">
      <c r="A1351">
        <v>1461.742225</v>
      </c>
      <c r="B1351" s="1">
        <f>DATE(2014,5,1) + TIME(17,48,48)</f>
        <v>41760.742222222223</v>
      </c>
      <c r="C1351">
        <v>80</v>
      </c>
      <c r="D1351">
        <v>69.593513489000003</v>
      </c>
      <c r="E1351">
        <v>50</v>
      </c>
      <c r="F1351">
        <v>49.908039092999999</v>
      </c>
      <c r="G1351">
        <v>1334.4320068</v>
      </c>
      <c r="H1351">
        <v>1333.1422118999999</v>
      </c>
      <c r="I1351">
        <v>1329.4887695</v>
      </c>
      <c r="J1351">
        <v>1328.8787841999999</v>
      </c>
      <c r="K1351">
        <v>550</v>
      </c>
      <c r="L1351">
        <v>0</v>
      </c>
      <c r="M1351">
        <v>0</v>
      </c>
      <c r="N1351">
        <v>550</v>
      </c>
    </row>
    <row r="1352" spans="1:14" x14ac:dyDescent="0.25">
      <c r="A1352">
        <v>1461.845579</v>
      </c>
      <c r="B1352" s="1">
        <f>DATE(2014,5,1) + TIME(20,17,38)</f>
        <v>41760.845578703702</v>
      </c>
      <c r="C1352">
        <v>80</v>
      </c>
      <c r="D1352">
        <v>70.150787354000002</v>
      </c>
      <c r="E1352">
        <v>50</v>
      </c>
      <c r="F1352">
        <v>49.903030395999998</v>
      </c>
      <c r="G1352">
        <v>1334.4737548999999</v>
      </c>
      <c r="H1352">
        <v>1333.1715088000001</v>
      </c>
      <c r="I1352">
        <v>1329.487793</v>
      </c>
      <c r="J1352">
        <v>1328.8763428</v>
      </c>
      <c r="K1352">
        <v>550</v>
      </c>
      <c r="L1352">
        <v>0</v>
      </c>
      <c r="M1352">
        <v>0</v>
      </c>
      <c r="N1352">
        <v>550</v>
      </c>
    </row>
    <row r="1353" spans="1:14" x14ac:dyDescent="0.25">
      <c r="A1353">
        <v>1461.9518189999999</v>
      </c>
      <c r="B1353" s="1">
        <f>DATE(2014,5,1) + TIME(22,50,37)</f>
        <v>41760.951817129629</v>
      </c>
      <c r="C1353">
        <v>80</v>
      </c>
      <c r="D1353">
        <v>70.700187682999996</v>
      </c>
      <c r="E1353">
        <v>50</v>
      </c>
      <c r="F1353">
        <v>49.897911071999999</v>
      </c>
      <c r="G1353">
        <v>1334.5167236</v>
      </c>
      <c r="H1353">
        <v>1333.2017822</v>
      </c>
      <c r="I1353">
        <v>1329.4869385</v>
      </c>
      <c r="J1353">
        <v>1328.8739014</v>
      </c>
      <c r="K1353">
        <v>550</v>
      </c>
      <c r="L1353">
        <v>0</v>
      </c>
      <c r="M1353">
        <v>0</v>
      </c>
      <c r="N1353">
        <v>550</v>
      </c>
    </row>
    <row r="1354" spans="1:14" x14ac:dyDescent="0.25">
      <c r="A1354">
        <v>1462.0611060000001</v>
      </c>
      <c r="B1354" s="1">
        <f>DATE(2014,5,2) + TIME(1,27,59)</f>
        <v>41761.061099537037</v>
      </c>
      <c r="C1354">
        <v>80</v>
      </c>
      <c r="D1354">
        <v>71.241142272999994</v>
      </c>
      <c r="E1354">
        <v>50</v>
      </c>
      <c r="F1354">
        <v>49.892673492</v>
      </c>
      <c r="G1354">
        <v>1334.5610352000001</v>
      </c>
      <c r="H1354">
        <v>1333.2326660000001</v>
      </c>
      <c r="I1354">
        <v>1329.4859618999999</v>
      </c>
      <c r="J1354">
        <v>1328.8713379000001</v>
      </c>
      <c r="K1354">
        <v>550</v>
      </c>
      <c r="L1354">
        <v>0</v>
      </c>
      <c r="M1354">
        <v>0</v>
      </c>
      <c r="N1354">
        <v>550</v>
      </c>
    </row>
    <row r="1355" spans="1:14" x14ac:dyDescent="0.25">
      <c r="A1355">
        <v>1462.173657</v>
      </c>
      <c r="B1355" s="1">
        <f>DATE(2014,5,2) + TIME(4,10,3)</f>
        <v>41761.173645833333</v>
      </c>
      <c r="C1355">
        <v>80</v>
      </c>
      <c r="D1355">
        <v>71.772949218999997</v>
      </c>
      <c r="E1355">
        <v>50</v>
      </c>
      <c r="F1355">
        <v>49.887306213000002</v>
      </c>
      <c r="G1355">
        <v>1334.6064452999999</v>
      </c>
      <c r="H1355">
        <v>1333.2645264</v>
      </c>
      <c r="I1355">
        <v>1329.4849853999999</v>
      </c>
      <c r="J1355">
        <v>1328.8687743999999</v>
      </c>
      <c r="K1355">
        <v>550</v>
      </c>
      <c r="L1355">
        <v>0</v>
      </c>
      <c r="M1355">
        <v>0</v>
      </c>
      <c r="N1355">
        <v>550</v>
      </c>
    </row>
    <row r="1356" spans="1:14" x14ac:dyDescent="0.25">
      <c r="A1356">
        <v>1462.289655</v>
      </c>
      <c r="B1356" s="1">
        <f>DATE(2014,5,2) + TIME(6,57,6)</f>
        <v>41761.289652777778</v>
      </c>
      <c r="C1356">
        <v>80</v>
      </c>
      <c r="D1356">
        <v>72.294593810999999</v>
      </c>
      <c r="E1356">
        <v>50</v>
      </c>
      <c r="F1356">
        <v>49.881809234999999</v>
      </c>
      <c r="G1356">
        <v>1334.6529541</v>
      </c>
      <c r="H1356">
        <v>1333.296875</v>
      </c>
      <c r="I1356">
        <v>1329.4840088000001</v>
      </c>
      <c r="J1356">
        <v>1328.8660889</v>
      </c>
      <c r="K1356">
        <v>550</v>
      </c>
      <c r="L1356">
        <v>0</v>
      </c>
      <c r="M1356">
        <v>0</v>
      </c>
      <c r="N1356">
        <v>550</v>
      </c>
    </row>
    <row r="1357" spans="1:14" x14ac:dyDescent="0.25">
      <c r="A1357">
        <v>1462.4093049999999</v>
      </c>
      <c r="B1357" s="1">
        <f>DATE(2014,5,2) + TIME(9,49,23)</f>
        <v>41761.40929398148</v>
      </c>
      <c r="C1357">
        <v>80</v>
      </c>
      <c r="D1357">
        <v>72.805076599000003</v>
      </c>
      <c r="E1357">
        <v>50</v>
      </c>
      <c r="F1357">
        <v>49.876171112000002</v>
      </c>
      <c r="G1357">
        <v>1334.7005615</v>
      </c>
      <c r="H1357">
        <v>1333.3299560999999</v>
      </c>
      <c r="I1357">
        <v>1329.4830322</v>
      </c>
      <c r="J1357">
        <v>1328.8634033000001</v>
      </c>
      <c r="K1357">
        <v>550</v>
      </c>
      <c r="L1357">
        <v>0</v>
      </c>
      <c r="M1357">
        <v>0</v>
      </c>
      <c r="N1357">
        <v>550</v>
      </c>
    </row>
    <row r="1358" spans="1:14" x14ac:dyDescent="0.25">
      <c r="A1358">
        <v>1462.5328480000001</v>
      </c>
      <c r="B1358" s="1">
        <f>DATE(2014,5,2) + TIME(12,47,18)</f>
        <v>41761.532847222225</v>
      </c>
      <c r="C1358">
        <v>80</v>
      </c>
      <c r="D1358">
        <v>73.303443908999995</v>
      </c>
      <c r="E1358">
        <v>50</v>
      </c>
      <c r="F1358">
        <v>49.870388030999997</v>
      </c>
      <c r="G1358">
        <v>1334.7490233999999</v>
      </c>
      <c r="H1358">
        <v>1333.3636475000001</v>
      </c>
      <c r="I1358">
        <v>1329.4820557</v>
      </c>
      <c r="J1358">
        <v>1328.8605957</v>
      </c>
      <c r="K1358">
        <v>550</v>
      </c>
      <c r="L1358">
        <v>0</v>
      </c>
      <c r="M1358">
        <v>0</v>
      </c>
      <c r="N1358">
        <v>550</v>
      </c>
    </row>
    <row r="1359" spans="1:14" x14ac:dyDescent="0.25">
      <c r="A1359">
        <v>1462.6605569999999</v>
      </c>
      <c r="B1359" s="1">
        <f>DATE(2014,5,2) + TIME(15,51,12)</f>
        <v>41761.660555555558</v>
      </c>
      <c r="C1359">
        <v>80</v>
      </c>
      <c r="D1359">
        <v>73.788734435999999</v>
      </c>
      <c r="E1359">
        <v>50</v>
      </c>
      <c r="F1359">
        <v>49.864444732999999</v>
      </c>
      <c r="G1359">
        <v>1334.7982178</v>
      </c>
      <c r="H1359">
        <v>1333.3978271000001</v>
      </c>
      <c r="I1359">
        <v>1329.480957</v>
      </c>
      <c r="J1359">
        <v>1328.8577881000001</v>
      </c>
      <c r="K1359">
        <v>550</v>
      </c>
      <c r="L1359">
        <v>0</v>
      </c>
      <c r="M1359">
        <v>0</v>
      </c>
      <c r="N1359">
        <v>550</v>
      </c>
    </row>
    <row r="1360" spans="1:14" x14ac:dyDescent="0.25">
      <c r="A1360">
        <v>1462.792733</v>
      </c>
      <c r="B1360" s="1">
        <f>DATE(2014,5,2) + TIME(19,1,32)</f>
        <v>41761.792731481481</v>
      </c>
      <c r="C1360">
        <v>80</v>
      </c>
      <c r="D1360">
        <v>74.259986877000003</v>
      </c>
      <c r="E1360">
        <v>50</v>
      </c>
      <c r="F1360">
        <v>49.858333588000001</v>
      </c>
      <c r="G1360">
        <v>1334.8482666</v>
      </c>
      <c r="H1360">
        <v>1333.4324951000001</v>
      </c>
      <c r="I1360">
        <v>1329.4798584</v>
      </c>
      <c r="J1360">
        <v>1328.8548584</v>
      </c>
      <c r="K1360">
        <v>550</v>
      </c>
      <c r="L1360">
        <v>0</v>
      </c>
      <c r="M1360">
        <v>0</v>
      </c>
      <c r="N1360">
        <v>550</v>
      </c>
    </row>
    <row r="1361" spans="1:14" x14ac:dyDescent="0.25">
      <c r="A1361">
        <v>1462.929695</v>
      </c>
      <c r="B1361" s="1">
        <f>DATE(2014,5,2) + TIME(22,18,45)</f>
        <v>41761.9296875</v>
      </c>
      <c r="C1361">
        <v>80</v>
      </c>
      <c r="D1361">
        <v>74.716209411999998</v>
      </c>
      <c r="E1361">
        <v>50</v>
      </c>
      <c r="F1361">
        <v>49.852043152</v>
      </c>
      <c r="G1361">
        <v>1334.8988036999999</v>
      </c>
      <c r="H1361">
        <v>1333.4674072</v>
      </c>
      <c r="I1361">
        <v>1329.4787598</v>
      </c>
      <c r="J1361">
        <v>1328.8519286999999</v>
      </c>
      <c r="K1361">
        <v>550</v>
      </c>
      <c r="L1361">
        <v>0</v>
      </c>
      <c r="M1361">
        <v>0</v>
      </c>
      <c r="N1361">
        <v>550</v>
      </c>
    </row>
    <row r="1362" spans="1:14" x14ac:dyDescent="0.25">
      <c r="A1362">
        <v>1463.0716159999999</v>
      </c>
      <c r="B1362" s="1">
        <f>DATE(2014,5,3) + TIME(1,43,7)</f>
        <v>41762.071608796294</v>
      </c>
      <c r="C1362">
        <v>80</v>
      </c>
      <c r="D1362">
        <v>75.155776978000006</v>
      </c>
      <c r="E1362">
        <v>50</v>
      </c>
      <c r="F1362">
        <v>49.845565796000002</v>
      </c>
      <c r="G1362">
        <v>1334.9498291</v>
      </c>
      <c r="H1362">
        <v>1333.5026855000001</v>
      </c>
      <c r="I1362">
        <v>1329.4776611</v>
      </c>
      <c r="J1362">
        <v>1328.8488769999999</v>
      </c>
      <c r="K1362">
        <v>550</v>
      </c>
      <c r="L1362">
        <v>0</v>
      </c>
      <c r="M1362">
        <v>0</v>
      </c>
      <c r="N1362">
        <v>550</v>
      </c>
    </row>
    <row r="1363" spans="1:14" x14ac:dyDescent="0.25">
      <c r="A1363">
        <v>1463.218826</v>
      </c>
      <c r="B1363" s="1">
        <f>DATE(2014,5,3) + TIME(5,15,6)</f>
        <v>41762.218819444446</v>
      </c>
      <c r="C1363">
        <v>80</v>
      </c>
      <c r="D1363">
        <v>75.577590942</v>
      </c>
      <c r="E1363">
        <v>50</v>
      </c>
      <c r="F1363">
        <v>49.838897705000001</v>
      </c>
      <c r="G1363">
        <v>1335.0012207</v>
      </c>
      <c r="H1363">
        <v>1333.5382079999999</v>
      </c>
      <c r="I1363">
        <v>1329.4764404</v>
      </c>
      <c r="J1363">
        <v>1328.8457031</v>
      </c>
      <c r="K1363">
        <v>550</v>
      </c>
      <c r="L1363">
        <v>0</v>
      </c>
      <c r="M1363">
        <v>0</v>
      </c>
      <c r="N1363">
        <v>550</v>
      </c>
    </row>
    <row r="1364" spans="1:14" x14ac:dyDescent="0.25">
      <c r="A1364">
        <v>1463.371729</v>
      </c>
      <c r="B1364" s="1">
        <f>DATE(2014,5,3) + TIME(8,55,17)</f>
        <v>41762.371724537035</v>
      </c>
      <c r="C1364">
        <v>80</v>
      </c>
      <c r="D1364">
        <v>75.981025696000003</v>
      </c>
      <c r="E1364">
        <v>50</v>
      </c>
      <c r="F1364">
        <v>49.832023620999998</v>
      </c>
      <c r="G1364">
        <v>1335.0527344</v>
      </c>
      <c r="H1364">
        <v>1333.5737305</v>
      </c>
      <c r="I1364">
        <v>1329.4752197</v>
      </c>
      <c r="J1364">
        <v>1328.8425293</v>
      </c>
      <c r="K1364">
        <v>550</v>
      </c>
      <c r="L1364">
        <v>0</v>
      </c>
      <c r="M1364">
        <v>0</v>
      </c>
      <c r="N1364">
        <v>550</v>
      </c>
    </row>
    <row r="1365" spans="1:14" x14ac:dyDescent="0.25">
      <c r="A1365">
        <v>1463.530714</v>
      </c>
      <c r="B1365" s="1">
        <f>DATE(2014,5,3) + TIME(12,44,13)</f>
        <v>41762.530706018515</v>
      </c>
      <c r="C1365">
        <v>80</v>
      </c>
      <c r="D1365">
        <v>76.365158081000004</v>
      </c>
      <c r="E1365">
        <v>50</v>
      </c>
      <c r="F1365">
        <v>49.824928284000002</v>
      </c>
      <c r="G1365">
        <v>1335.1042480000001</v>
      </c>
      <c r="H1365">
        <v>1333.6092529</v>
      </c>
      <c r="I1365">
        <v>1329.473999</v>
      </c>
      <c r="J1365">
        <v>1328.8392334</v>
      </c>
      <c r="K1365">
        <v>550</v>
      </c>
      <c r="L1365">
        <v>0</v>
      </c>
      <c r="M1365">
        <v>0</v>
      </c>
      <c r="N1365">
        <v>550</v>
      </c>
    </row>
    <row r="1366" spans="1:14" x14ac:dyDescent="0.25">
      <c r="A1366">
        <v>1463.6961879999999</v>
      </c>
      <c r="B1366" s="1">
        <f>DATE(2014,5,3) + TIME(16,42,30)</f>
        <v>41762.696180555555</v>
      </c>
      <c r="C1366">
        <v>80</v>
      </c>
      <c r="D1366">
        <v>76.729148864999999</v>
      </c>
      <c r="E1366">
        <v>50</v>
      </c>
      <c r="F1366">
        <v>49.817596436000002</v>
      </c>
      <c r="G1366">
        <v>1335.1557617000001</v>
      </c>
      <c r="H1366">
        <v>1333.6446533000001</v>
      </c>
      <c r="I1366">
        <v>1329.4726562000001</v>
      </c>
      <c r="J1366">
        <v>1328.8359375</v>
      </c>
      <c r="K1366">
        <v>550</v>
      </c>
      <c r="L1366">
        <v>0</v>
      </c>
      <c r="M1366">
        <v>0</v>
      </c>
      <c r="N1366">
        <v>550</v>
      </c>
    </row>
    <row r="1367" spans="1:14" x14ac:dyDescent="0.25">
      <c r="A1367">
        <v>1463.8686290000001</v>
      </c>
      <c r="B1367" s="1">
        <f>DATE(2014,5,3) + TIME(20,50,49)</f>
        <v>41762.868622685186</v>
      </c>
      <c r="C1367">
        <v>80</v>
      </c>
      <c r="D1367">
        <v>77.072341918999996</v>
      </c>
      <c r="E1367">
        <v>50</v>
      </c>
      <c r="F1367">
        <v>49.810020446999999</v>
      </c>
      <c r="G1367">
        <v>1335.2070312000001</v>
      </c>
      <c r="H1367">
        <v>1333.6799315999999</v>
      </c>
      <c r="I1367">
        <v>1329.4711914</v>
      </c>
      <c r="J1367">
        <v>1328.8325195</v>
      </c>
      <c r="K1367">
        <v>550</v>
      </c>
      <c r="L1367">
        <v>0</v>
      </c>
      <c r="M1367">
        <v>0</v>
      </c>
      <c r="N1367">
        <v>550</v>
      </c>
    </row>
    <row r="1368" spans="1:14" x14ac:dyDescent="0.25">
      <c r="A1368">
        <v>1464.0485679999999</v>
      </c>
      <c r="B1368" s="1">
        <f>DATE(2014,5,4) + TIME(1,9,56)</f>
        <v>41763.048564814817</v>
      </c>
      <c r="C1368">
        <v>80</v>
      </c>
      <c r="D1368">
        <v>77.394195557000003</v>
      </c>
      <c r="E1368">
        <v>50</v>
      </c>
      <c r="F1368">
        <v>49.802181244000003</v>
      </c>
      <c r="G1368">
        <v>1335.2579346</v>
      </c>
      <c r="H1368">
        <v>1333.7149658000001</v>
      </c>
      <c r="I1368">
        <v>1329.4698486</v>
      </c>
      <c r="J1368">
        <v>1328.8289795000001</v>
      </c>
      <c r="K1368">
        <v>550</v>
      </c>
      <c r="L1368">
        <v>0</v>
      </c>
      <c r="M1368">
        <v>0</v>
      </c>
      <c r="N1368">
        <v>550</v>
      </c>
    </row>
    <row r="1369" spans="1:14" x14ac:dyDescent="0.25">
      <c r="A1369">
        <v>1464.236592</v>
      </c>
      <c r="B1369" s="1">
        <f>DATE(2014,5,4) + TIME(5,40,41)</f>
        <v>41763.236585648148</v>
      </c>
      <c r="C1369">
        <v>80</v>
      </c>
      <c r="D1369">
        <v>77.694328307999996</v>
      </c>
      <c r="E1369">
        <v>50</v>
      </c>
      <c r="F1369">
        <v>49.794059752999999</v>
      </c>
      <c r="G1369">
        <v>1335.3082274999999</v>
      </c>
      <c r="H1369">
        <v>1333.7493896000001</v>
      </c>
      <c r="I1369">
        <v>1329.4682617000001</v>
      </c>
      <c r="J1369">
        <v>1328.8253173999999</v>
      </c>
      <c r="K1369">
        <v>550</v>
      </c>
      <c r="L1369">
        <v>0</v>
      </c>
      <c r="M1369">
        <v>0</v>
      </c>
      <c r="N1369">
        <v>550</v>
      </c>
    </row>
    <row r="1370" spans="1:14" x14ac:dyDescent="0.25">
      <c r="A1370">
        <v>1464.433366</v>
      </c>
      <c r="B1370" s="1">
        <f>DATE(2014,5,4) + TIME(10,24,2)</f>
        <v>41763.433356481481</v>
      </c>
      <c r="C1370">
        <v>80</v>
      </c>
      <c r="D1370">
        <v>77.972518921000002</v>
      </c>
      <c r="E1370">
        <v>50</v>
      </c>
      <c r="F1370">
        <v>49.785633087000001</v>
      </c>
      <c r="G1370">
        <v>1335.3577881000001</v>
      </c>
      <c r="H1370">
        <v>1333.7834473</v>
      </c>
      <c r="I1370">
        <v>1329.4666748</v>
      </c>
      <c r="J1370">
        <v>1328.8215332</v>
      </c>
      <c r="K1370">
        <v>550</v>
      </c>
      <c r="L1370">
        <v>0</v>
      </c>
      <c r="M1370">
        <v>0</v>
      </c>
      <c r="N1370">
        <v>550</v>
      </c>
    </row>
    <row r="1371" spans="1:14" x14ac:dyDescent="0.25">
      <c r="A1371">
        <v>1464.6396259999999</v>
      </c>
      <c r="B1371" s="1">
        <f>DATE(2014,5,4) + TIME(15,21,3)</f>
        <v>41763.639618055553</v>
      </c>
      <c r="C1371">
        <v>80</v>
      </c>
      <c r="D1371">
        <v>78.228713988999999</v>
      </c>
      <c r="E1371">
        <v>50</v>
      </c>
      <c r="F1371">
        <v>49.776885986000003</v>
      </c>
      <c r="G1371">
        <v>1335.4064940999999</v>
      </c>
      <c r="H1371">
        <v>1333.8168945</v>
      </c>
      <c r="I1371">
        <v>1329.4650879000001</v>
      </c>
      <c r="J1371">
        <v>1328.8176269999999</v>
      </c>
      <c r="K1371">
        <v>550</v>
      </c>
      <c r="L1371">
        <v>0</v>
      </c>
      <c r="M1371">
        <v>0</v>
      </c>
      <c r="N1371">
        <v>550</v>
      </c>
    </row>
    <row r="1372" spans="1:14" x14ac:dyDescent="0.25">
      <c r="A1372">
        <v>1464.8561979999999</v>
      </c>
      <c r="B1372" s="1">
        <f>DATE(2014,5,4) + TIME(20,32,55)</f>
        <v>41763.856192129628</v>
      </c>
      <c r="C1372">
        <v>80</v>
      </c>
      <c r="D1372">
        <v>78.463012695000003</v>
      </c>
      <c r="E1372">
        <v>50</v>
      </c>
      <c r="F1372">
        <v>49.767787933000001</v>
      </c>
      <c r="G1372">
        <v>1335.4542236</v>
      </c>
      <c r="H1372">
        <v>1333.8496094</v>
      </c>
      <c r="I1372">
        <v>1329.4632568</v>
      </c>
      <c r="J1372">
        <v>1328.8135986</v>
      </c>
      <c r="K1372">
        <v>550</v>
      </c>
      <c r="L1372">
        <v>0</v>
      </c>
      <c r="M1372">
        <v>0</v>
      </c>
      <c r="N1372">
        <v>550</v>
      </c>
    </row>
    <row r="1373" spans="1:14" x14ac:dyDescent="0.25">
      <c r="A1373">
        <v>1465.0840310000001</v>
      </c>
      <c r="B1373" s="1">
        <f>DATE(2014,5,5) + TIME(2,1,0)</f>
        <v>41764.084027777775</v>
      </c>
      <c r="C1373">
        <v>80</v>
      </c>
      <c r="D1373">
        <v>78.675720214999998</v>
      </c>
      <c r="E1373">
        <v>50</v>
      </c>
      <c r="F1373">
        <v>49.758312224999997</v>
      </c>
      <c r="G1373">
        <v>1335.5007324000001</v>
      </c>
      <c r="H1373">
        <v>1333.8814697</v>
      </c>
      <c r="I1373">
        <v>1329.4614257999999</v>
      </c>
      <c r="J1373">
        <v>1328.8094481999999</v>
      </c>
      <c r="K1373">
        <v>550</v>
      </c>
      <c r="L1373">
        <v>0</v>
      </c>
      <c r="M1373">
        <v>0</v>
      </c>
      <c r="N1373">
        <v>550</v>
      </c>
    </row>
    <row r="1374" spans="1:14" x14ac:dyDescent="0.25">
      <c r="A1374">
        <v>1465.324224</v>
      </c>
      <c r="B1374" s="1">
        <f>DATE(2014,5,5) + TIME(7,46,52)</f>
        <v>41764.324212962965</v>
      </c>
      <c r="C1374">
        <v>80</v>
      </c>
      <c r="D1374">
        <v>78.867340088000006</v>
      </c>
      <c r="E1374">
        <v>50</v>
      </c>
      <c r="F1374">
        <v>49.748424530000001</v>
      </c>
      <c r="G1374">
        <v>1335.5458983999999</v>
      </c>
      <c r="H1374">
        <v>1333.9124756000001</v>
      </c>
      <c r="I1374">
        <v>1329.4594727000001</v>
      </c>
      <c r="J1374">
        <v>1328.8051757999999</v>
      </c>
      <c r="K1374">
        <v>550</v>
      </c>
      <c r="L1374">
        <v>0</v>
      </c>
      <c r="M1374">
        <v>0</v>
      </c>
      <c r="N1374">
        <v>550</v>
      </c>
    </row>
    <row r="1375" spans="1:14" x14ac:dyDescent="0.25">
      <c r="A1375">
        <v>1465.57816</v>
      </c>
      <c r="B1375" s="1">
        <f>DATE(2014,5,5) + TIME(13,52,33)</f>
        <v>41764.578159722223</v>
      </c>
      <c r="C1375">
        <v>80</v>
      </c>
      <c r="D1375">
        <v>79.038497925000001</v>
      </c>
      <c r="E1375">
        <v>50</v>
      </c>
      <c r="F1375">
        <v>49.738086699999997</v>
      </c>
      <c r="G1375">
        <v>1335.5869141000001</v>
      </c>
      <c r="H1375">
        <v>1333.9406738</v>
      </c>
      <c r="I1375">
        <v>1329.4573975000001</v>
      </c>
      <c r="J1375">
        <v>1328.8007812000001</v>
      </c>
      <c r="K1375">
        <v>550</v>
      </c>
      <c r="L1375">
        <v>0</v>
      </c>
      <c r="M1375">
        <v>0</v>
      </c>
      <c r="N1375">
        <v>550</v>
      </c>
    </row>
    <row r="1376" spans="1:14" x14ac:dyDescent="0.25">
      <c r="A1376">
        <v>1465.847559</v>
      </c>
      <c r="B1376" s="1">
        <f>DATE(2014,5,5) + TIME(20,20,29)</f>
        <v>41764.847557870373</v>
      </c>
      <c r="C1376">
        <v>80</v>
      </c>
      <c r="D1376">
        <v>79.190132141000007</v>
      </c>
      <c r="E1376">
        <v>50</v>
      </c>
      <c r="F1376">
        <v>49.727249145999998</v>
      </c>
      <c r="G1376">
        <v>1335.6258545000001</v>
      </c>
      <c r="H1376">
        <v>1333.9675293</v>
      </c>
      <c r="I1376">
        <v>1329.4550781</v>
      </c>
      <c r="J1376">
        <v>1328.7961425999999</v>
      </c>
      <c r="K1376">
        <v>550</v>
      </c>
      <c r="L1376">
        <v>0</v>
      </c>
      <c r="M1376">
        <v>0</v>
      </c>
      <c r="N1376">
        <v>550</v>
      </c>
    </row>
    <row r="1377" spans="1:14" x14ac:dyDescent="0.25">
      <c r="A1377">
        <v>1466.134249</v>
      </c>
      <c r="B1377" s="1">
        <f>DATE(2014,5,6) + TIME(3,13,19)</f>
        <v>41765.134247685186</v>
      </c>
      <c r="C1377">
        <v>80</v>
      </c>
      <c r="D1377">
        <v>79.323173522999994</v>
      </c>
      <c r="E1377">
        <v>50</v>
      </c>
      <c r="F1377">
        <v>49.715850830000001</v>
      </c>
      <c r="G1377">
        <v>1335.6627197</v>
      </c>
      <c r="H1377">
        <v>1333.9930420000001</v>
      </c>
      <c r="I1377">
        <v>1329.4526367000001</v>
      </c>
      <c r="J1377">
        <v>1328.7912598</v>
      </c>
      <c r="K1377">
        <v>550</v>
      </c>
      <c r="L1377">
        <v>0</v>
      </c>
      <c r="M1377">
        <v>0</v>
      </c>
      <c r="N1377">
        <v>550</v>
      </c>
    </row>
    <row r="1378" spans="1:14" x14ac:dyDescent="0.25">
      <c r="A1378">
        <v>1466.440343</v>
      </c>
      <c r="B1378" s="1">
        <f>DATE(2014,5,6) + TIME(10,34,5)</f>
        <v>41765.440335648149</v>
      </c>
      <c r="C1378">
        <v>80</v>
      </c>
      <c r="D1378">
        <v>79.438613892000006</v>
      </c>
      <c r="E1378">
        <v>50</v>
      </c>
      <c r="F1378">
        <v>49.703838347999998</v>
      </c>
      <c r="G1378">
        <v>1335.6939697</v>
      </c>
      <c r="H1378">
        <v>1334.0148925999999</v>
      </c>
      <c r="I1378">
        <v>1329.4499512</v>
      </c>
      <c r="J1378">
        <v>1328.7863769999999</v>
      </c>
      <c r="K1378">
        <v>550</v>
      </c>
      <c r="L1378">
        <v>0</v>
      </c>
      <c r="M1378">
        <v>0</v>
      </c>
      <c r="N1378">
        <v>550</v>
      </c>
    </row>
    <row r="1379" spans="1:14" x14ac:dyDescent="0.25">
      <c r="A1379">
        <v>1466.765864</v>
      </c>
      <c r="B1379" s="1">
        <f>DATE(2014,5,6) + TIME(18,22,50)</f>
        <v>41765.765856481485</v>
      </c>
      <c r="C1379">
        <v>80</v>
      </c>
      <c r="D1379">
        <v>79.537071228000002</v>
      </c>
      <c r="E1379">
        <v>50</v>
      </c>
      <c r="F1379">
        <v>49.691230773999997</v>
      </c>
      <c r="G1379">
        <v>1335.7237548999999</v>
      </c>
      <c r="H1379">
        <v>1334.0357666</v>
      </c>
      <c r="I1379">
        <v>1329.4471435999999</v>
      </c>
      <c r="J1379">
        <v>1328.7811279</v>
      </c>
      <c r="K1379">
        <v>550</v>
      </c>
      <c r="L1379">
        <v>0</v>
      </c>
      <c r="M1379">
        <v>0</v>
      </c>
      <c r="N1379">
        <v>550</v>
      </c>
    </row>
    <row r="1380" spans="1:14" x14ac:dyDescent="0.25">
      <c r="A1380">
        <v>1467.098557</v>
      </c>
      <c r="B1380" s="1">
        <f>DATE(2014,5,7) + TIME(2,21,55)</f>
        <v>41766.098553240743</v>
      </c>
      <c r="C1380">
        <v>80</v>
      </c>
      <c r="D1380">
        <v>79.617347717000001</v>
      </c>
      <c r="E1380">
        <v>50</v>
      </c>
      <c r="F1380">
        <v>49.678482056</v>
      </c>
      <c r="G1380">
        <v>1335.7517089999999</v>
      </c>
      <c r="H1380">
        <v>1334.0554199000001</v>
      </c>
      <c r="I1380">
        <v>1329.4442139</v>
      </c>
      <c r="J1380">
        <v>1328.7756348</v>
      </c>
      <c r="K1380">
        <v>550</v>
      </c>
      <c r="L1380">
        <v>0</v>
      </c>
      <c r="M1380">
        <v>0</v>
      </c>
      <c r="N1380">
        <v>550</v>
      </c>
    </row>
    <row r="1381" spans="1:14" x14ac:dyDescent="0.25">
      <c r="A1381">
        <v>1467.432953</v>
      </c>
      <c r="B1381" s="1">
        <f>DATE(2014,5,7) + TIME(10,23,27)</f>
        <v>41766.432951388888</v>
      </c>
      <c r="C1381">
        <v>80</v>
      </c>
      <c r="D1381">
        <v>79.681549071999996</v>
      </c>
      <c r="E1381">
        <v>50</v>
      </c>
      <c r="F1381">
        <v>49.665794372999997</v>
      </c>
      <c r="G1381">
        <v>1335.7739257999999</v>
      </c>
      <c r="H1381">
        <v>1334.0714111</v>
      </c>
      <c r="I1381">
        <v>1329.4410399999999</v>
      </c>
      <c r="J1381">
        <v>1328.7702637</v>
      </c>
      <c r="K1381">
        <v>550</v>
      </c>
      <c r="L1381">
        <v>0</v>
      </c>
      <c r="M1381">
        <v>0</v>
      </c>
      <c r="N1381">
        <v>550</v>
      </c>
    </row>
    <row r="1382" spans="1:14" x14ac:dyDescent="0.25">
      <c r="A1382">
        <v>1467.770843</v>
      </c>
      <c r="B1382" s="1">
        <f>DATE(2014,5,7) + TIME(18,30,0)</f>
        <v>41766.770833333336</v>
      </c>
      <c r="C1382">
        <v>80</v>
      </c>
      <c r="D1382">
        <v>79.733024596999996</v>
      </c>
      <c r="E1382">
        <v>50</v>
      </c>
      <c r="F1382">
        <v>49.653099060000002</v>
      </c>
      <c r="G1382">
        <v>1335.7917480000001</v>
      </c>
      <c r="H1382">
        <v>1334.0844727000001</v>
      </c>
      <c r="I1382">
        <v>1329.4379882999999</v>
      </c>
      <c r="J1382">
        <v>1328.7648925999999</v>
      </c>
      <c r="K1382">
        <v>550</v>
      </c>
      <c r="L1382">
        <v>0</v>
      </c>
      <c r="M1382">
        <v>0</v>
      </c>
      <c r="N1382">
        <v>550</v>
      </c>
    </row>
    <row r="1383" spans="1:14" x14ac:dyDescent="0.25">
      <c r="A1383">
        <v>1468.113517</v>
      </c>
      <c r="B1383" s="1">
        <f>DATE(2014,5,8) + TIME(2,43,27)</f>
        <v>41767.113506944443</v>
      </c>
      <c r="C1383">
        <v>80</v>
      </c>
      <c r="D1383">
        <v>79.774314880000006</v>
      </c>
      <c r="E1383">
        <v>50</v>
      </c>
      <c r="F1383">
        <v>49.640350341999998</v>
      </c>
      <c r="G1383">
        <v>1335.807251</v>
      </c>
      <c r="H1383">
        <v>1334.0960693</v>
      </c>
      <c r="I1383">
        <v>1329.4348144999999</v>
      </c>
      <c r="J1383">
        <v>1328.7595214999999</v>
      </c>
      <c r="K1383">
        <v>550</v>
      </c>
      <c r="L1383">
        <v>0</v>
      </c>
      <c r="M1383">
        <v>0</v>
      </c>
      <c r="N1383">
        <v>550</v>
      </c>
    </row>
    <row r="1384" spans="1:14" x14ac:dyDescent="0.25">
      <c r="A1384">
        <v>1468.462031</v>
      </c>
      <c r="B1384" s="1">
        <f>DATE(2014,5,8) + TIME(11,5,19)</f>
        <v>41767.462025462963</v>
      </c>
      <c r="C1384">
        <v>80</v>
      </c>
      <c r="D1384">
        <v>79.807426453000005</v>
      </c>
      <c r="E1384">
        <v>50</v>
      </c>
      <c r="F1384">
        <v>49.627517699999999</v>
      </c>
      <c r="G1384">
        <v>1335.8209228999999</v>
      </c>
      <c r="H1384">
        <v>1334.1064452999999</v>
      </c>
      <c r="I1384">
        <v>1329.4317627</v>
      </c>
      <c r="J1384">
        <v>1328.7541504000001</v>
      </c>
      <c r="K1384">
        <v>550</v>
      </c>
      <c r="L1384">
        <v>0</v>
      </c>
      <c r="M1384">
        <v>0</v>
      </c>
      <c r="N1384">
        <v>550</v>
      </c>
    </row>
    <row r="1385" spans="1:14" x14ac:dyDescent="0.25">
      <c r="A1385">
        <v>1468.8174899999999</v>
      </c>
      <c r="B1385" s="1">
        <f>DATE(2014,5,8) + TIME(19,37,11)</f>
        <v>41767.817488425928</v>
      </c>
      <c r="C1385">
        <v>80</v>
      </c>
      <c r="D1385">
        <v>79.833953856999997</v>
      </c>
      <c r="E1385">
        <v>50</v>
      </c>
      <c r="F1385">
        <v>49.614559174</v>
      </c>
      <c r="G1385">
        <v>1335.8327637</v>
      </c>
      <c r="H1385">
        <v>1334.1158447</v>
      </c>
      <c r="I1385">
        <v>1329.4284668</v>
      </c>
      <c r="J1385">
        <v>1328.7487793</v>
      </c>
      <c r="K1385">
        <v>550</v>
      </c>
      <c r="L1385">
        <v>0</v>
      </c>
      <c r="M1385">
        <v>0</v>
      </c>
      <c r="N1385">
        <v>550</v>
      </c>
    </row>
    <row r="1386" spans="1:14" x14ac:dyDescent="0.25">
      <c r="A1386">
        <v>1469.1810640000001</v>
      </c>
      <c r="B1386" s="1">
        <f>DATE(2014,5,9) + TIME(4,20,43)</f>
        <v>41768.18105324074</v>
      </c>
      <c r="C1386">
        <v>80</v>
      </c>
      <c r="D1386">
        <v>79.855194092000005</v>
      </c>
      <c r="E1386">
        <v>50</v>
      </c>
      <c r="F1386">
        <v>49.601444244</v>
      </c>
      <c r="G1386">
        <v>1335.8430175999999</v>
      </c>
      <c r="H1386">
        <v>1334.1240233999999</v>
      </c>
      <c r="I1386">
        <v>1329.425293</v>
      </c>
      <c r="J1386">
        <v>1328.7432861</v>
      </c>
      <c r="K1386">
        <v>550</v>
      </c>
      <c r="L1386">
        <v>0</v>
      </c>
      <c r="M1386">
        <v>0</v>
      </c>
      <c r="N1386">
        <v>550</v>
      </c>
    </row>
    <row r="1387" spans="1:14" x14ac:dyDescent="0.25">
      <c r="A1387">
        <v>1469.554016</v>
      </c>
      <c r="B1387" s="1">
        <f>DATE(2014,5,9) + TIME(13,17,46)</f>
        <v>41768.55400462963</v>
      </c>
      <c r="C1387">
        <v>80</v>
      </c>
      <c r="D1387">
        <v>79.872177124000004</v>
      </c>
      <c r="E1387">
        <v>50</v>
      </c>
      <c r="F1387">
        <v>49.588130950999997</v>
      </c>
      <c r="G1387">
        <v>1335.8518065999999</v>
      </c>
      <c r="H1387">
        <v>1334.1314697</v>
      </c>
      <c r="I1387">
        <v>1329.4219971</v>
      </c>
      <c r="J1387">
        <v>1328.737793</v>
      </c>
      <c r="K1387">
        <v>550</v>
      </c>
      <c r="L1387">
        <v>0</v>
      </c>
      <c r="M1387">
        <v>0</v>
      </c>
      <c r="N1387">
        <v>550</v>
      </c>
    </row>
    <row r="1388" spans="1:14" x14ac:dyDescent="0.25">
      <c r="A1388">
        <v>1469.9378449999999</v>
      </c>
      <c r="B1388" s="1">
        <f>DATE(2014,5,9) + TIME(22,30,29)</f>
        <v>41768.937835648147</v>
      </c>
      <c r="C1388">
        <v>80</v>
      </c>
      <c r="D1388">
        <v>79.885719299000002</v>
      </c>
      <c r="E1388">
        <v>50</v>
      </c>
      <c r="F1388">
        <v>49.574573516999997</v>
      </c>
      <c r="G1388">
        <v>1335.8569336</v>
      </c>
      <c r="H1388">
        <v>1334.1364745999999</v>
      </c>
      <c r="I1388">
        <v>1329.4185791</v>
      </c>
      <c r="J1388">
        <v>1328.7321777</v>
      </c>
      <c r="K1388">
        <v>550</v>
      </c>
      <c r="L1388">
        <v>0</v>
      </c>
      <c r="M1388">
        <v>0</v>
      </c>
      <c r="N1388">
        <v>550</v>
      </c>
    </row>
    <row r="1389" spans="1:14" x14ac:dyDescent="0.25">
      <c r="A1389">
        <v>1470.336018</v>
      </c>
      <c r="B1389" s="1">
        <f>DATE(2014,5,10) + TIME(8,3,51)</f>
        <v>41769.336006944446</v>
      </c>
      <c r="C1389">
        <v>80</v>
      </c>
      <c r="D1389">
        <v>79.896545410000002</v>
      </c>
      <c r="E1389">
        <v>50</v>
      </c>
      <c r="F1389">
        <v>49.560665131</v>
      </c>
      <c r="G1389">
        <v>1335.8607178</v>
      </c>
      <c r="H1389">
        <v>1334.140625</v>
      </c>
      <c r="I1389">
        <v>1329.4151611</v>
      </c>
      <c r="J1389">
        <v>1328.7265625</v>
      </c>
      <c r="K1389">
        <v>550</v>
      </c>
      <c r="L1389">
        <v>0</v>
      </c>
      <c r="M1389">
        <v>0</v>
      </c>
      <c r="N1389">
        <v>550</v>
      </c>
    </row>
    <row r="1390" spans="1:14" x14ac:dyDescent="0.25">
      <c r="A1390">
        <v>1470.7506350000001</v>
      </c>
      <c r="B1390" s="1">
        <f>DATE(2014,5,10) + TIME(18,0,54)</f>
        <v>41769.750625000001</v>
      </c>
      <c r="C1390">
        <v>80</v>
      </c>
      <c r="D1390">
        <v>79.905166625999996</v>
      </c>
      <c r="E1390">
        <v>50</v>
      </c>
      <c r="F1390">
        <v>49.546356201000002</v>
      </c>
      <c r="G1390">
        <v>1335.8637695</v>
      </c>
      <c r="H1390">
        <v>1334.1444091999999</v>
      </c>
      <c r="I1390">
        <v>1329.4116211</v>
      </c>
      <c r="J1390">
        <v>1328.7207031</v>
      </c>
      <c r="K1390">
        <v>550</v>
      </c>
      <c r="L1390">
        <v>0</v>
      </c>
      <c r="M1390">
        <v>0</v>
      </c>
      <c r="N1390">
        <v>550</v>
      </c>
    </row>
    <row r="1391" spans="1:14" x14ac:dyDescent="0.25">
      <c r="A1391">
        <v>1471.1839070000001</v>
      </c>
      <c r="B1391" s="1">
        <f>DATE(2014,5,11) + TIME(4,24,49)</f>
        <v>41770.183900462966</v>
      </c>
      <c r="C1391">
        <v>80</v>
      </c>
      <c r="D1391">
        <v>79.912017821999996</v>
      </c>
      <c r="E1391">
        <v>50</v>
      </c>
      <c r="F1391">
        <v>49.531578064000001</v>
      </c>
      <c r="G1391">
        <v>1335.8660889</v>
      </c>
      <c r="H1391">
        <v>1334.1479492000001</v>
      </c>
      <c r="I1391">
        <v>1329.4079589999999</v>
      </c>
      <c r="J1391">
        <v>1328.7147216999999</v>
      </c>
      <c r="K1391">
        <v>550</v>
      </c>
      <c r="L1391">
        <v>0</v>
      </c>
      <c r="M1391">
        <v>0</v>
      </c>
      <c r="N1391">
        <v>550</v>
      </c>
    </row>
    <row r="1392" spans="1:14" x14ac:dyDescent="0.25">
      <c r="A1392">
        <v>1471.6326819999999</v>
      </c>
      <c r="B1392" s="1">
        <f>DATE(2014,5,11) + TIME(15,11,3)</f>
        <v>41770.632673611108</v>
      </c>
      <c r="C1392">
        <v>80</v>
      </c>
      <c r="D1392">
        <v>79.917388915999993</v>
      </c>
      <c r="E1392">
        <v>50</v>
      </c>
      <c r="F1392">
        <v>49.516448975000003</v>
      </c>
      <c r="G1392">
        <v>1335.8676757999999</v>
      </c>
      <c r="H1392">
        <v>1334.151001</v>
      </c>
      <c r="I1392">
        <v>1329.4041748</v>
      </c>
      <c r="J1392">
        <v>1328.7084961</v>
      </c>
      <c r="K1392">
        <v>550</v>
      </c>
      <c r="L1392">
        <v>0</v>
      </c>
      <c r="M1392">
        <v>0</v>
      </c>
      <c r="N1392">
        <v>550</v>
      </c>
    </row>
    <row r="1393" spans="1:14" x14ac:dyDescent="0.25">
      <c r="A1393">
        <v>1472.097209</v>
      </c>
      <c r="B1393" s="1">
        <f>DATE(2014,5,12) + TIME(2,19,58)</f>
        <v>41771.097199074073</v>
      </c>
      <c r="C1393">
        <v>80</v>
      </c>
      <c r="D1393">
        <v>79.921577454000001</v>
      </c>
      <c r="E1393">
        <v>50</v>
      </c>
      <c r="F1393">
        <v>49.500961304</v>
      </c>
      <c r="G1393">
        <v>1335.8686522999999</v>
      </c>
      <c r="H1393">
        <v>1334.1536865</v>
      </c>
      <c r="I1393">
        <v>1329.4002685999999</v>
      </c>
      <c r="J1393">
        <v>1328.7021483999999</v>
      </c>
      <c r="K1393">
        <v>550</v>
      </c>
      <c r="L1393">
        <v>0</v>
      </c>
      <c r="M1393">
        <v>0</v>
      </c>
      <c r="N1393">
        <v>550</v>
      </c>
    </row>
    <row r="1394" spans="1:14" x14ac:dyDescent="0.25">
      <c r="A1394">
        <v>1472.5795559999999</v>
      </c>
      <c r="B1394" s="1">
        <f>DATE(2014,5,12) + TIME(13,54,33)</f>
        <v>41771.579548611109</v>
      </c>
      <c r="C1394">
        <v>80</v>
      </c>
      <c r="D1394">
        <v>79.924842834000003</v>
      </c>
      <c r="E1394">
        <v>50</v>
      </c>
      <c r="F1394">
        <v>49.485069275000001</v>
      </c>
      <c r="G1394">
        <v>1335.8691406</v>
      </c>
      <c r="H1394">
        <v>1334.1561279</v>
      </c>
      <c r="I1394">
        <v>1329.3962402</v>
      </c>
      <c r="J1394">
        <v>1328.6955565999999</v>
      </c>
      <c r="K1394">
        <v>550</v>
      </c>
      <c r="L1394">
        <v>0</v>
      </c>
      <c r="M1394">
        <v>0</v>
      </c>
      <c r="N1394">
        <v>550</v>
      </c>
    </row>
    <row r="1395" spans="1:14" x14ac:dyDescent="0.25">
      <c r="A1395">
        <v>1473.08179</v>
      </c>
      <c r="B1395" s="1">
        <f>DATE(2014,5,13) + TIME(1,57,46)</f>
        <v>41772.081782407404</v>
      </c>
      <c r="C1395">
        <v>80</v>
      </c>
      <c r="D1395">
        <v>79.927383422999995</v>
      </c>
      <c r="E1395">
        <v>50</v>
      </c>
      <c r="F1395">
        <v>49.468719481999997</v>
      </c>
      <c r="G1395">
        <v>1335.8690185999999</v>
      </c>
      <c r="H1395">
        <v>1334.1582031</v>
      </c>
      <c r="I1395">
        <v>1329.3920897999999</v>
      </c>
      <c r="J1395">
        <v>1328.6889647999999</v>
      </c>
      <c r="K1395">
        <v>550</v>
      </c>
      <c r="L1395">
        <v>0</v>
      </c>
      <c r="M1395">
        <v>0</v>
      </c>
      <c r="N1395">
        <v>550</v>
      </c>
    </row>
    <row r="1396" spans="1:14" x14ac:dyDescent="0.25">
      <c r="A1396">
        <v>1473.6098529999999</v>
      </c>
      <c r="B1396" s="1">
        <f>DATE(2014,5,13) + TIME(14,38,11)</f>
        <v>41772.609849537039</v>
      </c>
      <c r="C1396">
        <v>80</v>
      </c>
      <c r="D1396">
        <v>79.929374695000007</v>
      </c>
      <c r="E1396">
        <v>50</v>
      </c>
      <c r="F1396">
        <v>49.451751709</v>
      </c>
      <c r="G1396">
        <v>1335.8682861</v>
      </c>
      <c r="H1396">
        <v>1334.1601562000001</v>
      </c>
      <c r="I1396">
        <v>1329.3878173999999</v>
      </c>
      <c r="J1396">
        <v>1328.6820068</v>
      </c>
      <c r="K1396">
        <v>550</v>
      </c>
      <c r="L1396">
        <v>0</v>
      </c>
      <c r="M1396">
        <v>0</v>
      </c>
      <c r="N1396">
        <v>550</v>
      </c>
    </row>
    <row r="1397" spans="1:14" x14ac:dyDescent="0.25">
      <c r="A1397">
        <v>1474.167694</v>
      </c>
      <c r="B1397" s="1">
        <f>DATE(2014,5,14) + TIME(4,1,28)</f>
        <v>41773.167685185188</v>
      </c>
      <c r="C1397">
        <v>80</v>
      </c>
      <c r="D1397">
        <v>79.930915833</v>
      </c>
      <c r="E1397">
        <v>50</v>
      </c>
      <c r="F1397">
        <v>49.434078217</v>
      </c>
      <c r="G1397">
        <v>1335.8671875</v>
      </c>
      <c r="H1397">
        <v>1334.1617432</v>
      </c>
      <c r="I1397">
        <v>1329.3834228999999</v>
      </c>
      <c r="J1397">
        <v>1328.6748047000001</v>
      </c>
      <c r="K1397">
        <v>550</v>
      </c>
      <c r="L1397">
        <v>0</v>
      </c>
      <c r="M1397">
        <v>0</v>
      </c>
      <c r="N1397">
        <v>550</v>
      </c>
    </row>
    <row r="1398" spans="1:14" x14ac:dyDescent="0.25">
      <c r="A1398">
        <v>1474.7601010000001</v>
      </c>
      <c r="B1398" s="1">
        <f>DATE(2014,5,14) + TIME(18,14,32)</f>
        <v>41773.760092592594</v>
      </c>
      <c r="C1398">
        <v>80</v>
      </c>
      <c r="D1398">
        <v>79.932121276999993</v>
      </c>
      <c r="E1398">
        <v>50</v>
      </c>
      <c r="F1398">
        <v>49.415576934999997</v>
      </c>
      <c r="G1398">
        <v>1335.8657227000001</v>
      </c>
      <c r="H1398">
        <v>1334.1633300999999</v>
      </c>
      <c r="I1398">
        <v>1329.3787841999999</v>
      </c>
      <c r="J1398">
        <v>1328.6672363</v>
      </c>
      <c r="K1398">
        <v>550</v>
      </c>
      <c r="L1398">
        <v>0</v>
      </c>
      <c r="M1398">
        <v>0</v>
      </c>
      <c r="N1398">
        <v>550</v>
      </c>
    </row>
    <row r="1399" spans="1:14" x14ac:dyDescent="0.25">
      <c r="A1399">
        <v>1475.3808409999999</v>
      </c>
      <c r="B1399" s="1">
        <f>DATE(2014,5,15) + TIME(9,8,24)</f>
        <v>41774.380833333336</v>
      </c>
      <c r="C1399">
        <v>80</v>
      </c>
      <c r="D1399">
        <v>79.933036803999997</v>
      </c>
      <c r="E1399">
        <v>50</v>
      </c>
      <c r="F1399">
        <v>49.396453856999997</v>
      </c>
      <c r="G1399">
        <v>1335.8637695</v>
      </c>
      <c r="H1399">
        <v>1334.1646728999999</v>
      </c>
      <c r="I1399">
        <v>1329.3739014</v>
      </c>
      <c r="J1399">
        <v>1328.6593018000001</v>
      </c>
      <c r="K1399">
        <v>550</v>
      </c>
      <c r="L1399">
        <v>0</v>
      </c>
      <c r="M1399">
        <v>0</v>
      </c>
      <c r="N1399">
        <v>550</v>
      </c>
    </row>
    <row r="1400" spans="1:14" x14ac:dyDescent="0.25">
      <c r="A1400">
        <v>1476.0195389999999</v>
      </c>
      <c r="B1400" s="1">
        <f>DATE(2014,5,16) + TIME(0,28,8)</f>
        <v>41775.019537037035</v>
      </c>
      <c r="C1400">
        <v>80</v>
      </c>
      <c r="D1400">
        <v>79.933715820000003</v>
      </c>
      <c r="E1400">
        <v>50</v>
      </c>
      <c r="F1400">
        <v>49.376995086999997</v>
      </c>
      <c r="G1400">
        <v>1335.8613281</v>
      </c>
      <c r="H1400">
        <v>1334.1657714999999</v>
      </c>
      <c r="I1400">
        <v>1329.3688964999999</v>
      </c>
      <c r="J1400">
        <v>1328.6512451000001</v>
      </c>
      <c r="K1400">
        <v>550</v>
      </c>
      <c r="L1400">
        <v>0</v>
      </c>
      <c r="M1400">
        <v>0</v>
      </c>
      <c r="N1400">
        <v>550</v>
      </c>
    </row>
    <row r="1401" spans="1:14" x14ac:dyDescent="0.25">
      <c r="A1401">
        <v>1476.6785219999999</v>
      </c>
      <c r="B1401" s="1">
        <f>DATE(2014,5,16) + TIME(16,17,4)</f>
        <v>41775.678518518522</v>
      </c>
      <c r="C1401">
        <v>80</v>
      </c>
      <c r="D1401">
        <v>79.93421936</v>
      </c>
      <c r="E1401">
        <v>50</v>
      </c>
      <c r="F1401">
        <v>49.357154846</v>
      </c>
      <c r="G1401">
        <v>1335.8586425999999</v>
      </c>
      <c r="H1401">
        <v>1334.1667480000001</v>
      </c>
      <c r="I1401">
        <v>1329.3637695</v>
      </c>
      <c r="J1401">
        <v>1328.6429443</v>
      </c>
      <c r="K1401">
        <v>550</v>
      </c>
      <c r="L1401">
        <v>0</v>
      </c>
      <c r="M1401">
        <v>0</v>
      </c>
      <c r="N1401">
        <v>550</v>
      </c>
    </row>
    <row r="1402" spans="1:14" x14ac:dyDescent="0.25">
      <c r="A1402">
        <v>1477.3542930000001</v>
      </c>
      <c r="B1402" s="1">
        <f>DATE(2014,5,17) + TIME(8,30,10)</f>
        <v>41776.35428240741</v>
      </c>
      <c r="C1402">
        <v>80</v>
      </c>
      <c r="D1402">
        <v>79.934585571</v>
      </c>
      <c r="E1402">
        <v>50</v>
      </c>
      <c r="F1402">
        <v>49.337039947999997</v>
      </c>
      <c r="G1402">
        <v>1335.8557129000001</v>
      </c>
      <c r="H1402">
        <v>1334.1676024999999</v>
      </c>
      <c r="I1402">
        <v>1329.3585204999999</v>
      </c>
      <c r="J1402">
        <v>1328.6343993999999</v>
      </c>
      <c r="K1402">
        <v>550</v>
      </c>
      <c r="L1402">
        <v>0</v>
      </c>
      <c r="M1402">
        <v>0</v>
      </c>
      <c r="N1402">
        <v>550</v>
      </c>
    </row>
    <row r="1403" spans="1:14" x14ac:dyDescent="0.25">
      <c r="A1403">
        <v>1478.038288</v>
      </c>
      <c r="B1403" s="1">
        <f>DATE(2014,5,18) + TIME(0,55,8)</f>
        <v>41777.038287037038</v>
      </c>
      <c r="C1403">
        <v>80</v>
      </c>
      <c r="D1403">
        <v>79.934844971000004</v>
      </c>
      <c r="E1403">
        <v>50</v>
      </c>
      <c r="F1403">
        <v>49.316883087000001</v>
      </c>
      <c r="G1403">
        <v>1335.8526611</v>
      </c>
      <c r="H1403">
        <v>1334.168457</v>
      </c>
      <c r="I1403">
        <v>1329.3532714999999</v>
      </c>
      <c r="J1403">
        <v>1328.6257324000001</v>
      </c>
      <c r="K1403">
        <v>550</v>
      </c>
      <c r="L1403">
        <v>0</v>
      </c>
      <c r="M1403">
        <v>0</v>
      </c>
      <c r="N1403">
        <v>550</v>
      </c>
    </row>
    <row r="1404" spans="1:14" x14ac:dyDescent="0.25">
      <c r="A1404">
        <v>1478.7336009999999</v>
      </c>
      <c r="B1404" s="1">
        <f>DATE(2014,5,18) + TIME(17,36,23)</f>
        <v>41777.733599537038</v>
      </c>
      <c r="C1404">
        <v>80</v>
      </c>
      <c r="D1404">
        <v>79.935020446999999</v>
      </c>
      <c r="E1404">
        <v>50</v>
      </c>
      <c r="F1404">
        <v>49.296615600999999</v>
      </c>
      <c r="G1404">
        <v>1335.8493652</v>
      </c>
      <c r="H1404">
        <v>1334.1690673999999</v>
      </c>
      <c r="I1404">
        <v>1329.3479004000001</v>
      </c>
      <c r="J1404">
        <v>1328.6170654</v>
      </c>
      <c r="K1404">
        <v>550</v>
      </c>
      <c r="L1404">
        <v>0</v>
      </c>
      <c r="M1404">
        <v>0</v>
      </c>
      <c r="N1404">
        <v>550</v>
      </c>
    </row>
    <row r="1405" spans="1:14" x14ac:dyDescent="0.25">
      <c r="A1405">
        <v>1479.4432750000001</v>
      </c>
      <c r="B1405" s="1">
        <f>DATE(2014,5,19) + TIME(10,38,18)</f>
        <v>41778.44326388889</v>
      </c>
      <c r="C1405">
        <v>80</v>
      </c>
      <c r="D1405">
        <v>79.935134887999993</v>
      </c>
      <c r="E1405">
        <v>50</v>
      </c>
      <c r="F1405">
        <v>49.276172637999998</v>
      </c>
      <c r="G1405">
        <v>1335.8459473</v>
      </c>
      <c r="H1405">
        <v>1334.1696777</v>
      </c>
      <c r="I1405">
        <v>1329.3425293</v>
      </c>
      <c r="J1405">
        <v>1328.6083983999999</v>
      </c>
      <c r="K1405">
        <v>550</v>
      </c>
      <c r="L1405">
        <v>0</v>
      </c>
      <c r="M1405">
        <v>0</v>
      </c>
      <c r="N1405">
        <v>550</v>
      </c>
    </row>
    <row r="1406" spans="1:14" x14ac:dyDescent="0.25">
      <c r="A1406">
        <v>1480.1704649999999</v>
      </c>
      <c r="B1406" s="1">
        <f>DATE(2014,5,20) + TIME(4,5,28)</f>
        <v>41779.17046296296</v>
      </c>
      <c r="C1406">
        <v>80</v>
      </c>
      <c r="D1406">
        <v>79.935203552000004</v>
      </c>
      <c r="E1406">
        <v>50</v>
      </c>
      <c r="F1406">
        <v>49.255496979</v>
      </c>
      <c r="G1406">
        <v>1335.8424072</v>
      </c>
      <c r="H1406">
        <v>1334.1701660000001</v>
      </c>
      <c r="I1406">
        <v>1329.3371582</v>
      </c>
      <c r="J1406">
        <v>1328.5994873</v>
      </c>
      <c r="K1406">
        <v>550</v>
      </c>
      <c r="L1406">
        <v>0</v>
      </c>
      <c r="M1406">
        <v>0</v>
      </c>
      <c r="N1406">
        <v>550</v>
      </c>
    </row>
    <row r="1407" spans="1:14" x14ac:dyDescent="0.25">
      <c r="A1407">
        <v>1480.9194010000001</v>
      </c>
      <c r="B1407" s="1">
        <f>DATE(2014,5,20) + TIME(22,3,56)</f>
        <v>41779.919398148151</v>
      </c>
      <c r="C1407">
        <v>80</v>
      </c>
      <c r="D1407">
        <v>79.935234070000007</v>
      </c>
      <c r="E1407">
        <v>50</v>
      </c>
      <c r="F1407">
        <v>49.234500885000003</v>
      </c>
      <c r="G1407">
        <v>1335.8388672000001</v>
      </c>
      <c r="H1407">
        <v>1334.1706543</v>
      </c>
      <c r="I1407">
        <v>1329.3316649999999</v>
      </c>
      <c r="J1407">
        <v>1328.5904541</v>
      </c>
      <c r="K1407">
        <v>550</v>
      </c>
      <c r="L1407">
        <v>0</v>
      </c>
      <c r="M1407">
        <v>0</v>
      </c>
      <c r="N1407">
        <v>550</v>
      </c>
    </row>
    <row r="1408" spans="1:14" x14ac:dyDescent="0.25">
      <c r="A1408">
        <v>1481.691947</v>
      </c>
      <c r="B1408" s="1">
        <f>DATE(2014,5,21) + TIME(16,36,24)</f>
        <v>41780.691944444443</v>
      </c>
      <c r="C1408">
        <v>80</v>
      </c>
      <c r="D1408">
        <v>79.935226439999994</v>
      </c>
      <c r="E1408">
        <v>50</v>
      </c>
      <c r="F1408">
        <v>49.213165283000002</v>
      </c>
      <c r="G1408">
        <v>1335.8352050999999</v>
      </c>
      <c r="H1408">
        <v>1334.1710204999999</v>
      </c>
      <c r="I1408">
        <v>1329.3260498</v>
      </c>
      <c r="J1408">
        <v>1328.5812988</v>
      </c>
      <c r="K1408">
        <v>550</v>
      </c>
      <c r="L1408">
        <v>0</v>
      </c>
      <c r="M1408">
        <v>0</v>
      </c>
      <c r="N1408">
        <v>550</v>
      </c>
    </row>
    <row r="1409" spans="1:14" x14ac:dyDescent="0.25">
      <c r="A1409">
        <v>1482.482405</v>
      </c>
      <c r="B1409" s="1">
        <f>DATE(2014,5,22) + TIME(11,34,39)</f>
        <v>41781.482395833336</v>
      </c>
      <c r="C1409">
        <v>80</v>
      </c>
      <c r="D1409">
        <v>79.935203552000004</v>
      </c>
      <c r="E1409">
        <v>50</v>
      </c>
      <c r="F1409">
        <v>49.191642760999997</v>
      </c>
      <c r="G1409">
        <v>1335.8314209</v>
      </c>
      <c r="H1409">
        <v>1334.1715088000001</v>
      </c>
      <c r="I1409">
        <v>1329.3203125</v>
      </c>
      <c r="J1409">
        <v>1328.5718993999999</v>
      </c>
      <c r="K1409">
        <v>550</v>
      </c>
      <c r="L1409">
        <v>0</v>
      </c>
      <c r="M1409">
        <v>0</v>
      </c>
      <c r="N1409">
        <v>550</v>
      </c>
    </row>
    <row r="1410" spans="1:14" x14ac:dyDescent="0.25">
      <c r="A1410">
        <v>1483.294167</v>
      </c>
      <c r="B1410" s="1">
        <f>DATE(2014,5,23) + TIME(7,3,36)</f>
        <v>41782.294166666667</v>
      </c>
      <c r="C1410">
        <v>80</v>
      </c>
      <c r="D1410">
        <v>79.935157775999997</v>
      </c>
      <c r="E1410">
        <v>50</v>
      </c>
      <c r="F1410">
        <v>49.169879913000003</v>
      </c>
      <c r="G1410">
        <v>1335.8276367000001</v>
      </c>
      <c r="H1410">
        <v>1334.171875</v>
      </c>
      <c r="I1410">
        <v>1329.3144531</v>
      </c>
      <c r="J1410">
        <v>1328.5623779</v>
      </c>
      <c r="K1410">
        <v>550</v>
      </c>
      <c r="L1410">
        <v>0</v>
      </c>
      <c r="M1410">
        <v>0</v>
      </c>
      <c r="N1410">
        <v>550</v>
      </c>
    </row>
    <row r="1411" spans="1:14" x14ac:dyDescent="0.25">
      <c r="A1411">
        <v>1484.1307429999999</v>
      </c>
      <c r="B1411" s="1">
        <f>DATE(2014,5,24) + TIME(3,8,16)</f>
        <v>41783.130740740744</v>
      </c>
      <c r="C1411">
        <v>80</v>
      </c>
      <c r="D1411">
        <v>79.935089110999996</v>
      </c>
      <c r="E1411">
        <v>50</v>
      </c>
      <c r="F1411">
        <v>49.147827147999998</v>
      </c>
      <c r="G1411">
        <v>1335.8237305</v>
      </c>
      <c r="H1411">
        <v>1334.1722411999999</v>
      </c>
      <c r="I1411">
        <v>1329.3085937999999</v>
      </c>
      <c r="J1411">
        <v>1328.5526123</v>
      </c>
      <c r="K1411">
        <v>550</v>
      </c>
      <c r="L1411">
        <v>0</v>
      </c>
      <c r="M1411">
        <v>0</v>
      </c>
      <c r="N1411">
        <v>550</v>
      </c>
    </row>
    <row r="1412" spans="1:14" x14ac:dyDescent="0.25">
      <c r="A1412">
        <v>1484.996539</v>
      </c>
      <c r="B1412" s="1">
        <f>DATE(2014,5,24) + TIME(23,55,0)</f>
        <v>41783.996527777781</v>
      </c>
      <c r="C1412">
        <v>80</v>
      </c>
      <c r="D1412">
        <v>79.935012817</v>
      </c>
      <c r="E1412">
        <v>50</v>
      </c>
      <c r="F1412">
        <v>49.125423431000002</v>
      </c>
      <c r="G1412">
        <v>1335.8199463000001</v>
      </c>
      <c r="H1412">
        <v>1334.1726074000001</v>
      </c>
      <c r="I1412">
        <v>1329.3026123</v>
      </c>
      <c r="J1412">
        <v>1328.5427245999999</v>
      </c>
      <c r="K1412">
        <v>550</v>
      </c>
      <c r="L1412">
        <v>0</v>
      </c>
      <c r="M1412">
        <v>0</v>
      </c>
      <c r="N1412">
        <v>550</v>
      </c>
    </row>
    <row r="1413" spans="1:14" x14ac:dyDescent="0.25">
      <c r="A1413">
        <v>1485.8960589999999</v>
      </c>
      <c r="B1413" s="1">
        <f>DATE(2014,5,25) + TIME(21,30,19)</f>
        <v>41784.896053240744</v>
      </c>
      <c r="C1413">
        <v>80</v>
      </c>
      <c r="D1413">
        <v>79.934921265</v>
      </c>
      <c r="E1413">
        <v>50</v>
      </c>
      <c r="F1413">
        <v>49.102607726999999</v>
      </c>
      <c r="G1413">
        <v>1335.8160399999999</v>
      </c>
      <c r="H1413">
        <v>1334.1729736</v>
      </c>
      <c r="I1413">
        <v>1329.2965088000001</v>
      </c>
      <c r="J1413">
        <v>1328.5324707</v>
      </c>
      <c r="K1413">
        <v>550</v>
      </c>
      <c r="L1413">
        <v>0</v>
      </c>
      <c r="M1413">
        <v>0</v>
      </c>
      <c r="N1413">
        <v>550</v>
      </c>
    </row>
    <row r="1414" spans="1:14" x14ac:dyDescent="0.25">
      <c r="A1414">
        <v>1486.8394390000001</v>
      </c>
      <c r="B1414" s="1">
        <f>DATE(2014,5,26) + TIME(20,8,47)</f>
        <v>41785.839432870373</v>
      </c>
      <c r="C1414">
        <v>80</v>
      </c>
      <c r="D1414">
        <v>79.934822083</v>
      </c>
      <c r="E1414">
        <v>50</v>
      </c>
      <c r="F1414">
        <v>49.079223632999998</v>
      </c>
      <c r="G1414">
        <v>1335.8121338000001</v>
      </c>
      <c r="H1414">
        <v>1334.1733397999999</v>
      </c>
      <c r="I1414">
        <v>1329.2901611</v>
      </c>
      <c r="J1414">
        <v>1328.5220947</v>
      </c>
      <c r="K1414">
        <v>550</v>
      </c>
      <c r="L1414">
        <v>0</v>
      </c>
      <c r="M1414">
        <v>0</v>
      </c>
      <c r="N1414">
        <v>550</v>
      </c>
    </row>
    <row r="1415" spans="1:14" x14ac:dyDescent="0.25">
      <c r="A1415">
        <v>1487.840882</v>
      </c>
      <c r="B1415" s="1">
        <f>DATE(2014,5,27) + TIME(20,10,52)</f>
        <v>41786.840879629628</v>
      </c>
      <c r="C1415">
        <v>80</v>
      </c>
      <c r="D1415">
        <v>79.934715271000002</v>
      </c>
      <c r="E1415">
        <v>50</v>
      </c>
      <c r="F1415">
        <v>49.055053710999999</v>
      </c>
      <c r="G1415">
        <v>1335.8081055</v>
      </c>
      <c r="H1415">
        <v>1334.1737060999999</v>
      </c>
      <c r="I1415">
        <v>1329.2836914</v>
      </c>
      <c r="J1415">
        <v>1328.5112305</v>
      </c>
      <c r="K1415">
        <v>550</v>
      </c>
      <c r="L1415">
        <v>0</v>
      </c>
      <c r="M1415">
        <v>0</v>
      </c>
      <c r="N1415">
        <v>550</v>
      </c>
    </row>
    <row r="1416" spans="1:14" x14ac:dyDescent="0.25">
      <c r="A1416">
        <v>1488.8886359999999</v>
      </c>
      <c r="B1416" s="1">
        <f>DATE(2014,5,28) + TIME(21,19,38)</f>
        <v>41787.88863425926</v>
      </c>
      <c r="C1416">
        <v>80</v>
      </c>
      <c r="D1416">
        <v>79.934600829999994</v>
      </c>
      <c r="E1416">
        <v>50</v>
      </c>
      <c r="F1416">
        <v>49.030395507999998</v>
      </c>
      <c r="G1416">
        <v>1335.8039550999999</v>
      </c>
      <c r="H1416">
        <v>1334.1741943</v>
      </c>
      <c r="I1416">
        <v>1329.2768555</v>
      </c>
      <c r="J1416">
        <v>1328.4998779</v>
      </c>
      <c r="K1416">
        <v>550</v>
      </c>
      <c r="L1416">
        <v>0</v>
      </c>
      <c r="M1416">
        <v>0</v>
      </c>
      <c r="N1416">
        <v>550</v>
      </c>
    </row>
    <row r="1417" spans="1:14" x14ac:dyDescent="0.25">
      <c r="A1417">
        <v>1489.9957750000001</v>
      </c>
      <c r="B1417" s="1">
        <f>DATE(2014,5,29) + TIME(23,53,54)</f>
        <v>41788.995763888888</v>
      </c>
      <c r="C1417">
        <v>80</v>
      </c>
      <c r="D1417">
        <v>79.934471130000006</v>
      </c>
      <c r="E1417">
        <v>50</v>
      </c>
      <c r="F1417">
        <v>49.005092621000003</v>
      </c>
      <c r="G1417">
        <v>1335.7998047000001</v>
      </c>
      <c r="H1417">
        <v>1334.1745605000001</v>
      </c>
      <c r="I1417">
        <v>1329.2697754000001</v>
      </c>
      <c r="J1417">
        <v>1328.4880370999999</v>
      </c>
      <c r="K1417">
        <v>550</v>
      </c>
      <c r="L1417">
        <v>0</v>
      </c>
      <c r="M1417">
        <v>0</v>
      </c>
      <c r="N1417">
        <v>550</v>
      </c>
    </row>
    <row r="1418" spans="1:14" x14ac:dyDescent="0.25">
      <c r="A1418">
        <v>1491.127338</v>
      </c>
      <c r="B1418" s="1">
        <f>DATE(2014,5,31) + TIME(3,3,21)</f>
        <v>41790.127326388887</v>
      </c>
      <c r="C1418">
        <v>80</v>
      </c>
      <c r="D1418">
        <v>79.934341431000007</v>
      </c>
      <c r="E1418">
        <v>50</v>
      </c>
      <c r="F1418">
        <v>48.979866028000004</v>
      </c>
      <c r="G1418">
        <v>1335.7955322</v>
      </c>
      <c r="H1418">
        <v>1334.1750488</v>
      </c>
      <c r="I1418">
        <v>1329.2625731999999</v>
      </c>
      <c r="J1418">
        <v>1328.4758300999999</v>
      </c>
      <c r="K1418">
        <v>550</v>
      </c>
      <c r="L1418">
        <v>0</v>
      </c>
      <c r="M1418">
        <v>0</v>
      </c>
      <c r="N1418">
        <v>550</v>
      </c>
    </row>
    <row r="1419" spans="1:14" x14ac:dyDescent="0.25">
      <c r="A1419">
        <v>1492</v>
      </c>
      <c r="B1419" s="1">
        <f>DATE(2014,6,1) + TIME(0,0,0)</f>
        <v>41791</v>
      </c>
      <c r="C1419">
        <v>80</v>
      </c>
      <c r="D1419">
        <v>79.93421936</v>
      </c>
      <c r="E1419">
        <v>50</v>
      </c>
      <c r="F1419">
        <v>48.959869384999998</v>
      </c>
      <c r="G1419">
        <v>1335.7913818</v>
      </c>
      <c r="H1419">
        <v>1334.1756591999999</v>
      </c>
      <c r="I1419">
        <v>1329.2556152</v>
      </c>
      <c r="J1419">
        <v>1328.4641113</v>
      </c>
      <c r="K1419">
        <v>550</v>
      </c>
      <c r="L1419">
        <v>0</v>
      </c>
      <c r="M1419">
        <v>0</v>
      </c>
      <c r="N1419">
        <v>550</v>
      </c>
    </row>
    <row r="1420" spans="1:14" x14ac:dyDescent="0.25">
      <c r="A1420">
        <v>1493.1542440000001</v>
      </c>
      <c r="B1420" s="1">
        <f>DATE(2014,6,2) + TIME(3,42,6)</f>
        <v>41792.154236111113</v>
      </c>
      <c r="C1420">
        <v>80</v>
      </c>
      <c r="D1420">
        <v>79.934097289999997</v>
      </c>
      <c r="E1420">
        <v>50</v>
      </c>
      <c r="F1420">
        <v>48.935581206999998</v>
      </c>
      <c r="G1420">
        <v>1335.7883300999999</v>
      </c>
      <c r="H1420">
        <v>1334.1760254000001</v>
      </c>
      <c r="I1420">
        <v>1329.2493896000001</v>
      </c>
      <c r="J1420">
        <v>1328.4536132999999</v>
      </c>
      <c r="K1420">
        <v>550</v>
      </c>
      <c r="L1420">
        <v>0</v>
      </c>
      <c r="M1420">
        <v>0</v>
      </c>
      <c r="N1420">
        <v>550</v>
      </c>
    </row>
    <row r="1421" spans="1:14" x14ac:dyDescent="0.25">
      <c r="A1421">
        <v>1494.351731</v>
      </c>
      <c r="B1421" s="1">
        <f>DATE(2014,6,3) + TIME(8,26,29)</f>
        <v>41793.351724537039</v>
      </c>
      <c r="C1421">
        <v>80</v>
      </c>
      <c r="D1421">
        <v>79.933959960999999</v>
      </c>
      <c r="E1421">
        <v>50</v>
      </c>
      <c r="F1421">
        <v>48.911296843999999</v>
      </c>
      <c r="G1421">
        <v>1335.7843018000001</v>
      </c>
      <c r="H1421">
        <v>1334.1765137</v>
      </c>
      <c r="I1421">
        <v>1329.2421875</v>
      </c>
      <c r="J1421">
        <v>1328.4412841999999</v>
      </c>
      <c r="K1421">
        <v>550</v>
      </c>
      <c r="L1421">
        <v>0</v>
      </c>
      <c r="M1421">
        <v>0</v>
      </c>
      <c r="N1421">
        <v>550</v>
      </c>
    </row>
    <row r="1422" spans="1:14" x14ac:dyDescent="0.25">
      <c r="A1422">
        <v>1495.5790030000001</v>
      </c>
      <c r="B1422" s="1">
        <f>DATE(2014,6,4) + TIME(13,53,45)</f>
        <v>41794.578993055555</v>
      </c>
      <c r="C1422">
        <v>80</v>
      </c>
      <c r="D1422">
        <v>79.933830260999997</v>
      </c>
      <c r="E1422">
        <v>50</v>
      </c>
      <c r="F1422">
        <v>48.887351989999999</v>
      </c>
      <c r="G1422">
        <v>1335.7803954999999</v>
      </c>
      <c r="H1422">
        <v>1334.177124</v>
      </c>
      <c r="I1422">
        <v>1329.2347411999999</v>
      </c>
      <c r="J1422">
        <v>1328.4285889</v>
      </c>
      <c r="K1422">
        <v>550</v>
      </c>
      <c r="L1422">
        <v>0</v>
      </c>
      <c r="M1422">
        <v>0</v>
      </c>
      <c r="N1422">
        <v>550</v>
      </c>
    </row>
    <row r="1423" spans="1:14" x14ac:dyDescent="0.25">
      <c r="A1423">
        <v>1496.857917</v>
      </c>
      <c r="B1423" s="1">
        <f>DATE(2014,6,5) + TIME(20,35,24)</f>
        <v>41795.857916666668</v>
      </c>
      <c r="C1423">
        <v>80</v>
      </c>
      <c r="D1423">
        <v>79.933692932</v>
      </c>
      <c r="E1423">
        <v>50</v>
      </c>
      <c r="F1423">
        <v>48.863586425999998</v>
      </c>
      <c r="G1423">
        <v>1335.7764893000001</v>
      </c>
      <c r="H1423">
        <v>1334.1776123</v>
      </c>
      <c r="I1423">
        <v>1329.2271728999999</v>
      </c>
      <c r="J1423">
        <v>1328.4156493999999</v>
      </c>
      <c r="K1423">
        <v>550</v>
      </c>
      <c r="L1423">
        <v>0</v>
      </c>
      <c r="M1423">
        <v>0</v>
      </c>
      <c r="N1423">
        <v>550</v>
      </c>
    </row>
    <row r="1424" spans="1:14" x14ac:dyDescent="0.25">
      <c r="A1424">
        <v>1498.2015510000001</v>
      </c>
      <c r="B1424" s="1">
        <f>DATE(2014,6,7) + TIME(4,50,14)</f>
        <v>41797.201550925929</v>
      </c>
      <c r="C1424">
        <v>80</v>
      </c>
      <c r="D1424">
        <v>79.933555603000002</v>
      </c>
      <c r="E1424">
        <v>50</v>
      </c>
      <c r="F1424">
        <v>48.840015411000003</v>
      </c>
      <c r="G1424">
        <v>1335.7725829999999</v>
      </c>
      <c r="H1424">
        <v>1334.1782227000001</v>
      </c>
      <c r="I1424">
        <v>1329.2194824000001</v>
      </c>
      <c r="J1424">
        <v>1328.4024658000001</v>
      </c>
      <c r="K1424">
        <v>550</v>
      </c>
      <c r="L1424">
        <v>0</v>
      </c>
      <c r="M1424">
        <v>0</v>
      </c>
      <c r="N1424">
        <v>550</v>
      </c>
    </row>
    <row r="1425" spans="1:14" x14ac:dyDescent="0.25">
      <c r="A1425">
        <v>1499.568831</v>
      </c>
      <c r="B1425" s="1">
        <f>DATE(2014,6,8) + TIME(13,39,6)</f>
        <v>41798.568819444445</v>
      </c>
      <c r="C1425">
        <v>80</v>
      </c>
      <c r="D1425">
        <v>79.933418274000005</v>
      </c>
      <c r="E1425">
        <v>50</v>
      </c>
      <c r="F1425">
        <v>48.817390441999997</v>
      </c>
      <c r="G1425">
        <v>1335.7685547000001</v>
      </c>
      <c r="H1425">
        <v>1334.1788329999999</v>
      </c>
      <c r="I1425">
        <v>1329.2115478999999</v>
      </c>
      <c r="J1425">
        <v>1328.3887939000001</v>
      </c>
      <c r="K1425">
        <v>550</v>
      </c>
      <c r="L1425">
        <v>0</v>
      </c>
      <c r="M1425">
        <v>0</v>
      </c>
      <c r="N1425">
        <v>550</v>
      </c>
    </row>
    <row r="1426" spans="1:14" x14ac:dyDescent="0.25">
      <c r="A1426">
        <v>1500.9637359999999</v>
      </c>
      <c r="B1426" s="1">
        <f>DATE(2014,6,9) + TIME(23,7,46)</f>
        <v>41799.963726851849</v>
      </c>
      <c r="C1426">
        <v>80</v>
      </c>
      <c r="D1426">
        <v>79.933288574000002</v>
      </c>
      <c r="E1426">
        <v>50</v>
      </c>
      <c r="F1426">
        <v>48.795875549000002</v>
      </c>
      <c r="G1426">
        <v>1335.7647704999999</v>
      </c>
      <c r="H1426">
        <v>1334.1794434000001</v>
      </c>
      <c r="I1426">
        <v>1329.2037353999999</v>
      </c>
      <c r="J1426">
        <v>1328.375</v>
      </c>
      <c r="K1426">
        <v>550</v>
      </c>
      <c r="L1426">
        <v>0</v>
      </c>
      <c r="M1426">
        <v>0</v>
      </c>
      <c r="N1426">
        <v>550</v>
      </c>
    </row>
    <row r="1427" spans="1:14" x14ac:dyDescent="0.25">
      <c r="A1427">
        <v>1502.3938169999999</v>
      </c>
      <c r="B1427" s="1">
        <f>DATE(2014,6,11) + TIME(9,27,5)</f>
        <v>41801.393807870372</v>
      </c>
      <c r="C1427">
        <v>80</v>
      </c>
      <c r="D1427">
        <v>79.933151245000005</v>
      </c>
      <c r="E1427">
        <v>50</v>
      </c>
      <c r="F1427">
        <v>48.775634766000003</v>
      </c>
      <c r="G1427">
        <v>1335.7609863</v>
      </c>
      <c r="H1427">
        <v>1334.1800536999999</v>
      </c>
      <c r="I1427">
        <v>1329.1958007999999</v>
      </c>
      <c r="J1427">
        <v>1328.3610839999999</v>
      </c>
      <c r="K1427">
        <v>550</v>
      </c>
      <c r="L1427">
        <v>0</v>
      </c>
      <c r="M1427">
        <v>0</v>
      </c>
      <c r="N1427">
        <v>550</v>
      </c>
    </row>
    <row r="1428" spans="1:14" x14ac:dyDescent="0.25">
      <c r="A1428">
        <v>1503.8670520000001</v>
      </c>
      <c r="B1428" s="1">
        <f>DATE(2014,6,12) + TIME(20,48,33)</f>
        <v>41802.867048611108</v>
      </c>
      <c r="C1428">
        <v>80</v>
      </c>
      <c r="D1428">
        <v>79.933021545000003</v>
      </c>
      <c r="E1428">
        <v>50</v>
      </c>
      <c r="F1428">
        <v>48.756877899000003</v>
      </c>
      <c r="G1428">
        <v>1335.7573242000001</v>
      </c>
      <c r="H1428">
        <v>1334.1807861</v>
      </c>
      <c r="I1428">
        <v>1329.1877440999999</v>
      </c>
      <c r="J1428">
        <v>1328.3469238</v>
      </c>
      <c r="K1428">
        <v>550</v>
      </c>
      <c r="L1428">
        <v>0</v>
      </c>
      <c r="M1428">
        <v>0</v>
      </c>
      <c r="N1428">
        <v>550</v>
      </c>
    </row>
    <row r="1429" spans="1:14" x14ac:dyDescent="0.25">
      <c r="A1429">
        <v>1505.391826</v>
      </c>
      <c r="B1429" s="1">
        <f>DATE(2014,6,14) + TIME(9,24,13)</f>
        <v>41804.391817129632</v>
      </c>
      <c r="C1429">
        <v>80</v>
      </c>
      <c r="D1429">
        <v>79.932899474999999</v>
      </c>
      <c r="E1429">
        <v>50</v>
      </c>
      <c r="F1429">
        <v>48.739887238000001</v>
      </c>
      <c r="G1429">
        <v>1335.7536620999999</v>
      </c>
      <c r="H1429">
        <v>1334.1813964999999</v>
      </c>
      <c r="I1429">
        <v>1329.1798096</v>
      </c>
      <c r="J1429">
        <v>1328.3326416</v>
      </c>
      <c r="K1429">
        <v>550</v>
      </c>
      <c r="L1429">
        <v>0</v>
      </c>
      <c r="M1429">
        <v>0</v>
      </c>
      <c r="N1429">
        <v>550</v>
      </c>
    </row>
    <row r="1430" spans="1:14" x14ac:dyDescent="0.25">
      <c r="A1430">
        <v>1506.9777529999999</v>
      </c>
      <c r="B1430" s="1">
        <f>DATE(2014,6,15) + TIME(23,27,57)</f>
        <v>41805.977743055555</v>
      </c>
      <c r="C1430">
        <v>80</v>
      </c>
      <c r="D1430">
        <v>79.932769774999997</v>
      </c>
      <c r="E1430">
        <v>50</v>
      </c>
      <c r="F1430">
        <v>48.725028991999999</v>
      </c>
      <c r="G1430">
        <v>1335.7501221</v>
      </c>
      <c r="H1430">
        <v>1334.1820068</v>
      </c>
      <c r="I1430">
        <v>1329.1716309000001</v>
      </c>
      <c r="J1430">
        <v>1328.3181152</v>
      </c>
      <c r="K1430">
        <v>550</v>
      </c>
      <c r="L1430">
        <v>0</v>
      </c>
      <c r="M1430">
        <v>0</v>
      </c>
      <c r="N1430">
        <v>550</v>
      </c>
    </row>
    <row r="1431" spans="1:14" x14ac:dyDescent="0.25">
      <c r="A1431">
        <v>1508.658739</v>
      </c>
      <c r="B1431" s="1">
        <f>DATE(2014,6,17) + TIME(15,48,35)</f>
        <v>41807.658738425926</v>
      </c>
      <c r="C1431">
        <v>80</v>
      </c>
      <c r="D1431">
        <v>79.932647704999994</v>
      </c>
      <c r="E1431">
        <v>50</v>
      </c>
      <c r="F1431">
        <v>48.712684631000002</v>
      </c>
      <c r="G1431">
        <v>1335.7464600000001</v>
      </c>
      <c r="H1431">
        <v>1334.1827393000001</v>
      </c>
      <c r="I1431">
        <v>1329.1634521000001</v>
      </c>
      <c r="J1431">
        <v>1328.3032227000001</v>
      </c>
      <c r="K1431">
        <v>550</v>
      </c>
      <c r="L1431">
        <v>0</v>
      </c>
      <c r="M1431">
        <v>0</v>
      </c>
      <c r="N1431">
        <v>550</v>
      </c>
    </row>
    <row r="1432" spans="1:14" x14ac:dyDescent="0.25">
      <c r="A1432">
        <v>1510.3873149999999</v>
      </c>
      <c r="B1432" s="1">
        <f>DATE(2014,6,19) + TIME(9,17,44)</f>
        <v>41809.387314814812</v>
      </c>
      <c r="C1432">
        <v>80</v>
      </c>
      <c r="D1432">
        <v>79.932525635000005</v>
      </c>
      <c r="E1432">
        <v>50</v>
      </c>
      <c r="F1432">
        <v>48.703842162999997</v>
      </c>
      <c r="G1432">
        <v>1335.7427978999999</v>
      </c>
      <c r="H1432">
        <v>1334.1834716999999</v>
      </c>
      <c r="I1432">
        <v>1329.1550293</v>
      </c>
      <c r="J1432">
        <v>1328.2878418</v>
      </c>
      <c r="K1432">
        <v>550</v>
      </c>
      <c r="L1432">
        <v>0</v>
      </c>
      <c r="M1432">
        <v>0</v>
      </c>
      <c r="N1432">
        <v>550</v>
      </c>
    </row>
    <row r="1433" spans="1:14" x14ac:dyDescent="0.25">
      <c r="A1433">
        <v>1512.156817</v>
      </c>
      <c r="B1433" s="1">
        <f>DATE(2014,6,21) + TIME(3,45,49)</f>
        <v>41811.156817129631</v>
      </c>
      <c r="C1433">
        <v>80</v>
      </c>
      <c r="D1433">
        <v>79.932403563999998</v>
      </c>
      <c r="E1433">
        <v>50</v>
      </c>
      <c r="F1433">
        <v>48.699268341</v>
      </c>
      <c r="G1433">
        <v>1335.7391356999999</v>
      </c>
      <c r="H1433">
        <v>1334.184082</v>
      </c>
      <c r="I1433">
        <v>1329.1466064000001</v>
      </c>
      <c r="J1433">
        <v>1328.2723389</v>
      </c>
      <c r="K1433">
        <v>550</v>
      </c>
      <c r="L1433">
        <v>0</v>
      </c>
      <c r="M1433">
        <v>0</v>
      </c>
      <c r="N1433">
        <v>550</v>
      </c>
    </row>
    <row r="1434" spans="1:14" x14ac:dyDescent="0.25">
      <c r="A1434">
        <v>1514.006578</v>
      </c>
      <c r="B1434" s="1">
        <f>DATE(2014,6,23) + TIME(0,9,28)</f>
        <v>41813.006574074076</v>
      </c>
      <c r="C1434">
        <v>80</v>
      </c>
      <c r="D1434">
        <v>79.932281493999994</v>
      </c>
      <c r="E1434">
        <v>50</v>
      </c>
      <c r="F1434">
        <v>48.699821471999996</v>
      </c>
      <c r="G1434">
        <v>1335.7355957</v>
      </c>
      <c r="H1434">
        <v>1334.1848144999999</v>
      </c>
      <c r="I1434">
        <v>1329.1383057</v>
      </c>
      <c r="J1434">
        <v>1328.2567139</v>
      </c>
      <c r="K1434">
        <v>550</v>
      </c>
      <c r="L1434">
        <v>0</v>
      </c>
      <c r="M1434">
        <v>0</v>
      </c>
      <c r="N1434">
        <v>550</v>
      </c>
    </row>
    <row r="1435" spans="1:14" x14ac:dyDescent="0.25">
      <c r="A1435">
        <v>1515.9620279999999</v>
      </c>
      <c r="B1435" s="1">
        <f>DATE(2014,6,24) + TIME(23,5,19)</f>
        <v>41814.962025462963</v>
      </c>
      <c r="C1435">
        <v>80</v>
      </c>
      <c r="D1435">
        <v>79.932167053000001</v>
      </c>
      <c r="E1435">
        <v>50</v>
      </c>
      <c r="F1435">
        <v>48.706848145000002</v>
      </c>
      <c r="G1435">
        <v>1335.7319336</v>
      </c>
      <c r="H1435">
        <v>1334.1854248</v>
      </c>
      <c r="I1435">
        <v>1329.1297606999999</v>
      </c>
      <c r="J1435">
        <v>1328.2408447</v>
      </c>
      <c r="K1435">
        <v>550</v>
      </c>
      <c r="L1435">
        <v>0</v>
      </c>
      <c r="M1435">
        <v>0</v>
      </c>
      <c r="N1435">
        <v>550</v>
      </c>
    </row>
    <row r="1436" spans="1:14" x14ac:dyDescent="0.25">
      <c r="A1436">
        <v>1518.0421650000001</v>
      </c>
      <c r="B1436" s="1">
        <f>DATE(2014,6,27) + TIME(1,0,43)</f>
        <v>41817.042164351849</v>
      </c>
      <c r="C1436">
        <v>80</v>
      </c>
      <c r="D1436">
        <v>79.932060242000006</v>
      </c>
      <c r="E1436">
        <v>50</v>
      </c>
      <c r="F1436">
        <v>48.722293854</v>
      </c>
      <c r="G1436">
        <v>1335.7282714999999</v>
      </c>
      <c r="H1436">
        <v>1334.1860352000001</v>
      </c>
      <c r="I1436">
        <v>1329.1212158000001</v>
      </c>
      <c r="J1436">
        <v>1328.2243652</v>
      </c>
      <c r="K1436">
        <v>550</v>
      </c>
      <c r="L1436">
        <v>0</v>
      </c>
      <c r="M1436">
        <v>0</v>
      </c>
      <c r="N1436">
        <v>550</v>
      </c>
    </row>
    <row r="1437" spans="1:14" x14ac:dyDescent="0.25">
      <c r="A1437">
        <v>1520.241493</v>
      </c>
      <c r="B1437" s="1">
        <f>DATE(2014,6,29) + TIME(5,47,44)</f>
        <v>41819.241481481484</v>
      </c>
      <c r="C1437">
        <v>80</v>
      </c>
      <c r="D1437">
        <v>79.931945800999998</v>
      </c>
      <c r="E1437">
        <v>50</v>
      </c>
      <c r="F1437">
        <v>48.748550414999997</v>
      </c>
      <c r="G1437">
        <v>1335.7244873</v>
      </c>
      <c r="H1437">
        <v>1334.1866454999999</v>
      </c>
      <c r="I1437">
        <v>1329.1126709</v>
      </c>
      <c r="J1437">
        <v>1328.2075195</v>
      </c>
      <c r="K1437">
        <v>550</v>
      </c>
      <c r="L1437">
        <v>0</v>
      </c>
      <c r="M1437">
        <v>0</v>
      </c>
      <c r="N1437">
        <v>550</v>
      </c>
    </row>
    <row r="1438" spans="1:14" x14ac:dyDescent="0.25">
      <c r="A1438">
        <v>1522</v>
      </c>
      <c r="B1438" s="1">
        <f>DATE(2014,7,1) + TIME(0,0,0)</f>
        <v>41821</v>
      </c>
      <c r="C1438">
        <v>80</v>
      </c>
      <c r="D1438">
        <v>79.931838988999999</v>
      </c>
      <c r="E1438">
        <v>50</v>
      </c>
      <c r="F1438">
        <v>48.782131194999998</v>
      </c>
      <c r="G1438">
        <v>1335.7208252</v>
      </c>
      <c r="H1438">
        <v>1334.1873779</v>
      </c>
      <c r="I1438">
        <v>1329.1043701000001</v>
      </c>
      <c r="J1438">
        <v>1328.1910399999999</v>
      </c>
      <c r="K1438">
        <v>550</v>
      </c>
      <c r="L1438">
        <v>0</v>
      </c>
      <c r="M1438">
        <v>0</v>
      </c>
      <c r="N1438">
        <v>550</v>
      </c>
    </row>
    <row r="1439" spans="1:14" x14ac:dyDescent="0.25">
      <c r="A1439">
        <v>1524.220127</v>
      </c>
      <c r="B1439" s="1">
        <f>DATE(2014,7,3) + TIME(5,16,58)</f>
        <v>41823.22011574074</v>
      </c>
      <c r="C1439">
        <v>80</v>
      </c>
      <c r="D1439">
        <v>79.931747436999999</v>
      </c>
      <c r="E1439">
        <v>50</v>
      </c>
      <c r="F1439">
        <v>48.831546783</v>
      </c>
      <c r="G1439">
        <v>1335.7177733999999</v>
      </c>
      <c r="H1439">
        <v>1334.1877440999999</v>
      </c>
      <c r="I1439">
        <v>1329.0969238</v>
      </c>
      <c r="J1439">
        <v>1328.1762695</v>
      </c>
      <c r="K1439">
        <v>550</v>
      </c>
      <c r="L1439">
        <v>0</v>
      </c>
      <c r="M1439">
        <v>0</v>
      </c>
      <c r="N1439">
        <v>550</v>
      </c>
    </row>
    <row r="1440" spans="1:14" x14ac:dyDescent="0.25">
      <c r="A1440">
        <v>1526.517085</v>
      </c>
      <c r="B1440" s="1">
        <f>DATE(2014,7,5) + TIME(12,24,36)</f>
        <v>41825.517083333332</v>
      </c>
      <c r="C1440">
        <v>80</v>
      </c>
      <c r="D1440">
        <v>79.931648253999995</v>
      </c>
      <c r="E1440">
        <v>50</v>
      </c>
      <c r="F1440">
        <v>48.898647308000001</v>
      </c>
      <c r="G1440">
        <v>1335.7142334</v>
      </c>
      <c r="H1440">
        <v>1334.1883545000001</v>
      </c>
      <c r="I1440">
        <v>1329.0889893000001</v>
      </c>
      <c r="J1440">
        <v>1328.1600341999999</v>
      </c>
      <c r="K1440">
        <v>550</v>
      </c>
      <c r="L1440">
        <v>0</v>
      </c>
      <c r="M1440">
        <v>0</v>
      </c>
      <c r="N1440">
        <v>550</v>
      </c>
    </row>
    <row r="1441" spans="1:14" x14ac:dyDescent="0.25">
      <c r="A1441">
        <v>1528.8770079999999</v>
      </c>
      <c r="B1441" s="1">
        <f>DATE(2014,7,7) + TIME(21,2,53)</f>
        <v>41827.877002314817</v>
      </c>
      <c r="C1441">
        <v>80</v>
      </c>
      <c r="D1441">
        <v>79.931556701999995</v>
      </c>
      <c r="E1441">
        <v>50</v>
      </c>
      <c r="F1441">
        <v>48.986595154</v>
      </c>
      <c r="G1441">
        <v>1335.7106934000001</v>
      </c>
      <c r="H1441">
        <v>1334.1888428</v>
      </c>
      <c r="I1441">
        <v>1329.0814209</v>
      </c>
      <c r="J1441">
        <v>1328.1439209</v>
      </c>
      <c r="K1441">
        <v>550</v>
      </c>
      <c r="L1441">
        <v>0</v>
      </c>
      <c r="M1441">
        <v>0</v>
      </c>
      <c r="N1441">
        <v>550</v>
      </c>
    </row>
    <row r="1442" spans="1:14" x14ac:dyDescent="0.25">
      <c r="A1442">
        <v>1531.298943</v>
      </c>
      <c r="B1442" s="1">
        <f>DATE(2014,7,10) + TIME(7,10,28)</f>
        <v>41830.298935185187</v>
      </c>
      <c r="C1442">
        <v>80</v>
      </c>
      <c r="D1442">
        <v>79.931472778</v>
      </c>
      <c r="E1442">
        <v>50</v>
      </c>
      <c r="F1442">
        <v>49.099018096999998</v>
      </c>
      <c r="G1442">
        <v>1335.7071533000001</v>
      </c>
      <c r="H1442">
        <v>1334.1893310999999</v>
      </c>
      <c r="I1442">
        <v>1329.0740966999999</v>
      </c>
      <c r="J1442">
        <v>1328.1280518000001</v>
      </c>
      <c r="K1442">
        <v>550</v>
      </c>
      <c r="L1442">
        <v>0</v>
      </c>
      <c r="M1442">
        <v>0</v>
      </c>
      <c r="N1442">
        <v>550</v>
      </c>
    </row>
    <row r="1443" spans="1:14" x14ac:dyDescent="0.25">
      <c r="A1443">
        <v>1533.783087</v>
      </c>
      <c r="B1443" s="1">
        <f>DATE(2014,7,12) + TIME(18,47,38)</f>
        <v>41832.783078703702</v>
      </c>
      <c r="C1443">
        <v>80</v>
      </c>
      <c r="D1443">
        <v>79.931388854999994</v>
      </c>
      <c r="E1443">
        <v>50</v>
      </c>
      <c r="F1443">
        <v>49.239990233999997</v>
      </c>
      <c r="G1443">
        <v>1335.7037353999999</v>
      </c>
      <c r="H1443">
        <v>1334.1896973</v>
      </c>
      <c r="I1443">
        <v>1329.0671387</v>
      </c>
      <c r="J1443">
        <v>1328.1126709</v>
      </c>
      <c r="K1443">
        <v>550</v>
      </c>
      <c r="L1443">
        <v>0</v>
      </c>
      <c r="M1443">
        <v>0</v>
      </c>
      <c r="N1443">
        <v>550</v>
      </c>
    </row>
    <row r="1444" spans="1:14" x14ac:dyDescent="0.25">
      <c r="A1444">
        <v>1535.0726520000001</v>
      </c>
      <c r="B1444" s="1">
        <f>DATE(2014,7,14) + TIME(1,44,37)</f>
        <v>41834.072650462964</v>
      </c>
      <c r="C1444">
        <v>80</v>
      </c>
      <c r="D1444">
        <v>79.931304932000003</v>
      </c>
      <c r="E1444">
        <v>50</v>
      </c>
      <c r="F1444">
        <v>49.352165221999996</v>
      </c>
      <c r="G1444">
        <v>1335.7003173999999</v>
      </c>
      <c r="H1444">
        <v>1334.1901855000001</v>
      </c>
      <c r="I1444">
        <v>1329.0620117000001</v>
      </c>
      <c r="J1444">
        <v>1328.0991211</v>
      </c>
      <c r="K1444">
        <v>550</v>
      </c>
      <c r="L1444">
        <v>0</v>
      </c>
      <c r="M1444">
        <v>0</v>
      </c>
      <c r="N1444">
        <v>550</v>
      </c>
    </row>
    <row r="1445" spans="1:14" x14ac:dyDescent="0.25">
      <c r="A1445">
        <v>1536.3622170000001</v>
      </c>
      <c r="B1445" s="1">
        <f>DATE(2014,7,15) + TIME(8,41,35)</f>
        <v>41835.362210648149</v>
      </c>
      <c r="C1445">
        <v>80</v>
      </c>
      <c r="D1445">
        <v>79.931251525999997</v>
      </c>
      <c r="E1445">
        <v>50</v>
      </c>
      <c r="F1445">
        <v>49.469154357999997</v>
      </c>
      <c r="G1445">
        <v>1335.6986084</v>
      </c>
      <c r="H1445">
        <v>1334.1903076000001</v>
      </c>
      <c r="I1445">
        <v>1329.0579834</v>
      </c>
      <c r="J1445">
        <v>1328.0905762</v>
      </c>
      <c r="K1445">
        <v>550</v>
      </c>
      <c r="L1445">
        <v>0</v>
      </c>
      <c r="M1445">
        <v>0</v>
      </c>
      <c r="N1445">
        <v>550</v>
      </c>
    </row>
    <row r="1446" spans="1:14" x14ac:dyDescent="0.25">
      <c r="A1446">
        <v>1537.6517819999999</v>
      </c>
      <c r="B1446" s="1">
        <f>DATE(2014,7,16) + TIME(15,38,33)</f>
        <v>41836.651770833334</v>
      </c>
      <c r="C1446">
        <v>80</v>
      </c>
      <c r="D1446">
        <v>79.931205750000004</v>
      </c>
      <c r="E1446">
        <v>50</v>
      </c>
      <c r="F1446">
        <v>49.593139647999998</v>
      </c>
      <c r="G1446">
        <v>1335.6968993999999</v>
      </c>
      <c r="H1446">
        <v>1334.1904297000001</v>
      </c>
      <c r="I1446">
        <v>1329.0545654</v>
      </c>
      <c r="J1446">
        <v>1328.0826416</v>
      </c>
      <c r="K1446">
        <v>550</v>
      </c>
      <c r="L1446">
        <v>0</v>
      </c>
      <c r="M1446">
        <v>0</v>
      </c>
      <c r="N1446">
        <v>550</v>
      </c>
    </row>
    <row r="1447" spans="1:14" x14ac:dyDescent="0.25">
      <c r="A1447">
        <v>1538.941347</v>
      </c>
      <c r="B1447" s="1">
        <f>DATE(2014,7,17) + TIME(22,35,32)</f>
        <v>41837.941342592596</v>
      </c>
      <c r="C1447">
        <v>80</v>
      </c>
      <c r="D1447">
        <v>79.931167603000006</v>
      </c>
      <c r="E1447">
        <v>50</v>
      </c>
      <c r="F1447">
        <v>49.725467682000001</v>
      </c>
      <c r="G1447">
        <v>1335.6951904</v>
      </c>
      <c r="H1447">
        <v>1334.1905518000001</v>
      </c>
      <c r="I1447">
        <v>1329.0513916</v>
      </c>
      <c r="J1447">
        <v>1328.0754394999999</v>
      </c>
      <c r="K1447">
        <v>550</v>
      </c>
      <c r="L1447">
        <v>0</v>
      </c>
      <c r="M1447">
        <v>0</v>
      </c>
      <c r="N1447">
        <v>550</v>
      </c>
    </row>
    <row r="1448" spans="1:14" x14ac:dyDescent="0.25">
      <c r="A1448">
        <v>1540.230912</v>
      </c>
      <c r="B1448" s="1">
        <f>DATE(2014,7,19) + TIME(5,32,30)</f>
        <v>41839.230902777781</v>
      </c>
      <c r="C1448">
        <v>80</v>
      </c>
      <c r="D1448">
        <v>79.931129455999994</v>
      </c>
      <c r="E1448">
        <v>50</v>
      </c>
      <c r="F1448">
        <v>49.866905211999999</v>
      </c>
      <c r="G1448">
        <v>1335.6936035000001</v>
      </c>
      <c r="H1448">
        <v>1334.1906738</v>
      </c>
      <c r="I1448">
        <v>1329.0485839999999</v>
      </c>
      <c r="J1448">
        <v>1328.0686035000001</v>
      </c>
      <c r="K1448">
        <v>550</v>
      </c>
      <c r="L1448">
        <v>0</v>
      </c>
      <c r="M1448">
        <v>0</v>
      </c>
      <c r="N1448">
        <v>550</v>
      </c>
    </row>
    <row r="1449" spans="1:14" x14ac:dyDescent="0.25">
      <c r="A1449">
        <v>1541.520477</v>
      </c>
      <c r="B1449" s="1">
        <f>DATE(2014,7,20) + TIME(12,29,29)</f>
        <v>41840.520474537036</v>
      </c>
      <c r="C1449">
        <v>80</v>
      </c>
      <c r="D1449">
        <v>79.931098938000005</v>
      </c>
      <c r="E1449">
        <v>50</v>
      </c>
      <c r="F1449">
        <v>50.017833709999998</v>
      </c>
      <c r="G1449">
        <v>1335.6920166</v>
      </c>
      <c r="H1449">
        <v>1334.1907959</v>
      </c>
      <c r="I1449">
        <v>1329.0460204999999</v>
      </c>
      <c r="J1449">
        <v>1328.0623779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1542.8100420000001</v>
      </c>
      <c r="B1450" s="1">
        <f>DATE(2014,7,21) + TIME(19,26,27)</f>
        <v>41841.810034722221</v>
      </c>
      <c r="C1450">
        <v>80</v>
      </c>
      <c r="D1450">
        <v>79.931076050000001</v>
      </c>
      <c r="E1450">
        <v>50</v>
      </c>
      <c r="F1450">
        <v>50.178302764999998</v>
      </c>
      <c r="G1450">
        <v>1335.6904297000001</v>
      </c>
      <c r="H1450">
        <v>1334.190918</v>
      </c>
      <c r="I1450">
        <v>1329.0437012</v>
      </c>
      <c r="J1450">
        <v>1328.0565185999999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1545.3891719999999</v>
      </c>
      <c r="B1451" s="1">
        <f>DATE(2014,7,24) + TIME(9,20,24)</f>
        <v>41844.389166666668</v>
      </c>
      <c r="C1451">
        <v>80</v>
      </c>
      <c r="D1451">
        <v>79.931076050000001</v>
      </c>
      <c r="E1451">
        <v>50</v>
      </c>
      <c r="F1451">
        <v>50.441986084</v>
      </c>
      <c r="G1451">
        <v>1335.6888428</v>
      </c>
      <c r="H1451">
        <v>1334.190918</v>
      </c>
      <c r="I1451">
        <v>1329.0402832</v>
      </c>
      <c r="J1451">
        <v>1328.0501709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1547.9821850000001</v>
      </c>
      <c r="B1452" s="1">
        <f>DATE(2014,7,26) + TIME(23,34,20)</f>
        <v>41846.982175925928</v>
      </c>
      <c r="C1452">
        <v>80</v>
      </c>
      <c r="D1452">
        <v>79.931045531999999</v>
      </c>
      <c r="E1452">
        <v>50</v>
      </c>
      <c r="F1452">
        <v>50.769241332999997</v>
      </c>
      <c r="G1452">
        <v>1335.6857910000001</v>
      </c>
      <c r="H1452">
        <v>1334.1911620999999</v>
      </c>
      <c r="I1452">
        <v>1329.0378418</v>
      </c>
      <c r="J1452">
        <v>1328.041626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1550.7267179999999</v>
      </c>
      <c r="B1453" s="1">
        <f>DATE(2014,7,29) + TIME(17,26,28)</f>
        <v>41849.726712962962</v>
      </c>
      <c r="C1453">
        <v>80</v>
      </c>
      <c r="D1453">
        <v>79.931007385000001</v>
      </c>
      <c r="E1453">
        <v>50</v>
      </c>
      <c r="F1453">
        <v>51.153217316000003</v>
      </c>
      <c r="G1453">
        <v>1335.6827393000001</v>
      </c>
      <c r="H1453">
        <v>1334.1912841999999</v>
      </c>
      <c r="I1453">
        <v>1329.0354004000001</v>
      </c>
      <c r="J1453">
        <v>1328.0335693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1553</v>
      </c>
      <c r="B1454" s="1">
        <f>DATE(2014,8,1) + TIME(0,0,0)</f>
        <v>41852</v>
      </c>
      <c r="C1454">
        <v>80</v>
      </c>
      <c r="D1454">
        <v>79.930961608999993</v>
      </c>
      <c r="E1454">
        <v>50</v>
      </c>
      <c r="F1454">
        <v>51.541130066000001</v>
      </c>
      <c r="G1454">
        <v>1335.6798096</v>
      </c>
      <c r="H1454">
        <v>1334.1914062000001</v>
      </c>
      <c r="I1454">
        <v>1329.0340576000001</v>
      </c>
      <c r="J1454">
        <v>1328.0264893000001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1555.903217</v>
      </c>
      <c r="B1455" s="1">
        <f>DATE(2014,8,3) + TIME(21,40,37)</f>
        <v>41854.90320601852</v>
      </c>
      <c r="C1455">
        <v>80</v>
      </c>
      <c r="D1455">
        <v>79.930938721000004</v>
      </c>
      <c r="E1455">
        <v>50</v>
      </c>
      <c r="F1455">
        <v>52.003734588999997</v>
      </c>
      <c r="G1455">
        <v>1335.6773682</v>
      </c>
      <c r="H1455">
        <v>1334.1915283000001</v>
      </c>
      <c r="I1455">
        <v>1329.0318603999999</v>
      </c>
      <c r="J1455">
        <v>1328.020874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1558.8450419999999</v>
      </c>
      <c r="B1456" s="1">
        <f>DATE(2014,8,6) + TIME(20,16,51)</f>
        <v>41857.845034722224</v>
      </c>
      <c r="C1456">
        <v>80</v>
      </c>
      <c r="D1456">
        <v>79.930915833</v>
      </c>
      <c r="E1456">
        <v>50</v>
      </c>
      <c r="F1456">
        <v>52.524311066000003</v>
      </c>
      <c r="G1456">
        <v>1335.6743164</v>
      </c>
      <c r="H1456">
        <v>1334.1915283000001</v>
      </c>
      <c r="I1456">
        <v>1329.0311279</v>
      </c>
      <c r="J1456">
        <v>1328.0153809000001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1561.9195649999999</v>
      </c>
      <c r="B1457" s="1">
        <f>DATE(2014,8,9) + TIME(22,4,10)</f>
        <v>41860.919560185182</v>
      </c>
      <c r="C1457">
        <v>80</v>
      </c>
      <c r="D1457">
        <v>79.930892943999993</v>
      </c>
      <c r="E1457">
        <v>50</v>
      </c>
      <c r="F1457">
        <v>53.102233886999997</v>
      </c>
      <c r="G1457">
        <v>1335.6713867000001</v>
      </c>
      <c r="H1457">
        <v>1334.1915283000001</v>
      </c>
      <c r="I1457">
        <v>1329.0307617000001</v>
      </c>
      <c r="J1457">
        <v>1328.0112305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1565.080209</v>
      </c>
      <c r="B1458" s="1">
        <f>DATE(2014,8,13) + TIME(1,55,30)</f>
        <v>41864.080208333333</v>
      </c>
      <c r="C1458">
        <v>80</v>
      </c>
      <c r="D1458">
        <v>79.930877686000002</v>
      </c>
      <c r="E1458">
        <v>50</v>
      </c>
      <c r="F1458">
        <v>53.728904724000003</v>
      </c>
      <c r="G1458">
        <v>1335.6683350000001</v>
      </c>
      <c r="H1458">
        <v>1334.1915283000001</v>
      </c>
      <c r="I1458">
        <v>1329.03125</v>
      </c>
      <c r="J1458">
        <v>1328.0084228999999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1568.3190589999999</v>
      </c>
      <c r="B1459" s="1">
        <f>DATE(2014,8,16) + TIME(7,39,26)</f>
        <v>41867.319050925929</v>
      </c>
      <c r="C1459">
        <v>80</v>
      </c>
      <c r="D1459">
        <v>79.930862426999994</v>
      </c>
      <c r="E1459">
        <v>50</v>
      </c>
      <c r="F1459">
        <v>54.393981934000003</v>
      </c>
      <c r="G1459">
        <v>1335.6652832</v>
      </c>
      <c r="H1459">
        <v>1334.1914062000001</v>
      </c>
      <c r="I1459">
        <v>1329.0323486</v>
      </c>
      <c r="J1459">
        <v>1328.0069579999999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1571.694923</v>
      </c>
      <c r="B1460" s="1">
        <f>DATE(2014,8,19) + TIME(16,40,41)</f>
        <v>41870.694918981484</v>
      </c>
      <c r="C1460">
        <v>80</v>
      </c>
      <c r="D1460">
        <v>79.930862426999994</v>
      </c>
      <c r="E1460">
        <v>50</v>
      </c>
      <c r="F1460">
        <v>55.092147826999998</v>
      </c>
      <c r="G1460">
        <v>1335.6623535000001</v>
      </c>
      <c r="H1460">
        <v>1334.1912841999999</v>
      </c>
      <c r="I1460">
        <v>1329.0340576000001</v>
      </c>
      <c r="J1460">
        <v>1328.0069579999999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1575.257488</v>
      </c>
      <c r="B1461" s="1">
        <f>DATE(2014,8,23) + TIME(6,10,46)</f>
        <v>41874.257476851853</v>
      </c>
      <c r="C1461">
        <v>80</v>
      </c>
      <c r="D1461">
        <v>79.930862426999994</v>
      </c>
      <c r="E1461">
        <v>50</v>
      </c>
      <c r="F1461">
        <v>55.821472168</v>
      </c>
      <c r="G1461">
        <v>1335.6594238</v>
      </c>
      <c r="H1461">
        <v>1334.1912841999999</v>
      </c>
      <c r="I1461">
        <v>1329.036499</v>
      </c>
      <c r="J1461">
        <v>1328.0081786999999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1578.896737</v>
      </c>
      <c r="B1462" s="1">
        <f>DATE(2014,8,26) + TIME(21,31,18)</f>
        <v>41877.896736111114</v>
      </c>
      <c r="C1462">
        <v>80</v>
      </c>
      <c r="D1462">
        <v>79.930862426999994</v>
      </c>
      <c r="E1462">
        <v>50</v>
      </c>
      <c r="F1462">
        <v>56.567378998000002</v>
      </c>
      <c r="G1462">
        <v>1335.6564940999999</v>
      </c>
      <c r="H1462">
        <v>1334.1911620999999</v>
      </c>
      <c r="I1462">
        <v>1329.0399170000001</v>
      </c>
      <c r="J1462">
        <v>1328.0108643000001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1582.6817490000001</v>
      </c>
      <c r="B1463" s="1">
        <f>DATE(2014,8,30) + TIME(16,21,43)</f>
        <v>41881.681747685187</v>
      </c>
      <c r="C1463">
        <v>80</v>
      </c>
      <c r="D1463">
        <v>79.930877686000002</v>
      </c>
      <c r="E1463">
        <v>50</v>
      </c>
      <c r="F1463">
        <v>57.321212768999999</v>
      </c>
      <c r="G1463">
        <v>1335.6536865</v>
      </c>
      <c r="H1463">
        <v>1334.1910399999999</v>
      </c>
      <c r="I1463">
        <v>1329.0438231999999</v>
      </c>
      <c r="J1463">
        <v>1328.0146483999999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1584</v>
      </c>
      <c r="B1464" s="1">
        <f>DATE(2014,9,1) + TIME(0,0,0)</f>
        <v>41883</v>
      </c>
      <c r="C1464">
        <v>80</v>
      </c>
      <c r="D1464">
        <v>79.930839539000004</v>
      </c>
      <c r="E1464">
        <v>50</v>
      </c>
      <c r="F1464">
        <v>57.740524292000003</v>
      </c>
      <c r="G1464">
        <v>1335.6508789</v>
      </c>
      <c r="H1464">
        <v>1334.1910399999999</v>
      </c>
      <c r="I1464">
        <v>1329.0512695</v>
      </c>
      <c r="J1464">
        <v>1328.0201416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1588.017826</v>
      </c>
      <c r="B1465" s="1">
        <f>DATE(2014,9,5) + TIME(0,25,40)</f>
        <v>41887.017824074072</v>
      </c>
      <c r="C1465">
        <v>80</v>
      </c>
      <c r="D1465">
        <v>79.930892943999993</v>
      </c>
      <c r="E1465">
        <v>50</v>
      </c>
      <c r="F1465">
        <v>58.397941588999998</v>
      </c>
      <c r="G1465">
        <v>1335.6499022999999</v>
      </c>
      <c r="H1465">
        <v>1334.1907959</v>
      </c>
      <c r="I1465">
        <v>1329.0504149999999</v>
      </c>
      <c r="J1465">
        <v>1328.0234375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1592.16211</v>
      </c>
      <c r="B1466" s="1">
        <f>DATE(2014,9,9) + TIME(3,53,26)</f>
        <v>41891.162106481483</v>
      </c>
      <c r="C1466">
        <v>80</v>
      </c>
      <c r="D1466">
        <v>79.930923461999996</v>
      </c>
      <c r="E1466">
        <v>50</v>
      </c>
      <c r="F1466">
        <v>59.105239867999998</v>
      </c>
      <c r="G1466">
        <v>1335.6470947</v>
      </c>
      <c r="H1466">
        <v>1334.1906738</v>
      </c>
      <c r="I1466">
        <v>1329.0557861</v>
      </c>
      <c r="J1466">
        <v>1328.0284423999999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1596.4413460000001</v>
      </c>
      <c r="B1467" s="1">
        <f>DATE(2014,9,13) + TIME(10,35,32)</f>
        <v>41895.441342592596</v>
      </c>
      <c r="C1467">
        <v>80</v>
      </c>
      <c r="D1467">
        <v>79.930961608999993</v>
      </c>
      <c r="E1467">
        <v>50</v>
      </c>
      <c r="F1467">
        <v>59.818756104000002</v>
      </c>
      <c r="G1467">
        <v>1335.6442870999999</v>
      </c>
      <c r="H1467">
        <v>1334.1906738</v>
      </c>
      <c r="I1467">
        <v>1329.0617675999999</v>
      </c>
      <c r="J1467">
        <v>1328.0351562000001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1600.9517310000001</v>
      </c>
      <c r="B1468" s="1">
        <f>DATE(2014,9,17) + TIME(22,50,29)</f>
        <v>41899.951724537037</v>
      </c>
      <c r="C1468">
        <v>80</v>
      </c>
      <c r="D1468">
        <v>79.930999756000006</v>
      </c>
      <c r="E1468">
        <v>50</v>
      </c>
      <c r="F1468">
        <v>60.523174286</v>
      </c>
      <c r="G1468">
        <v>1335.6416016000001</v>
      </c>
      <c r="H1468">
        <v>1334.1905518000001</v>
      </c>
      <c r="I1468">
        <v>1329.0681152</v>
      </c>
      <c r="J1468">
        <v>1328.0427245999999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1605.679437</v>
      </c>
      <c r="B1469" s="1">
        <f>DATE(2014,9,22) + TIME(16,18,23)</f>
        <v>41904.679432870369</v>
      </c>
      <c r="C1469">
        <v>80</v>
      </c>
      <c r="D1469">
        <v>79.931045531999999</v>
      </c>
      <c r="E1469">
        <v>50</v>
      </c>
      <c r="F1469">
        <v>61.211643219000003</v>
      </c>
      <c r="G1469">
        <v>1335.6390381000001</v>
      </c>
      <c r="H1469">
        <v>1334.1905518000001</v>
      </c>
      <c r="I1469">
        <v>1329.0749512</v>
      </c>
      <c r="J1469">
        <v>1328.0509033000001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1610.5020050000001</v>
      </c>
      <c r="B1470" s="1">
        <f>DATE(2014,9,27) + TIME(12,2,53)</f>
        <v>41909.502002314817</v>
      </c>
      <c r="C1470">
        <v>80</v>
      </c>
      <c r="D1470">
        <v>79.931098938000005</v>
      </c>
      <c r="E1470">
        <v>50</v>
      </c>
      <c r="F1470">
        <v>61.872230530000003</v>
      </c>
      <c r="G1470">
        <v>1335.6364745999999</v>
      </c>
      <c r="H1470">
        <v>1334.1905518000001</v>
      </c>
      <c r="I1470">
        <v>1329.0822754000001</v>
      </c>
      <c r="J1470">
        <v>1328.0595702999999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1614</v>
      </c>
      <c r="B1471" s="1">
        <f>DATE(2014,10,1) + TIME(0,0,0)</f>
        <v>41913</v>
      </c>
      <c r="C1471">
        <v>80</v>
      </c>
      <c r="D1471">
        <v>79.931114196999999</v>
      </c>
      <c r="E1471">
        <v>50</v>
      </c>
      <c r="F1471">
        <v>62.420207976999997</v>
      </c>
      <c r="G1471">
        <v>1335.6340332</v>
      </c>
      <c r="H1471">
        <v>1334.1905518000001</v>
      </c>
      <c r="I1471">
        <v>1329.090332</v>
      </c>
      <c r="J1471">
        <v>1328.0688477000001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1619.0180600000001</v>
      </c>
      <c r="B1472" s="1">
        <f>DATE(2014,10,6) + TIME(0,26,0)</f>
        <v>41918.018055555556</v>
      </c>
      <c r="C1472">
        <v>80</v>
      </c>
      <c r="D1472">
        <v>79.931198120000005</v>
      </c>
      <c r="E1472">
        <v>50</v>
      </c>
      <c r="F1472">
        <v>62.948364257999998</v>
      </c>
      <c r="G1472">
        <v>1335.6323242000001</v>
      </c>
      <c r="H1472">
        <v>1334.1905518000001</v>
      </c>
      <c r="I1472">
        <v>1329.0954589999999</v>
      </c>
      <c r="J1472">
        <v>1328.0767822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1624.5315820000001</v>
      </c>
      <c r="B1473" s="1">
        <f>DATE(2014,10,11) + TIME(12,45,28)</f>
        <v>41923.531574074077</v>
      </c>
      <c r="C1473">
        <v>80</v>
      </c>
      <c r="D1473">
        <v>79.931282042999996</v>
      </c>
      <c r="E1473">
        <v>50</v>
      </c>
      <c r="F1473">
        <v>63.495281218999999</v>
      </c>
      <c r="G1473">
        <v>1335.6300048999999</v>
      </c>
      <c r="H1473">
        <v>1334.1905518000001</v>
      </c>
      <c r="I1473">
        <v>1329.1022949000001</v>
      </c>
      <c r="J1473">
        <v>1328.0843506000001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1630.175614</v>
      </c>
      <c r="B1474" s="1">
        <f>DATE(2014,10,17) + TIME(4,12,53)</f>
        <v>41929.175613425927</v>
      </c>
      <c r="C1474">
        <v>80</v>
      </c>
      <c r="D1474">
        <v>79.931365967000005</v>
      </c>
      <c r="E1474">
        <v>50</v>
      </c>
      <c r="F1474">
        <v>64.035285950000002</v>
      </c>
      <c r="G1474">
        <v>1335.6276855000001</v>
      </c>
      <c r="H1474">
        <v>1334.1906738</v>
      </c>
      <c r="I1474">
        <v>1329.1098632999999</v>
      </c>
      <c r="J1474">
        <v>1328.0927733999999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1635.989505</v>
      </c>
      <c r="B1475" s="1">
        <f>DATE(2014,10,22) + TIME(23,44,53)</f>
        <v>41934.989502314813</v>
      </c>
      <c r="C1475">
        <v>80</v>
      </c>
      <c r="D1475">
        <v>79.931457519999995</v>
      </c>
      <c r="E1475">
        <v>50</v>
      </c>
      <c r="F1475">
        <v>64.546501160000005</v>
      </c>
      <c r="G1475">
        <v>1335.6253661999999</v>
      </c>
      <c r="H1475">
        <v>1334.1907959</v>
      </c>
      <c r="I1475">
        <v>1329.1174315999999</v>
      </c>
      <c r="J1475">
        <v>1328.1015625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1642.102167</v>
      </c>
      <c r="B1476" s="1">
        <f>DATE(2014,10,29) + TIME(2,27,7)</f>
        <v>41941.102164351854</v>
      </c>
      <c r="C1476">
        <v>80</v>
      </c>
      <c r="D1476">
        <v>79.931556701999995</v>
      </c>
      <c r="E1476">
        <v>50</v>
      </c>
      <c r="F1476">
        <v>65.027549743999998</v>
      </c>
      <c r="G1476">
        <v>1335.6232910000001</v>
      </c>
      <c r="H1476">
        <v>1334.190918</v>
      </c>
      <c r="I1476">
        <v>1329.1248779</v>
      </c>
      <c r="J1476">
        <v>1328.1101074000001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1645</v>
      </c>
      <c r="B1477" s="1">
        <f>DATE(2014,11,1) + TIME(0,0,0)</f>
        <v>41944</v>
      </c>
      <c r="C1477">
        <v>80</v>
      </c>
      <c r="D1477">
        <v>79.931564331000004</v>
      </c>
      <c r="E1477">
        <v>50</v>
      </c>
      <c r="F1477">
        <v>65.367721558</v>
      </c>
      <c r="G1477">
        <v>1335.6212158000001</v>
      </c>
      <c r="H1477">
        <v>1334.1911620999999</v>
      </c>
      <c r="I1477">
        <v>1329.1331786999999</v>
      </c>
      <c r="J1477">
        <v>1328.1187743999999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1645.0000010000001</v>
      </c>
      <c r="B1478" s="1">
        <f>DATE(2014,11,1) + TIME(0,0,0)</f>
        <v>41944</v>
      </c>
      <c r="C1478">
        <v>80</v>
      </c>
      <c r="D1478">
        <v>79.931533813000001</v>
      </c>
      <c r="E1478">
        <v>50</v>
      </c>
      <c r="F1478">
        <v>65.367752074999999</v>
      </c>
      <c r="G1478">
        <v>1333.9812012</v>
      </c>
      <c r="H1478">
        <v>1333.9130858999999</v>
      </c>
      <c r="I1478">
        <v>1330.5291748</v>
      </c>
      <c r="J1478">
        <v>1329.3928223</v>
      </c>
      <c r="K1478">
        <v>0</v>
      </c>
      <c r="L1478">
        <v>550</v>
      </c>
      <c r="M1478">
        <v>550</v>
      </c>
      <c r="N1478">
        <v>0</v>
      </c>
    </row>
    <row r="1479" spans="1:14" x14ac:dyDescent="0.25">
      <c r="A1479">
        <v>1645.000004</v>
      </c>
      <c r="B1479" s="1">
        <f>DATE(2014,11,1) + TIME(0,0,0)</f>
        <v>41944</v>
      </c>
      <c r="C1479">
        <v>80</v>
      </c>
      <c r="D1479">
        <v>79.931488036999994</v>
      </c>
      <c r="E1479">
        <v>50</v>
      </c>
      <c r="F1479">
        <v>65.367797851999995</v>
      </c>
      <c r="G1479">
        <v>1333.6267089999999</v>
      </c>
      <c r="H1479">
        <v>1333.5739745999999</v>
      </c>
      <c r="I1479">
        <v>1330.9149170000001</v>
      </c>
      <c r="J1479">
        <v>1329.8515625</v>
      </c>
      <c r="K1479">
        <v>0</v>
      </c>
      <c r="L1479">
        <v>550</v>
      </c>
      <c r="M1479">
        <v>550</v>
      </c>
      <c r="N1479">
        <v>0</v>
      </c>
    </row>
    <row r="1480" spans="1:14" x14ac:dyDescent="0.25">
      <c r="A1480">
        <v>1645.0000130000001</v>
      </c>
      <c r="B1480" s="1">
        <f>DATE(2014,11,1) + TIME(0,0,1)</f>
        <v>41944.000011574077</v>
      </c>
      <c r="C1480">
        <v>80</v>
      </c>
      <c r="D1480">
        <v>79.931419372999997</v>
      </c>
      <c r="E1480">
        <v>50</v>
      </c>
      <c r="F1480">
        <v>65.36781311</v>
      </c>
      <c r="G1480">
        <v>1333.1859131000001</v>
      </c>
      <c r="H1480">
        <v>1333.1204834</v>
      </c>
      <c r="I1480">
        <v>1331.4802245999999</v>
      </c>
      <c r="J1480">
        <v>1330.4270019999999</v>
      </c>
      <c r="K1480">
        <v>0</v>
      </c>
      <c r="L1480">
        <v>550</v>
      </c>
      <c r="M1480">
        <v>550</v>
      </c>
      <c r="N1480">
        <v>0</v>
      </c>
    </row>
    <row r="1481" spans="1:14" x14ac:dyDescent="0.25">
      <c r="A1481">
        <v>1645.0000399999999</v>
      </c>
      <c r="B1481" s="1">
        <f>DATE(2014,11,1) + TIME(0,0,3)</f>
        <v>41944.000034722223</v>
      </c>
      <c r="C1481">
        <v>80</v>
      </c>
      <c r="D1481">
        <v>79.931350707999997</v>
      </c>
      <c r="E1481">
        <v>50</v>
      </c>
      <c r="F1481">
        <v>65.367721558</v>
      </c>
      <c r="G1481">
        <v>1332.7192382999999</v>
      </c>
      <c r="H1481">
        <v>1332.6237793</v>
      </c>
      <c r="I1481">
        <v>1332.1228027</v>
      </c>
      <c r="J1481">
        <v>1331.0491943</v>
      </c>
      <c r="K1481">
        <v>0</v>
      </c>
      <c r="L1481">
        <v>550</v>
      </c>
      <c r="M1481">
        <v>550</v>
      </c>
      <c r="N1481">
        <v>0</v>
      </c>
    </row>
    <row r="1482" spans="1:14" x14ac:dyDescent="0.25">
      <c r="A1482">
        <v>1645.000121</v>
      </c>
      <c r="B1482" s="1">
        <f>DATE(2014,11,1) + TIME(0,0,10)</f>
        <v>41944.000115740739</v>
      </c>
      <c r="C1482">
        <v>80</v>
      </c>
      <c r="D1482">
        <v>79.931282042999996</v>
      </c>
      <c r="E1482">
        <v>50</v>
      </c>
      <c r="F1482">
        <v>65.367256165000001</v>
      </c>
      <c r="G1482">
        <v>1332.2443848</v>
      </c>
      <c r="H1482">
        <v>1332.1147461</v>
      </c>
      <c r="I1482">
        <v>1332.7657471</v>
      </c>
      <c r="J1482">
        <v>1331.6678466999999</v>
      </c>
      <c r="K1482">
        <v>0</v>
      </c>
      <c r="L1482">
        <v>550</v>
      </c>
      <c r="M1482">
        <v>550</v>
      </c>
      <c r="N1482">
        <v>0</v>
      </c>
    </row>
    <row r="1483" spans="1:14" x14ac:dyDescent="0.25">
      <c r="A1483">
        <v>1645.000364</v>
      </c>
      <c r="B1483" s="1">
        <f>DATE(2014,11,1) + TIME(0,0,31)</f>
        <v>41944.000358796293</v>
      </c>
      <c r="C1483">
        <v>80</v>
      </c>
      <c r="D1483">
        <v>79.931205750000004</v>
      </c>
      <c r="E1483">
        <v>50</v>
      </c>
      <c r="F1483">
        <v>65.365623474000003</v>
      </c>
      <c r="G1483">
        <v>1331.7999268000001</v>
      </c>
      <c r="H1483">
        <v>1331.6333007999999</v>
      </c>
      <c r="I1483">
        <v>1333.3542480000001</v>
      </c>
      <c r="J1483">
        <v>1332.2225341999999</v>
      </c>
      <c r="K1483">
        <v>0</v>
      </c>
      <c r="L1483">
        <v>550</v>
      </c>
      <c r="M1483">
        <v>550</v>
      </c>
      <c r="N1483">
        <v>0</v>
      </c>
    </row>
    <row r="1484" spans="1:14" x14ac:dyDescent="0.25">
      <c r="A1484">
        <v>1645.0010930000001</v>
      </c>
      <c r="B1484" s="1">
        <f>DATE(2014,11,1) + TIME(0,1,34)</f>
        <v>41944.001087962963</v>
      </c>
      <c r="C1484">
        <v>80</v>
      </c>
      <c r="D1484">
        <v>79.931106567</v>
      </c>
      <c r="E1484">
        <v>50</v>
      </c>
      <c r="F1484">
        <v>65.360412597999996</v>
      </c>
      <c r="G1484">
        <v>1331.4616699000001</v>
      </c>
      <c r="H1484">
        <v>1331.2658690999999</v>
      </c>
      <c r="I1484">
        <v>1333.7998047000001</v>
      </c>
      <c r="J1484">
        <v>1332.6319579999999</v>
      </c>
      <c r="K1484">
        <v>0</v>
      </c>
      <c r="L1484">
        <v>550</v>
      </c>
      <c r="M1484">
        <v>550</v>
      </c>
      <c r="N1484">
        <v>0</v>
      </c>
    </row>
    <row r="1485" spans="1:14" x14ac:dyDescent="0.25">
      <c r="A1485">
        <v>1645.0032799999999</v>
      </c>
      <c r="B1485" s="1">
        <f>DATE(2014,11,1) + TIME(0,4,43)</f>
        <v>41944.003275462965</v>
      </c>
      <c r="C1485">
        <v>80</v>
      </c>
      <c r="D1485">
        <v>79.930938721000004</v>
      </c>
      <c r="E1485">
        <v>50</v>
      </c>
      <c r="F1485">
        <v>65.344367981000005</v>
      </c>
      <c r="G1485">
        <v>1331.2620850000001</v>
      </c>
      <c r="H1485">
        <v>1331.052124</v>
      </c>
      <c r="I1485">
        <v>1334.0623779</v>
      </c>
      <c r="J1485">
        <v>1332.8719481999999</v>
      </c>
      <c r="K1485">
        <v>0</v>
      </c>
      <c r="L1485">
        <v>550</v>
      </c>
      <c r="M1485">
        <v>550</v>
      </c>
      <c r="N1485">
        <v>0</v>
      </c>
    </row>
    <row r="1486" spans="1:14" x14ac:dyDescent="0.25">
      <c r="A1486">
        <v>1645.0098410000001</v>
      </c>
      <c r="B1486" s="1">
        <f>DATE(2014,11,1) + TIME(0,14,10)</f>
        <v>41944.009837962964</v>
      </c>
      <c r="C1486">
        <v>80</v>
      </c>
      <c r="D1486">
        <v>79.930480957</v>
      </c>
      <c r="E1486">
        <v>50</v>
      </c>
      <c r="F1486">
        <v>65.295974731000001</v>
      </c>
      <c r="G1486">
        <v>1331.1668701000001</v>
      </c>
      <c r="H1486">
        <v>1330.9526367000001</v>
      </c>
      <c r="I1486">
        <v>1334.1784668</v>
      </c>
      <c r="J1486">
        <v>1332.979126</v>
      </c>
      <c r="K1486">
        <v>0</v>
      </c>
      <c r="L1486">
        <v>550</v>
      </c>
      <c r="M1486">
        <v>550</v>
      </c>
      <c r="N1486">
        <v>0</v>
      </c>
    </row>
    <row r="1487" spans="1:14" x14ac:dyDescent="0.25">
      <c r="A1487">
        <v>1645.029524</v>
      </c>
      <c r="B1487" s="1">
        <f>DATE(2014,11,1) + TIME(0,42,30)</f>
        <v>41944.029513888891</v>
      </c>
      <c r="C1487">
        <v>80</v>
      </c>
      <c r="D1487">
        <v>79.929168700999995</v>
      </c>
      <c r="E1487">
        <v>50</v>
      </c>
      <c r="F1487">
        <v>65.152130127000007</v>
      </c>
      <c r="G1487">
        <v>1331.1328125</v>
      </c>
      <c r="H1487">
        <v>1330.9174805</v>
      </c>
      <c r="I1487">
        <v>1334.206543</v>
      </c>
      <c r="J1487">
        <v>1333.0047606999999</v>
      </c>
      <c r="K1487">
        <v>0</v>
      </c>
      <c r="L1487">
        <v>550</v>
      </c>
      <c r="M1487">
        <v>550</v>
      </c>
      <c r="N1487">
        <v>0</v>
      </c>
    </row>
    <row r="1488" spans="1:14" x14ac:dyDescent="0.25">
      <c r="A1488">
        <v>1645.088573</v>
      </c>
      <c r="B1488" s="1">
        <f>DATE(2014,11,1) + TIME(2,7,32)</f>
        <v>41944.088564814818</v>
      </c>
      <c r="C1488">
        <v>80</v>
      </c>
      <c r="D1488">
        <v>79.925247192</v>
      </c>
      <c r="E1488">
        <v>50</v>
      </c>
      <c r="F1488">
        <v>64.734672545999999</v>
      </c>
      <c r="G1488">
        <v>1331.1240233999999</v>
      </c>
      <c r="H1488">
        <v>1330.9074707</v>
      </c>
      <c r="I1488">
        <v>1334.2050781</v>
      </c>
      <c r="J1488">
        <v>1333.0018310999999</v>
      </c>
      <c r="K1488">
        <v>0</v>
      </c>
      <c r="L1488">
        <v>550</v>
      </c>
      <c r="M1488">
        <v>550</v>
      </c>
      <c r="N1488">
        <v>0</v>
      </c>
    </row>
    <row r="1489" spans="1:14" x14ac:dyDescent="0.25">
      <c r="A1489">
        <v>1645.192063</v>
      </c>
      <c r="B1489" s="1">
        <f>DATE(2014,11,1) + TIME(4,36,34)</f>
        <v>41944.192060185182</v>
      </c>
      <c r="C1489">
        <v>80</v>
      </c>
      <c r="D1489">
        <v>79.918388367000006</v>
      </c>
      <c r="E1489">
        <v>50</v>
      </c>
      <c r="F1489">
        <v>64.044113159000005</v>
      </c>
      <c r="G1489">
        <v>1331.1182861</v>
      </c>
      <c r="H1489">
        <v>1330.8990478999999</v>
      </c>
      <c r="I1489">
        <v>1334.1977539</v>
      </c>
      <c r="J1489">
        <v>1332.9936522999999</v>
      </c>
      <c r="K1489">
        <v>0</v>
      </c>
      <c r="L1489">
        <v>550</v>
      </c>
      <c r="M1489">
        <v>550</v>
      </c>
      <c r="N1489">
        <v>0</v>
      </c>
    </row>
    <row r="1490" spans="1:14" x14ac:dyDescent="0.25">
      <c r="A1490">
        <v>1645.3009259999999</v>
      </c>
      <c r="B1490" s="1">
        <f>DATE(2014,11,1) + TIME(7,13,20)</f>
        <v>41944.300925925927</v>
      </c>
      <c r="C1490">
        <v>80</v>
      </c>
      <c r="D1490">
        <v>79.911155700999998</v>
      </c>
      <c r="E1490">
        <v>50</v>
      </c>
      <c r="F1490">
        <v>63.360477447999997</v>
      </c>
      <c r="G1490">
        <v>1331.1102295000001</v>
      </c>
      <c r="H1490">
        <v>1330.8869629000001</v>
      </c>
      <c r="I1490">
        <v>1334.1885986</v>
      </c>
      <c r="J1490">
        <v>1332.9849853999999</v>
      </c>
      <c r="K1490">
        <v>0</v>
      </c>
      <c r="L1490">
        <v>550</v>
      </c>
      <c r="M1490">
        <v>550</v>
      </c>
      <c r="N1490">
        <v>0</v>
      </c>
    </row>
    <row r="1491" spans="1:14" x14ac:dyDescent="0.25">
      <c r="A1491">
        <v>1645.4150480000001</v>
      </c>
      <c r="B1491" s="1">
        <f>DATE(2014,11,1) + TIME(9,57,40)</f>
        <v>41944.415046296293</v>
      </c>
      <c r="C1491">
        <v>80</v>
      </c>
      <c r="D1491">
        <v>79.903564453000001</v>
      </c>
      <c r="E1491">
        <v>50</v>
      </c>
      <c r="F1491">
        <v>62.687137604</v>
      </c>
      <c r="G1491">
        <v>1331.1022949000001</v>
      </c>
      <c r="H1491">
        <v>1330.8747559000001</v>
      </c>
      <c r="I1491">
        <v>1334.1798096</v>
      </c>
      <c r="J1491">
        <v>1332.9765625</v>
      </c>
      <c r="K1491">
        <v>0</v>
      </c>
      <c r="L1491">
        <v>550</v>
      </c>
      <c r="M1491">
        <v>550</v>
      </c>
      <c r="N1491">
        <v>0</v>
      </c>
    </row>
    <row r="1492" spans="1:14" x14ac:dyDescent="0.25">
      <c r="A1492">
        <v>1645.534774</v>
      </c>
      <c r="B1492" s="1">
        <f>DATE(2014,11,1) + TIME(12,50,4)</f>
        <v>41944.534768518519</v>
      </c>
      <c r="C1492">
        <v>80</v>
      </c>
      <c r="D1492">
        <v>79.895576477000006</v>
      </c>
      <c r="E1492">
        <v>50</v>
      </c>
      <c r="F1492">
        <v>62.024497986</v>
      </c>
      <c r="G1492">
        <v>1331.0941161999999</v>
      </c>
      <c r="H1492">
        <v>1330.8623047000001</v>
      </c>
      <c r="I1492">
        <v>1334.1716309000001</v>
      </c>
      <c r="J1492">
        <v>1332.9685059000001</v>
      </c>
      <c r="K1492">
        <v>0</v>
      </c>
      <c r="L1492">
        <v>550</v>
      </c>
      <c r="M1492">
        <v>550</v>
      </c>
      <c r="N1492">
        <v>0</v>
      </c>
    </row>
    <row r="1493" spans="1:14" x14ac:dyDescent="0.25">
      <c r="A1493">
        <v>1645.66058</v>
      </c>
      <c r="B1493" s="1">
        <f>DATE(2014,11,1) + TIME(15,51,14)</f>
        <v>41944.660578703704</v>
      </c>
      <c r="C1493">
        <v>80</v>
      </c>
      <c r="D1493">
        <v>79.887176514000004</v>
      </c>
      <c r="E1493">
        <v>50</v>
      </c>
      <c r="F1493">
        <v>61.372520446999999</v>
      </c>
      <c r="G1493">
        <v>1331.0859375</v>
      </c>
      <c r="H1493">
        <v>1330.8498535000001</v>
      </c>
      <c r="I1493">
        <v>1334.1638184000001</v>
      </c>
      <c r="J1493">
        <v>1332.9608154</v>
      </c>
      <c r="K1493">
        <v>0</v>
      </c>
      <c r="L1493">
        <v>550</v>
      </c>
      <c r="M1493">
        <v>550</v>
      </c>
      <c r="N1493">
        <v>0</v>
      </c>
    </row>
    <row r="1494" spans="1:14" x14ac:dyDescent="0.25">
      <c r="A1494">
        <v>1645.7929320000001</v>
      </c>
      <c r="B1494" s="1">
        <f>DATE(2014,11,1) + TIME(19,1,49)</f>
        <v>41944.792928240742</v>
      </c>
      <c r="C1494">
        <v>80</v>
      </c>
      <c r="D1494">
        <v>79.878318786999998</v>
      </c>
      <c r="E1494">
        <v>50</v>
      </c>
      <c r="F1494">
        <v>60.731586456000002</v>
      </c>
      <c r="G1494">
        <v>1331.0776367000001</v>
      </c>
      <c r="H1494">
        <v>1330.8371582</v>
      </c>
      <c r="I1494">
        <v>1334.1566161999999</v>
      </c>
      <c r="J1494">
        <v>1332.9534911999999</v>
      </c>
      <c r="K1494">
        <v>0</v>
      </c>
      <c r="L1494">
        <v>550</v>
      </c>
      <c r="M1494">
        <v>550</v>
      </c>
      <c r="N1494">
        <v>0</v>
      </c>
    </row>
    <row r="1495" spans="1:14" x14ac:dyDescent="0.25">
      <c r="A1495">
        <v>1645.9323429999999</v>
      </c>
      <c r="B1495" s="1">
        <f>DATE(2014,11,1) + TIME(22,22,34)</f>
        <v>41944.932337962964</v>
      </c>
      <c r="C1495">
        <v>80</v>
      </c>
      <c r="D1495">
        <v>79.868988036999994</v>
      </c>
      <c r="E1495">
        <v>50</v>
      </c>
      <c r="F1495">
        <v>60.102123259999999</v>
      </c>
      <c r="G1495">
        <v>1331.0692139</v>
      </c>
      <c r="H1495">
        <v>1330.8243408000001</v>
      </c>
      <c r="I1495">
        <v>1334.1499022999999</v>
      </c>
      <c r="J1495">
        <v>1332.9465332</v>
      </c>
      <c r="K1495">
        <v>0</v>
      </c>
      <c r="L1495">
        <v>550</v>
      </c>
      <c r="M1495">
        <v>550</v>
      </c>
      <c r="N1495">
        <v>0</v>
      </c>
    </row>
    <row r="1496" spans="1:14" x14ac:dyDescent="0.25">
      <c r="A1496">
        <v>1646.079377</v>
      </c>
      <c r="B1496" s="1">
        <f>DATE(2014,11,2) + TIME(1,54,18)</f>
        <v>41945.079375000001</v>
      </c>
      <c r="C1496">
        <v>80</v>
      </c>
      <c r="D1496">
        <v>79.859130859000004</v>
      </c>
      <c r="E1496">
        <v>50</v>
      </c>
      <c r="F1496">
        <v>59.484214782999999</v>
      </c>
      <c r="G1496">
        <v>1331.0606689000001</v>
      </c>
      <c r="H1496">
        <v>1330.8114014</v>
      </c>
      <c r="I1496">
        <v>1334.1437988</v>
      </c>
      <c r="J1496">
        <v>1332.9399414</v>
      </c>
      <c r="K1496">
        <v>0</v>
      </c>
      <c r="L1496">
        <v>550</v>
      </c>
      <c r="M1496">
        <v>550</v>
      </c>
      <c r="N1496">
        <v>0</v>
      </c>
    </row>
    <row r="1497" spans="1:14" x14ac:dyDescent="0.25">
      <c r="A1497">
        <v>1646.2346930000001</v>
      </c>
      <c r="B1497" s="1">
        <f>DATE(2014,11,2) + TIME(5,37,57)</f>
        <v>41945.2346875</v>
      </c>
      <c r="C1497">
        <v>80</v>
      </c>
      <c r="D1497">
        <v>79.848716736</v>
      </c>
      <c r="E1497">
        <v>50</v>
      </c>
      <c r="F1497">
        <v>58.878562926999997</v>
      </c>
      <c r="G1497">
        <v>1331.0520019999999</v>
      </c>
      <c r="H1497">
        <v>1330.7982178</v>
      </c>
      <c r="I1497">
        <v>1334.1383057</v>
      </c>
      <c r="J1497">
        <v>1332.9337158000001</v>
      </c>
      <c r="K1497">
        <v>0</v>
      </c>
      <c r="L1497">
        <v>550</v>
      </c>
      <c r="M1497">
        <v>550</v>
      </c>
      <c r="N1497">
        <v>0</v>
      </c>
    </row>
    <row r="1498" spans="1:14" x14ac:dyDescent="0.25">
      <c r="A1498">
        <v>1646.398948</v>
      </c>
      <c r="B1498" s="1">
        <f>DATE(2014,11,2) + TIME(9,34,29)</f>
        <v>41945.398946759262</v>
      </c>
      <c r="C1498">
        <v>80</v>
      </c>
      <c r="D1498">
        <v>79.837699889999996</v>
      </c>
      <c r="E1498">
        <v>50</v>
      </c>
      <c r="F1498">
        <v>58.285949707</v>
      </c>
      <c r="G1498">
        <v>1331.0430908000001</v>
      </c>
      <c r="H1498">
        <v>1330.7847899999999</v>
      </c>
      <c r="I1498">
        <v>1334.1334228999999</v>
      </c>
      <c r="J1498">
        <v>1332.9279785000001</v>
      </c>
      <c r="K1498">
        <v>0</v>
      </c>
      <c r="L1498">
        <v>550</v>
      </c>
      <c r="M1498">
        <v>550</v>
      </c>
      <c r="N1498">
        <v>0</v>
      </c>
    </row>
    <row r="1499" spans="1:14" x14ac:dyDescent="0.25">
      <c r="A1499">
        <v>1646.5729060000001</v>
      </c>
      <c r="B1499" s="1">
        <f>DATE(2014,11,2) + TIME(13,44,59)</f>
        <v>41945.572905092595</v>
      </c>
      <c r="C1499">
        <v>80</v>
      </c>
      <c r="D1499">
        <v>79.826042174999998</v>
      </c>
      <c r="E1499">
        <v>50</v>
      </c>
      <c r="F1499">
        <v>57.707019805999998</v>
      </c>
      <c r="G1499">
        <v>1331.0341797000001</v>
      </c>
      <c r="H1499">
        <v>1330.7711182</v>
      </c>
      <c r="I1499">
        <v>1334.1292725000001</v>
      </c>
      <c r="J1499">
        <v>1332.9227295000001</v>
      </c>
      <c r="K1499">
        <v>0</v>
      </c>
      <c r="L1499">
        <v>550</v>
      </c>
      <c r="M1499">
        <v>550</v>
      </c>
      <c r="N1499">
        <v>0</v>
      </c>
    </row>
    <row r="1500" spans="1:14" x14ac:dyDescent="0.25">
      <c r="A1500">
        <v>1646.7574090000001</v>
      </c>
      <c r="B1500" s="1">
        <f>DATE(2014,11,2) + TIME(18,10,40)</f>
        <v>41945.757407407407</v>
      </c>
      <c r="C1500">
        <v>80</v>
      </c>
      <c r="D1500">
        <v>79.813682556000003</v>
      </c>
      <c r="E1500">
        <v>50</v>
      </c>
      <c r="F1500">
        <v>57.142486572000003</v>
      </c>
      <c r="G1500">
        <v>1331.0250243999999</v>
      </c>
      <c r="H1500">
        <v>1330.7572021000001</v>
      </c>
      <c r="I1500">
        <v>1334.1258545000001</v>
      </c>
      <c r="J1500">
        <v>1332.9179687999999</v>
      </c>
      <c r="K1500">
        <v>0</v>
      </c>
      <c r="L1500">
        <v>550</v>
      </c>
      <c r="M1500">
        <v>550</v>
      </c>
      <c r="N1500">
        <v>0</v>
      </c>
    </row>
    <row r="1501" spans="1:14" x14ac:dyDescent="0.25">
      <c r="A1501">
        <v>1646.953397</v>
      </c>
      <c r="B1501" s="1">
        <f>DATE(2014,11,2) + TIME(22,52,53)</f>
        <v>41945.9533912037</v>
      </c>
      <c r="C1501">
        <v>80</v>
      </c>
      <c r="D1501">
        <v>79.800567627000007</v>
      </c>
      <c r="E1501">
        <v>50</v>
      </c>
      <c r="F1501">
        <v>56.593116760000001</v>
      </c>
      <c r="G1501">
        <v>1331.015625</v>
      </c>
      <c r="H1501">
        <v>1330.7430420000001</v>
      </c>
      <c r="I1501">
        <v>1334.1231689000001</v>
      </c>
      <c r="J1501">
        <v>1332.9136963000001</v>
      </c>
      <c r="K1501">
        <v>0</v>
      </c>
      <c r="L1501">
        <v>550</v>
      </c>
      <c r="M1501">
        <v>550</v>
      </c>
      <c r="N1501">
        <v>0</v>
      </c>
    </row>
    <row r="1502" spans="1:14" x14ac:dyDescent="0.25">
      <c r="A1502">
        <v>1647.161791</v>
      </c>
      <c r="B1502" s="1">
        <f>DATE(2014,11,3) + TIME(3,52,58)</f>
        <v>41946.161782407406</v>
      </c>
      <c r="C1502">
        <v>80</v>
      </c>
      <c r="D1502">
        <v>79.786651610999996</v>
      </c>
      <c r="E1502">
        <v>50</v>
      </c>
      <c r="F1502">
        <v>56.060043335000003</v>
      </c>
      <c r="G1502">
        <v>1331.0061035000001</v>
      </c>
      <c r="H1502">
        <v>1330.7285156</v>
      </c>
      <c r="I1502">
        <v>1334.1212158000001</v>
      </c>
      <c r="J1502">
        <v>1332.9099120999999</v>
      </c>
      <c r="K1502">
        <v>0</v>
      </c>
      <c r="L1502">
        <v>550</v>
      </c>
      <c r="M1502">
        <v>550</v>
      </c>
      <c r="N1502">
        <v>0</v>
      </c>
    </row>
    <row r="1503" spans="1:14" x14ac:dyDescent="0.25">
      <c r="A1503">
        <v>1647.383806</v>
      </c>
      <c r="B1503" s="1">
        <f>DATE(2014,11,3) + TIME(9,12,40)</f>
        <v>41946.383796296293</v>
      </c>
      <c r="C1503">
        <v>80</v>
      </c>
      <c r="D1503">
        <v>79.771858214999995</v>
      </c>
      <c r="E1503">
        <v>50</v>
      </c>
      <c r="F1503">
        <v>55.543979645</v>
      </c>
      <c r="G1503">
        <v>1330.9963379000001</v>
      </c>
      <c r="H1503">
        <v>1330.7137451000001</v>
      </c>
      <c r="I1503">
        <v>1334.1199951000001</v>
      </c>
      <c r="J1503">
        <v>1332.9066161999999</v>
      </c>
      <c r="K1503">
        <v>0</v>
      </c>
      <c r="L1503">
        <v>550</v>
      </c>
      <c r="M1503">
        <v>550</v>
      </c>
      <c r="N1503">
        <v>0</v>
      </c>
    </row>
    <row r="1504" spans="1:14" x14ac:dyDescent="0.25">
      <c r="A1504">
        <v>1647.6207609999999</v>
      </c>
      <c r="B1504" s="1">
        <f>DATE(2014,11,3) + TIME(14,53,53)</f>
        <v>41946.620752314811</v>
      </c>
      <c r="C1504">
        <v>80</v>
      </c>
      <c r="D1504">
        <v>79.756111145000006</v>
      </c>
      <c r="E1504">
        <v>50</v>
      </c>
      <c r="F1504">
        <v>55.045814514</v>
      </c>
      <c r="G1504">
        <v>1330.9863281</v>
      </c>
      <c r="H1504">
        <v>1330.6986084</v>
      </c>
      <c r="I1504">
        <v>1334.119751</v>
      </c>
      <c r="J1504">
        <v>1332.9040527</v>
      </c>
      <c r="K1504">
        <v>0</v>
      </c>
      <c r="L1504">
        <v>550</v>
      </c>
      <c r="M1504">
        <v>550</v>
      </c>
      <c r="N1504">
        <v>0</v>
      </c>
    </row>
    <row r="1505" spans="1:14" x14ac:dyDescent="0.25">
      <c r="A1505">
        <v>1647.8740969999999</v>
      </c>
      <c r="B1505" s="1">
        <f>DATE(2014,11,3) + TIME(20,58,41)</f>
        <v>41946.874085648145</v>
      </c>
      <c r="C1505">
        <v>80</v>
      </c>
      <c r="D1505">
        <v>79.739341736</v>
      </c>
      <c r="E1505">
        <v>50</v>
      </c>
      <c r="F1505">
        <v>54.566570282000001</v>
      </c>
      <c r="G1505">
        <v>1330.9759521000001</v>
      </c>
      <c r="H1505">
        <v>1330.6831055</v>
      </c>
      <c r="I1505">
        <v>1334.1202393000001</v>
      </c>
      <c r="J1505">
        <v>1332.9018555</v>
      </c>
      <c r="K1505">
        <v>0</v>
      </c>
      <c r="L1505">
        <v>550</v>
      </c>
      <c r="M1505">
        <v>550</v>
      </c>
      <c r="N1505">
        <v>0</v>
      </c>
    </row>
    <row r="1506" spans="1:14" x14ac:dyDescent="0.25">
      <c r="A1506">
        <v>1648.145417</v>
      </c>
      <c r="B1506" s="1">
        <f>DATE(2014,11,4) + TIME(3,29,24)</f>
        <v>41947.145416666666</v>
      </c>
      <c r="C1506">
        <v>80</v>
      </c>
      <c r="D1506">
        <v>79.721450806000007</v>
      </c>
      <c r="E1506">
        <v>50</v>
      </c>
      <c r="F1506">
        <v>54.107337952000002</v>
      </c>
      <c r="G1506">
        <v>1330.9654541</v>
      </c>
      <c r="H1506">
        <v>1330.6671143000001</v>
      </c>
      <c r="I1506">
        <v>1334.1217041</v>
      </c>
      <c r="J1506">
        <v>1332.9003906</v>
      </c>
      <c r="K1506">
        <v>0</v>
      </c>
      <c r="L1506">
        <v>550</v>
      </c>
      <c r="M1506">
        <v>550</v>
      </c>
      <c r="N1506">
        <v>0</v>
      </c>
    </row>
    <row r="1507" spans="1:14" x14ac:dyDescent="0.25">
      <c r="A1507">
        <v>1648.436518</v>
      </c>
      <c r="B1507" s="1">
        <f>DATE(2014,11,4) + TIME(10,28,35)</f>
        <v>41947.436516203707</v>
      </c>
      <c r="C1507">
        <v>80</v>
      </c>
      <c r="D1507">
        <v>79.702354431000003</v>
      </c>
      <c r="E1507">
        <v>50</v>
      </c>
      <c r="F1507">
        <v>53.669227599999999</v>
      </c>
      <c r="G1507">
        <v>1330.9544678</v>
      </c>
      <c r="H1507">
        <v>1330.6507568</v>
      </c>
      <c r="I1507">
        <v>1334.1240233999999</v>
      </c>
      <c r="J1507">
        <v>1332.8994141000001</v>
      </c>
      <c r="K1507">
        <v>0</v>
      </c>
      <c r="L1507">
        <v>550</v>
      </c>
      <c r="M1507">
        <v>550</v>
      </c>
      <c r="N1507">
        <v>0</v>
      </c>
    </row>
    <row r="1508" spans="1:14" x14ac:dyDescent="0.25">
      <c r="A1508">
        <v>1648.7494099999999</v>
      </c>
      <c r="B1508" s="1">
        <f>DATE(2014,11,4) + TIME(17,59,8)</f>
        <v>41947.749398148146</v>
      </c>
      <c r="C1508">
        <v>80</v>
      </c>
      <c r="D1508">
        <v>79.681938170999999</v>
      </c>
      <c r="E1508">
        <v>50</v>
      </c>
      <c r="F1508">
        <v>53.253383636000002</v>
      </c>
      <c r="G1508">
        <v>1330.9432373</v>
      </c>
      <c r="H1508">
        <v>1330.6337891000001</v>
      </c>
      <c r="I1508">
        <v>1334.1271973</v>
      </c>
      <c r="J1508">
        <v>1332.8991699000001</v>
      </c>
      <c r="K1508">
        <v>0</v>
      </c>
      <c r="L1508">
        <v>550</v>
      </c>
      <c r="M1508">
        <v>550</v>
      </c>
      <c r="N1508">
        <v>0</v>
      </c>
    </row>
    <row r="1509" spans="1:14" x14ac:dyDescent="0.25">
      <c r="A1509">
        <v>1649.0863429999999</v>
      </c>
      <c r="B1509" s="1">
        <f>DATE(2014,11,5) + TIME(2,4,20)</f>
        <v>41948.086342592593</v>
      </c>
      <c r="C1509">
        <v>80</v>
      </c>
      <c r="D1509">
        <v>79.660102843999994</v>
      </c>
      <c r="E1509">
        <v>50</v>
      </c>
      <c r="F1509">
        <v>52.860939025999997</v>
      </c>
      <c r="G1509">
        <v>1330.9316406</v>
      </c>
      <c r="H1509">
        <v>1330.6163329999999</v>
      </c>
      <c r="I1509">
        <v>1334.1312256000001</v>
      </c>
      <c r="J1509">
        <v>1332.8994141000001</v>
      </c>
      <c r="K1509">
        <v>0</v>
      </c>
      <c r="L1509">
        <v>550</v>
      </c>
      <c r="M1509">
        <v>550</v>
      </c>
      <c r="N1509">
        <v>0</v>
      </c>
    </row>
    <row r="1510" spans="1:14" x14ac:dyDescent="0.25">
      <c r="A1510">
        <v>1649.449844</v>
      </c>
      <c r="B1510" s="1">
        <f>DATE(2014,11,5) + TIME(10,47,46)</f>
        <v>41948.449837962966</v>
      </c>
      <c r="C1510">
        <v>80</v>
      </c>
      <c r="D1510">
        <v>79.636711121000005</v>
      </c>
      <c r="E1510">
        <v>50</v>
      </c>
      <c r="F1510">
        <v>52.492992401000002</v>
      </c>
      <c r="G1510">
        <v>1330.9195557</v>
      </c>
      <c r="H1510">
        <v>1330.5982666</v>
      </c>
      <c r="I1510">
        <v>1334.1361084</v>
      </c>
      <c r="J1510">
        <v>1332.9002685999999</v>
      </c>
      <c r="K1510">
        <v>0</v>
      </c>
      <c r="L1510">
        <v>550</v>
      </c>
      <c r="M1510">
        <v>550</v>
      </c>
      <c r="N1510">
        <v>0</v>
      </c>
    </row>
    <row r="1511" spans="1:14" x14ac:dyDescent="0.25">
      <c r="A1511">
        <v>1649.84275</v>
      </c>
      <c r="B1511" s="1">
        <f>DATE(2014,11,5) + TIME(20,13,33)</f>
        <v>41948.842743055553</v>
      </c>
      <c r="C1511">
        <v>80</v>
      </c>
      <c r="D1511">
        <v>79.611640929999993</v>
      </c>
      <c r="E1511">
        <v>50</v>
      </c>
      <c r="F1511">
        <v>52.150558472</v>
      </c>
      <c r="G1511">
        <v>1330.9069824000001</v>
      </c>
      <c r="H1511">
        <v>1330.5794678</v>
      </c>
      <c r="I1511">
        <v>1334.1417236</v>
      </c>
      <c r="J1511">
        <v>1332.9016113</v>
      </c>
      <c r="K1511">
        <v>0</v>
      </c>
      <c r="L1511">
        <v>550</v>
      </c>
      <c r="M1511">
        <v>550</v>
      </c>
      <c r="N1511">
        <v>0</v>
      </c>
    </row>
    <row r="1512" spans="1:14" x14ac:dyDescent="0.25">
      <c r="A1512">
        <v>1650.2682359999999</v>
      </c>
      <c r="B1512" s="1">
        <f>DATE(2014,11,6) + TIME(6,26,15)</f>
        <v>41949.268229166664</v>
      </c>
      <c r="C1512">
        <v>80</v>
      </c>
      <c r="D1512">
        <v>79.584747313999998</v>
      </c>
      <c r="E1512">
        <v>50</v>
      </c>
      <c r="F1512">
        <v>51.834541321000003</v>
      </c>
      <c r="G1512">
        <v>1330.8937988</v>
      </c>
      <c r="H1512">
        <v>1330.5599365</v>
      </c>
      <c r="I1512">
        <v>1334.1481934000001</v>
      </c>
      <c r="J1512">
        <v>1332.9035644999999</v>
      </c>
      <c r="K1512">
        <v>0</v>
      </c>
      <c r="L1512">
        <v>550</v>
      </c>
      <c r="M1512">
        <v>550</v>
      </c>
      <c r="N1512">
        <v>0</v>
      </c>
    </row>
    <row r="1513" spans="1:14" x14ac:dyDescent="0.25">
      <c r="A1513">
        <v>1650.7296670000001</v>
      </c>
      <c r="B1513" s="1">
        <f>DATE(2014,11,6) + TIME(17,30,43)</f>
        <v>41949.729664351849</v>
      </c>
      <c r="C1513">
        <v>80</v>
      </c>
      <c r="D1513">
        <v>79.555870056000003</v>
      </c>
      <c r="E1513">
        <v>50</v>
      </c>
      <c r="F1513">
        <v>51.545776367000002</v>
      </c>
      <c r="G1513">
        <v>1330.8801269999999</v>
      </c>
      <c r="H1513">
        <v>1330.5395507999999</v>
      </c>
      <c r="I1513">
        <v>1334.1552733999999</v>
      </c>
      <c r="J1513">
        <v>1332.9060059000001</v>
      </c>
      <c r="K1513">
        <v>0</v>
      </c>
      <c r="L1513">
        <v>550</v>
      </c>
      <c r="M1513">
        <v>550</v>
      </c>
      <c r="N1513">
        <v>0</v>
      </c>
    </row>
    <row r="1514" spans="1:14" x14ac:dyDescent="0.25">
      <c r="A1514">
        <v>1651.231227</v>
      </c>
      <c r="B1514" s="1">
        <f>DATE(2014,11,7) + TIME(5,32,58)</f>
        <v>41950.231226851851</v>
      </c>
      <c r="C1514">
        <v>80</v>
      </c>
      <c r="D1514">
        <v>79.524833678999997</v>
      </c>
      <c r="E1514">
        <v>50</v>
      </c>
      <c r="F1514">
        <v>51.284610747999999</v>
      </c>
      <c r="G1514">
        <v>1330.8657227000001</v>
      </c>
      <c r="H1514">
        <v>1330.5181885</v>
      </c>
      <c r="I1514">
        <v>1334.1630858999999</v>
      </c>
      <c r="J1514">
        <v>1332.9088135</v>
      </c>
      <c r="K1514">
        <v>0</v>
      </c>
      <c r="L1514">
        <v>550</v>
      </c>
      <c r="M1514">
        <v>550</v>
      </c>
      <c r="N1514">
        <v>0</v>
      </c>
    </row>
    <row r="1515" spans="1:14" x14ac:dyDescent="0.25">
      <c r="A1515">
        <v>1651.7774850000001</v>
      </c>
      <c r="B1515" s="1">
        <f>DATE(2014,11,7) + TIME(18,39,34)</f>
        <v>41950.77747685185</v>
      </c>
      <c r="C1515">
        <v>80</v>
      </c>
      <c r="D1515">
        <v>79.491447449000006</v>
      </c>
      <c r="E1515">
        <v>50</v>
      </c>
      <c r="F1515">
        <v>51.051216125000003</v>
      </c>
      <c r="G1515">
        <v>1330.8505858999999</v>
      </c>
      <c r="H1515">
        <v>1330.4959716999999</v>
      </c>
      <c r="I1515">
        <v>1334.1713867000001</v>
      </c>
      <c r="J1515">
        <v>1332.9121094</v>
      </c>
      <c r="K1515">
        <v>0</v>
      </c>
      <c r="L1515">
        <v>550</v>
      </c>
      <c r="M1515">
        <v>550</v>
      </c>
      <c r="N1515">
        <v>0</v>
      </c>
    </row>
    <row r="1516" spans="1:14" x14ac:dyDescent="0.25">
      <c r="A1516">
        <v>1652.3736060000001</v>
      </c>
      <c r="B1516" s="1">
        <f>DATE(2014,11,8) + TIME(8,57,59)</f>
        <v>41951.373599537037</v>
      </c>
      <c r="C1516">
        <v>80</v>
      </c>
      <c r="D1516">
        <v>79.455490112000007</v>
      </c>
      <c r="E1516">
        <v>50</v>
      </c>
      <c r="F1516">
        <v>50.845409392999997</v>
      </c>
      <c r="G1516">
        <v>1330.8347168</v>
      </c>
      <c r="H1516">
        <v>1330.4725341999999</v>
      </c>
      <c r="I1516">
        <v>1334.1800536999999</v>
      </c>
      <c r="J1516">
        <v>1332.9157714999999</v>
      </c>
      <c r="K1516">
        <v>0</v>
      </c>
      <c r="L1516">
        <v>550</v>
      </c>
      <c r="M1516">
        <v>550</v>
      </c>
      <c r="N1516">
        <v>0</v>
      </c>
    </row>
    <row r="1517" spans="1:14" x14ac:dyDescent="0.25">
      <c r="A1517">
        <v>1653.025457</v>
      </c>
      <c r="B1517" s="1">
        <f>DATE(2014,11,9) + TIME(0,36,39)</f>
        <v>41952.025451388887</v>
      </c>
      <c r="C1517">
        <v>80</v>
      </c>
      <c r="D1517">
        <v>79.416732788000004</v>
      </c>
      <c r="E1517">
        <v>50</v>
      </c>
      <c r="F1517">
        <v>50.666622162000003</v>
      </c>
      <c r="G1517">
        <v>1330.8178711</v>
      </c>
      <c r="H1517">
        <v>1330.447876</v>
      </c>
      <c r="I1517">
        <v>1334.1889647999999</v>
      </c>
      <c r="J1517">
        <v>1332.9195557</v>
      </c>
      <c r="K1517">
        <v>0</v>
      </c>
      <c r="L1517">
        <v>550</v>
      </c>
      <c r="M1517">
        <v>550</v>
      </c>
      <c r="N1517">
        <v>0</v>
      </c>
    </row>
    <row r="1518" spans="1:14" x14ac:dyDescent="0.25">
      <c r="A1518">
        <v>1653.73974</v>
      </c>
      <c r="B1518" s="1">
        <f>DATE(2014,11,9) + TIME(17,45,13)</f>
        <v>41952.739733796298</v>
      </c>
      <c r="C1518">
        <v>80</v>
      </c>
      <c r="D1518">
        <v>79.374893188000001</v>
      </c>
      <c r="E1518">
        <v>50</v>
      </c>
      <c r="F1518">
        <v>50.513854979999998</v>
      </c>
      <c r="G1518">
        <v>1330.8000488</v>
      </c>
      <c r="H1518">
        <v>1330.421875</v>
      </c>
      <c r="I1518">
        <v>1334.1979980000001</v>
      </c>
      <c r="J1518">
        <v>1332.9235839999999</v>
      </c>
      <c r="K1518">
        <v>0</v>
      </c>
      <c r="L1518">
        <v>550</v>
      </c>
      <c r="M1518">
        <v>550</v>
      </c>
      <c r="N1518">
        <v>0</v>
      </c>
    </row>
    <row r="1519" spans="1:14" x14ac:dyDescent="0.25">
      <c r="A1519">
        <v>1654.5241579999999</v>
      </c>
      <c r="B1519" s="1">
        <f>DATE(2014,11,10) + TIME(12,34,47)</f>
        <v>41953.524155092593</v>
      </c>
      <c r="C1519">
        <v>80</v>
      </c>
      <c r="D1519">
        <v>79.329666137999993</v>
      </c>
      <c r="E1519">
        <v>50</v>
      </c>
      <c r="F1519">
        <v>50.385684967000003</v>
      </c>
      <c r="G1519">
        <v>1330.7811279</v>
      </c>
      <c r="H1519">
        <v>1330.3944091999999</v>
      </c>
      <c r="I1519">
        <v>1334.2071533000001</v>
      </c>
      <c r="J1519">
        <v>1332.9276123</v>
      </c>
      <c r="K1519">
        <v>0</v>
      </c>
      <c r="L1519">
        <v>550</v>
      </c>
      <c r="M1519">
        <v>550</v>
      </c>
      <c r="N1519">
        <v>0</v>
      </c>
    </row>
    <row r="1520" spans="1:14" x14ac:dyDescent="0.25">
      <c r="A1520">
        <v>1655.3569219999999</v>
      </c>
      <c r="B1520" s="1">
        <f>DATE(2014,11,11) + TIME(8,33,58)</f>
        <v>41954.356921296298</v>
      </c>
      <c r="C1520">
        <v>80</v>
      </c>
      <c r="D1520">
        <v>79.282196045000006</v>
      </c>
      <c r="E1520">
        <v>50</v>
      </c>
      <c r="F1520">
        <v>50.283100128000001</v>
      </c>
      <c r="G1520">
        <v>1330.7609863</v>
      </c>
      <c r="H1520">
        <v>1330.3653564000001</v>
      </c>
      <c r="I1520">
        <v>1334.2161865</v>
      </c>
      <c r="J1520">
        <v>1332.9316406</v>
      </c>
      <c r="K1520">
        <v>0</v>
      </c>
      <c r="L1520">
        <v>550</v>
      </c>
      <c r="M1520">
        <v>550</v>
      </c>
      <c r="N1520">
        <v>0</v>
      </c>
    </row>
    <row r="1521" spans="1:14" x14ac:dyDescent="0.25">
      <c r="A1521">
        <v>1656.2176899999999</v>
      </c>
      <c r="B1521" s="1">
        <f>DATE(2014,11,12) + TIME(5,13,28)</f>
        <v>41955.217685185184</v>
      </c>
      <c r="C1521">
        <v>80</v>
      </c>
      <c r="D1521">
        <v>79.233482361</v>
      </c>
      <c r="E1521">
        <v>50</v>
      </c>
      <c r="F1521">
        <v>50.203720093000001</v>
      </c>
      <c r="G1521">
        <v>1330.7402344</v>
      </c>
      <c r="H1521">
        <v>1330.3353271000001</v>
      </c>
      <c r="I1521">
        <v>1334.2248535000001</v>
      </c>
      <c r="J1521">
        <v>1332.9355469</v>
      </c>
      <c r="K1521">
        <v>0</v>
      </c>
      <c r="L1521">
        <v>550</v>
      </c>
      <c r="M1521">
        <v>550</v>
      </c>
      <c r="N1521">
        <v>0</v>
      </c>
    </row>
    <row r="1522" spans="1:14" x14ac:dyDescent="0.25">
      <c r="A1522">
        <v>1657.1095680000001</v>
      </c>
      <c r="B1522" s="1">
        <f>DATE(2014,11,13) + TIME(2,37,46)</f>
        <v>41956.109560185185</v>
      </c>
      <c r="C1522">
        <v>80</v>
      </c>
      <c r="D1522">
        <v>79.183364867999998</v>
      </c>
      <c r="E1522">
        <v>50</v>
      </c>
      <c r="F1522">
        <v>50.142616271999998</v>
      </c>
      <c r="G1522">
        <v>1330.7191161999999</v>
      </c>
      <c r="H1522">
        <v>1330.3050536999999</v>
      </c>
      <c r="I1522">
        <v>1334.2325439000001</v>
      </c>
      <c r="J1522">
        <v>1332.9389647999999</v>
      </c>
      <c r="K1522">
        <v>0</v>
      </c>
      <c r="L1522">
        <v>550</v>
      </c>
      <c r="M1522">
        <v>550</v>
      </c>
      <c r="N1522">
        <v>0</v>
      </c>
    </row>
    <row r="1523" spans="1:14" x14ac:dyDescent="0.25">
      <c r="A1523">
        <v>1658.0354159999999</v>
      </c>
      <c r="B1523" s="1">
        <f>DATE(2014,11,14) + TIME(0,50,59)</f>
        <v>41957.035405092596</v>
      </c>
      <c r="C1523">
        <v>80</v>
      </c>
      <c r="D1523">
        <v>79.131690978999998</v>
      </c>
      <c r="E1523">
        <v>50</v>
      </c>
      <c r="F1523">
        <v>50.095855712999999</v>
      </c>
      <c r="G1523">
        <v>1330.6977539</v>
      </c>
      <c r="H1523">
        <v>1330.2744141000001</v>
      </c>
      <c r="I1523">
        <v>1334.2395019999999</v>
      </c>
      <c r="J1523">
        <v>1332.9418945</v>
      </c>
      <c r="K1523">
        <v>0</v>
      </c>
      <c r="L1523">
        <v>550</v>
      </c>
      <c r="M1523">
        <v>550</v>
      </c>
      <c r="N1523">
        <v>0</v>
      </c>
    </row>
    <row r="1524" spans="1:14" x14ac:dyDescent="0.25">
      <c r="A1524">
        <v>1658.998656</v>
      </c>
      <c r="B1524" s="1">
        <f>DATE(2014,11,14) + TIME(23,58,3)</f>
        <v>41957.998645833337</v>
      </c>
      <c r="C1524">
        <v>80</v>
      </c>
      <c r="D1524">
        <v>79.078277588000006</v>
      </c>
      <c r="E1524">
        <v>50</v>
      </c>
      <c r="F1524">
        <v>50.060279846</v>
      </c>
      <c r="G1524">
        <v>1330.6760254000001</v>
      </c>
      <c r="H1524">
        <v>1330.2432861</v>
      </c>
      <c r="I1524">
        <v>1334.2456055</v>
      </c>
      <c r="J1524">
        <v>1332.9444579999999</v>
      </c>
      <c r="K1524">
        <v>0</v>
      </c>
      <c r="L1524">
        <v>550</v>
      </c>
      <c r="M1524">
        <v>550</v>
      </c>
      <c r="N1524">
        <v>0</v>
      </c>
    </row>
    <row r="1525" spans="1:14" x14ac:dyDescent="0.25">
      <c r="A1525">
        <v>1660.002747</v>
      </c>
      <c r="B1525" s="1">
        <f>DATE(2014,11,16) + TIME(0,3,57)</f>
        <v>41959.002743055556</v>
      </c>
      <c r="C1525">
        <v>80</v>
      </c>
      <c r="D1525">
        <v>79.022933960000003</v>
      </c>
      <c r="E1525">
        <v>50</v>
      </c>
      <c r="F1525">
        <v>50.033374786000003</v>
      </c>
      <c r="G1525">
        <v>1330.6538086</v>
      </c>
      <c r="H1525">
        <v>1330.2116699000001</v>
      </c>
      <c r="I1525">
        <v>1334.2510986</v>
      </c>
      <c r="J1525">
        <v>1332.9466553</v>
      </c>
      <c r="K1525">
        <v>0</v>
      </c>
      <c r="L1525">
        <v>550</v>
      </c>
      <c r="M1525">
        <v>550</v>
      </c>
      <c r="N1525">
        <v>0</v>
      </c>
    </row>
    <row r="1526" spans="1:14" x14ac:dyDescent="0.25">
      <c r="A1526">
        <v>1661.0515210000001</v>
      </c>
      <c r="B1526" s="1">
        <f>DATE(2014,11,17) + TIME(1,14,11)</f>
        <v>41960.051516203705</v>
      </c>
      <c r="C1526">
        <v>80</v>
      </c>
      <c r="D1526">
        <v>78.965438843000001</v>
      </c>
      <c r="E1526">
        <v>50</v>
      </c>
      <c r="F1526">
        <v>50.013141632</v>
      </c>
      <c r="G1526">
        <v>1330.6311035000001</v>
      </c>
      <c r="H1526">
        <v>1330.1794434000001</v>
      </c>
      <c r="I1526">
        <v>1334.2558594</v>
      </c>
      <c r="J1526">
        <v>1332.9483643000001</v>
      </c>
      <c r="K1526">
        <v>0</v>
      </c>
      <c r="L1526">
        <v>550</v>
      </c>
      <c r="M1526">
        <v>550</v>
      </c>
      <c r="N1526">
        <v>0</v>
      </c>
    </row>
    <row r="1527" spans="1:14" x14ac:dyDescent="0.25">
      <c r="A1527">
        <v>1662.149197</v>
      </c>
      <c r="B1527" s="1">
        <f>DATE(2014,11,18) + TIME(3,34,50)</f>
        <v>41961.149189814816</v>
      </c>
      <c r="C1527">
        <v>80</v>
      </c>
      <c r="D1527">
        <v>78.905532836999996</v>
      </c>
      <c r="E1527">
        <v>50</v>
      </c>
      <c r="F1527">
        <v>49.998004913000003</v>
      </c>
      <c r="G1527">
        <v>1330.6080322</v>
      </c>
      <c r="H1527">
        <v>1330.1467285000001</v>
      </c>
      <c r="I1527">
        <v>1334.2598877</v>
      </c>
      <c r="J1527">
        <v>1332.949707</v>
      </c>
      <c r="K1527">
        <v>0</v>
      </c>
      <c r="L1527">
        <v>550</v>
      </c>
      <c r="M1527">
        <v>550</v>
      </c>
      <c r="N1527">
        <v>0</v>
      </c>
    </row>
    <row r="1528" spans="1:14" x14ac:dyDescent="0.25">
      <c r="A1528">
        <v>1663.3004679999999</v>
      </c>
      <c r="B1528" s="1">
        <f>DATE(2014,11,19) + TIME(7,12,40)</f>
        <v>41962.300462962965</v>
      </c>
      <c r="C1528">
        <v>80</v>
      </c>
      <c r="D1528">
        <v>78.842926024999997</v>
      </c>
      <c r="E1528">
        <v>50</v>
      </c>
      <c r="F1528">
        <v>49.986721039000003</v>
      </c>
      <c r="G1528">
        <v>1330.5843506000001</v>
      </c>
      <c r="H1528">
        <v>1330.1132812000001</v>
      </c>
      <c r="I1528">
        <v>1334.2635498</v>
      </c>
      <c r="J1528">
        <v>1332.9508057</v>
      </c>
      <c r="K1528">
        <v>0</v>
      </c>
      <c r="L1528">
        <v>550</v>
      </c>
      <c r="M1528">
        <v>550</v>
      </c>
      <c r="N1528">
        <v>0</v>
      </c>
    </row>
    <row r="1529" spans="1:14" x14ac:dyDescent="0.25">
      <c r="A1529">
        <v>1664.5106049999999</v>
      </c>
      <c r="B1529" s="1">
        <f>DATE(2014,11,20) + TIME(12,15,16)</f>
        <v>41963.510601851849</v>
      </c>
      <c r="C1529">
        <v>80</v>
      </c>
      <c r="D1529">
        <v>78.777305603000002</v>
      </c>
      <c r="E1529">
        <v>50</v>
      </c>
      <c r="F1529">
        <v>49.978343963999997</v>
      </c>
      <c r="G1529">
        <v>1330.5600586</v>
      </c>
      <c r="H1529">
        <v>1330.0791016000001</v>
      </c>
      <c r="I1529">
        <v>1334.2664795000001</v>
      </c>
      <c r="J1529">
        <v>1332.9514160000001</v>
      </c>
      <c r="K1529">
        <v>0</v>
      </c>
      <c r="L1529">
        <v>550</v>
      </c>
      <c r="M1529">
        <v>550</v>
      </c>
      <c r="N1529">
        <v>0</v>
      </c>
    </row>
    <row r="1530" spans="1:14" x14ac:dyDescent="0.25">
      <c r="A1530">
        <v>1665.785515</v>
      </c>
      <c r="B1530" s="1">
        <f>DATE(2014,11,21) + TIME(18,51,8)</f>
        <v>41964.785509259258</v>
      </c>
      <c r="C1530">
        <v>80</v>
      </c>
      <c r="D1530">
        <v>78.708267211999996</v>
      </c>
      <c r="E1530">
        <v>50</v>
      </c>
      <c r="F1530">
        <v>49.972133636000002</v>
      </c>
      <c r="G1530">
        <v>1330.5350341999999</v>
      </c>
      <c r="H1530">
        <v>1330.0440673999999</v>
      </c>
      <c r="I1530">
        <v>1334.269043</v>
      </c>
      <c r="J1530">
        <v>1332.9517822</v>
      </c>
      <c r="K1530">
        <v>0</v>
      </c>
      <c r="L1530">
        <v>550</v>
      </c>
      <c r="M1530">
        <v>550</v>
      </c>
      <c r="N1530">
        <v>0</v>
      </c>
    </row>
    <row r="1531" spans="1:14" x14ac:dyDescent="0.25">
      <c r="A1531">
        <v>1667.1318690000001</v>
      </c>
      <c r="B1531" s="1">
        <f>DATE(2014,11,23) + TIME(3,9,53)</f>
        <v>41966.131863425922</v>
      </c>
      <c r="C1531">
        <v>80</v>
      </c>
      <c r="D1531">
        <v>78.635391235</v>
      </c>
      <c r="E1531">
        <v>50</v>
      </c>
      <c r="F1531">
        <v>49.967529296999999</v>
      </c>
      <c r="G1531">
        <v>1330.5093993999999</v>
      </c>
      <c r="H1531">
        <v>1330.0081786999999</v>
      </c>
      <c r="I1531">
        <v>1334.2711182</v>
      </c>
      <c r="J1531">
        <v>1332.9519043</v>
      </c>
      <c r="K1531">
        <v>0</v>
      </c>
      <c r="L1531">
        <v>550</v>
      </c>
      <c r="M1531">
        <v>550</v>
      </c>
      <c r="N1531">
        <v>0</v>
      </c>
    </row>
    <row r="1532" spans="1:14" x14ac:dyDescent="0.25">
      <c r="A1532">
        <v>1668.557225</v>
      </c>
      <c r="B1532" s="1">
        <f>DATE(2014,11,24) + TIME(13,22,24)</f>
        <v>41967.557222222225</v>
      </c>
      <c r="C1532">
        <v>80</v>
      </c>
      <c r="D1532">
        <v>78.558158875000004</v>
      </c>
      <c r="E1532">
        <v>50</v>
      </c>
      <c r="F1532">
        <v>49.964115143000001</v>
      </c>
      <c r="G1532">
        <v>1330.4830322</v>
      </c>
      <c r="H1532">
        <v>1329.9713135</v>
      </c>
      <c r="I1532">
        <v>1334.2728271000001</v>
      </c>
      <c r="J1532">
        <v>1332.9517822</v>
      </c>
      <c r="K1532">
        <v>0</v>
      </c>
      <c r="L1532">
        <v>550</v>
      </c>
      <c r="M1532">
        <v>550</v>
      </c>
      <c r="N1532">
        <v>0</v>
      </c>
    </row>
    <row r="1533" spans="1:14" x14ac:dyDescent="0.25">
      <c r="A1533">
        <v>1670.064218</v>
      </c>
      <c r="B1533" s="1">
        <f>DATE(2014,11,26) + TIME(1,32,28)</f>
        <v>41969.064212962963</v>
      </c>
      <c r="C1533">
        <v>80</v>
      </c>
      <c r="D1533">
        <v>78.476203917999996</v>
      </c>
      <c r="E1533">
        <v>50</v>
      </c>
      <c r="F1533">
        <v>49.961578369000001</v>
      </c>
      <c r="G1533">
        <v>1330.4556885</v>
      </c>
      <c r="H1533">
        <v>1329.9332274999999</v>
      </c>
      <c r="I1533">
        <v>1334.2742920000001</v>
      </c>
      <c r="J1533">
        <v>1332.9515381000001</v>
      </c>
      <c r="K1533">
        <v>0</v>
      </c>
      <c r="L1533">
        <v>550</v>
      </c>
      <c r="M1533">
        <v>550</v>
      </c>
      <c r="N1533">
        <v>0</v>
      </c>
    </row>
    <row r="1534" spans="1:14" x14ac:dyDescent="0.25">
      <c r="A1534">
        <v>1671.6572860000001</v>
      </c>
      <c r="B1534" s="1">
        <f>DATE(2014,11,27) + TIME(15,46,29)</f>
        <v>41970.657280092593</v>
      </c>
      <c r="C1534">
        <v>80</v>
      </c>
      <c r="D1534">
        <v>78.389083862000007</v>
      </c>
      <c r="E1534">
        <v>50</v>
      </c>
      <c r="F1534">
        <v>49.959686279000003</v>
      </c>
      <c r="G1534">
        <v>1330.4274902</v>
      </c>
      <c r="H1534">
        <v>1329.8941649999999</v>
      </c>
      <c r="I1534">
        <v>1334.2753906</v>
      </c>
      <c r="J1534">
        <v>1332.9509277</v>
      </c>
      <c r="K1534">
        <v>0</v>
      </c>
      <c r="L1534">
        <v>550</v>
      </c>
      <c r="M1534">
        <v>550</v>
      </c>
      <c r="N1534">
        <v>0</v>
      </c>
    </row>
    <row r="1535" spans="1:14" x14ac:dyDescent="0.25">
      <c r="A1535">
        <v>1673.344591</v>
      </c>
      <c r="B1535" s="1">
        <f>DATE(2014,11,29) + TIME(8,16,12)</f>
        <v>41972.344583333332</v>
      </c>
      <c r="C1535">
        <v>80</v>
      </c>
      <c r="D1535">
        <v>78.296134949000006</v>
      </c>
      <c r="E1535">
        <v>50</v>
      </c>
      <c r="F1535">
        <v>49.958271027000002</v>
      </c>
      <c r="G1535">
        <v>1330.3984375</v>
      </c>
      <c r="H1535">
        <v>1329.8540039</v>
      </c>
      <c r="I1535">
        <v>1334.2761230000001</v>
      </c>
      <c r="J1535">
        <v>1332.9503173999999</v>
      </c>
      <c r="K1535">
        <v>0</v>
      </c>
      <c r="L1535">
        <v>550</v>
      </c>
      <c r="M1535">
        <v>550</v>
      </c>
      <c r="N1535">
        <v>0</v>
      </c>
    </row>
    <row r="1536" spans="1:14" x14ac:dyDescent="0.25">
      <c r="A1536">
        <v>1675</v>
      </c>
      <c r="B1536" s="1">
        <f>DATE(2014,12,1) + TIME(0,0,0)</f>
        <v>41974</v>
      </c>
      <c r="C1536">
        <v>80</v>
      </c>
      <c r="D1536">
        <v>78.201896667</v>
      </c>
      <c r="E1536">
        <v>50</v>
      </c>
      <c r="F1536">
        <v>49.957267760999997</v>
      </c>
      <c r="G1536">
        <v>1330.3685303</v>
      </c>
      <c r="H1536">
        <v>1329.8127440999999</v>
      </c>
      <c r="I1536">
        <v>1334.2767334</v>
      </c>
      <c r="J1536">
        <v>1332.9494629000001</v>
      </c>
      <c r="K1536">
        <v>0</v>
      </c>
      <c r="L1536">
        <v>550</v>
      </c>
      <c r="M1536">
        <v>550</v>
      </c>
      <c r="N1536">
        <v>0</v>
      </c>
    </row>
    <row r="1537" spans="1:14" x14ac:dyDescent="0.25">
      <c r="A1537">
        <v>1676.792244</v>
      </c>
      <c r="B1537" s="1">
        <f>DATE(2014,12,2) + TIME(19,0,49)</f>
        <v>41975.792233796295</v>
      </c>
      <c r="C1537">
        <v>80</v>
      </c>
      <c r="D1537">
        <v>78.100181579999997</v>
      </c>
      <c r="E1537">
        <v>50</v>
      </c>
      <c r="F1537">
        <v>49.956485747999999</v>
      </c>
      <c r="G1537">
        <v>1330.3392334</v>
      </c>
      <c r="H1537">
        <v>1329.7722168</v>
      </c>
      <c r="I1537">
        <v>1334.2769774999999</v>
      </c>
      <c r="J1537">
        <v>1332.9484863</v>
      </c>
      <c r="K1537">
        <v>0</v>
      </c>
      <c r="L1537">
        <v>550</v>
      </c>
      <c r="M1537">
        <v>550</v>
      </c>
      <c r="N1537">
        <v>0</v>
      </c>
    </row>
    <row r="1538" spans="1:14" x14ac:dyDescent="0.25">
      <c r="A1538">
        <v>1678.7533330000001</v>
      </c>
      <c r="B1538" s="1">
        <f>DATE(2014,12,4) + TIME(18,4,47)</f>
        <v>41977.753321759257</v>
      </c>
      <c r="C1538">
        <v>80</v>
      </c>
      <c r="D1538">
        <v>77.988990783999995</v>
      </c>
      <c r="E1538">
        <v>50</v>
      </c>
      <c r="F1538">
        <v>49.955867767000001</v>
      </c>
      <c r="G1538">
        <v>1330.3085937999999</v>
      </c>
      <c r="H1538">
        <v>1329.7302245999999</v>
      </c>
      <c r="I1538">
        <v>1334.2772216999999</v>
      </c>
      <c r="J1538">
        <v>1332.9475098</v>
      </c>
      <c r="K1538">
        <v>0</v>
      </c>
      <c r="L1538">
        <v>550</v>
      </c>
      <c r="M1538">
        <v>550</v>
      </c>
      <c r="N1538">
        <v>0</v>
      </c>
    </row>
    <row r="1539" spans="1:14" x14ac:dyDescent="0.25">
      <c r="A1539">
        <v>1680.823586</v>
      </c>
      <c r="B1539" s="1">
        <f>DATE(2014,12,6) + TIME(19,45,57)</f>
        <v>41979.823576388888</v>
      </c>
      <c r="C1539">
        <v>80</v>
      </c>
      <c r="D1539">
        <v>77.869461060000006</v>
      </c>
      <c r="E1539">
        <v>50</v>
      </c>
      <c r="F1539">
        <v>49.955398559999999</v>
      </c>
      <c r="G1539">
        <v>1330.2763672000001</v>
      </c>
      <c r="H1539">
        <v>1329.6861572</v>
      </c>
      <c r="I1539">
        <v>1334.2772216999999</v>
      </c>
      <c r="J1539">
        <v>1332.9462891000001</v>
      </c>
      <c r="K1539">
        <v>0</v>
      </c>
      <c r="L1539">
        <v>550</v>
      </c>
      <c r="M1539">
        <v>550</v>
      </c>
      <c r="N1539">
        <v>0</v>
      </c>
    </row>
    <row r="1540" spans="1:14" x14ac:dyDescent="0.25">
      <c r="A1540">
        <v>1682.9571880000001</v>
      </c>
      <c r="B1540" s="1">
        <f>DATE(2014,12,8) + TIME(22,58,21)</f>
        <v>41981.957187499997</v>
      </c>
      <c r="C1540">
        <v>80</v>
      </c>
      <c r="D1540">
        <v>77.742805481000005</v>
      </c>
      <c r="E1540">
        <v>50</v>
      </c>
      <c r="F1540">
        <v>49.955047606999997</v>
      </c>
      <c r="G1540">
        <v>1330.2432861</v>
      </c>
      <c r="H1540">
        <v>1329.6408690999999</v>
      </c>
      <c r="I1540">
        <v>1334.2769774999999</v>
      </c>
      <c r="J1540">
        <v>1332.9450684000001</v>
      </c>
      <c r="K1540">
        <v>0</v>
      </c>
      <c r="L1540">
        <v>550</v>
      </c>
      <c r="M1540">
        <v>550</v>
      </c>
      <c r="N1540">
        <v>0</v>
      </c>
    </row>
    <row r="1541" spans="1:14" x14ac:dyDescent="0.25">
      <c r="A1541">
        <v>1685.1416839999999</v>
      </c>
      <c r="B1541" s="1">
        <f>DATE(2014,12,11) + TIME(3,24,1)</f>
        <v>41984.14167824074</v>
      </c>
      <c r="C1541">
        <v>80</v>
      </c>
      <c r="D1541">
        <v>77.609466553000004</v>
      </c>
      <c r="E1541">
        <v>50</v>
      </c>
      <c r="F1541">
        <v>49.954788207999997</v>
      </c>
      <c r="G1541">
        <v>1330.2097168</v>
      </c>
      <c r="H1541">
        <v>1329.5952147999999</v>
      </c>
      <c r="I1541">
        <v>1334.2767334</v>
      </c>
      <c r="J1541">
        <v>1332.9438477000001</v>
      </c>
      <c r="K1541">
        <v>0</v>
      </c>
      <c r="L1541">
        <v>550</v>
      </c>
      <c r="M1541">
        <v>550</v>
      </c>
      <c r="N1541">
        <v>0</v>
      </c>
    </row>
    <row r="1542" spans="1:14" x14ac:dyDescent="0.25">
      <c r="A1542">
        <v>1687.405915</v>
      </c>
      <c r="B1542" s="1">
        <f>DATE(2014,12,13) + TIME(9,44,31)</f>
        <v>41986.405914351853</v>
      </c>
      <c r="C1542">
        <v>80</v>
      </c>
      <c r="D1542">
        <v>77.468414307000003</v>
      </c>
      <c r="E1542">
        <v>50</v>
      </c>
      <c r="F1542">
        <v>49.954593658</v>
      </c>
      <c r="G1542">
        <v>1330.1761475000001</v>
      </c>
      <c r="H1542">
        <v>1329.5493164</v>
      </c>
      <c r="I1542">
        <v>1334.2763672000001</v>
      </c>
      <c r="J1542">
        <v>1332.9426269999999</v>
      </c>
      <c r="K1542">
        <v>0</v>
      </c>
      <c r="L1542">
        <v>550</v>
      </c>
      <c r="M1542">
        <v>550</v>
      </c>
      <c r="N1542">
        <v>0</v>
      </c>
    </row>
    <row r="1543" spans="1:14" x14ac:dyDescent="0.25">
      <c r="A1543">
        <v>1689.7710979999999</v>
      </c>
      <c r="B1543" s="1">
        <f>DATE(2014,12,15) + TIME(18,30,22)</f>
        <v>41988.771087962959</v>
      </c>
      <c r="C1543">
        <v>80</v>
      </c>
      <c r="D1543">
        <v>77.318473815999994</v>
      </c>
      <c r="E1543">
        <v>50</v>
      </c>
      <c r="F1543">
        <v>49.954441070999998</v>
      </c>
      <c r="G1543">
        <v>1330.1422118999999</v>
      </c>
      <c r="H1543">
        <v>1329.5031738</v>
      </c>
      <c r="I1543">
        <v>1334.276001</v>
      </c>
      <c r="J1543">
        <v>1332.9414062000001</v>
      </c>
      <c r="K1543">
        <v>0</v>
      </c>
      <c r="L1543">
        <v>550</v>
      </c>
      <c r="M1543">
        <v>550</v>
      </c>
      <c r="N1543">
        <v>0</v>
      </c>
    </row>
    <row r="1544" spans="1:14" x14ac:dyDescent="0.25">
      <c r="A1544">
        <v>1692.2621099999999</v>
      </c>
      <c r="B1544" s="1">
        <f>DATE(2014,12,18) + TIME(6,17,26)</f>
        <v>41991.262106481481</v>
      </c>
      <c r="C1544">
        <v>80</v>
      </c>
      <c r="D1544">
        <v>77.158081054999997</v>
      </c>
      <c r="E1544">
        <v>50</v>
      </c>
      <c r="F1544">
        <v>49.954322814999998</v>
      </c>
      <c r="G1544">
        <v>1330.1079102000001</v>
      </c>
      <c r="H1544">
        <v>1329.456543</v>
      </c>
      <c r="I1544">
        <v>1334.2753906</v>
      </c>
      <c r="J1544">
        <v>1332.9401855000001</v>
      </c>
      <c r="K1544">
        <v>0</v>
      </c>
      <c r="L1544">
        <v>550</v>
      </c>
      <c r="M1544">
        <v>550</v>
      </c>
      <c r="N1544">
        <v>0</v>
      </c>
    </row>
    <row r="1545" spans="1:14" x14ac:dyDescent="0.25">
      <c r="A1545">
        <v>1694.908893</v>
      </c>
      <c r="B1545" s="1">
        <f>DATE(2014,12,20) + TIME(21,48,48)</f>
        <v>41993.908888888887</v>
      </c>
      <c r="C1545">
        <v>80</v>
      </c>
      <c r="D1545">
        <v>76.985244750999996</v>
      </c>
      <c r="E1545">
        <v>50</v>
      </c>
      <c r="F1545">
        <v>49.954223632999998</v>
      </c>
      <c r="G1545">
        <v>1330.0727539</v>
      </c>
      <c r="H1545">
        <v>1329.4090576000001</v>
      </c>
      <c r="I1545">
        <v>1334.2749022999999</v>
      </c>
      <c r="J1545">
        <v>1332.9389647999999</v>
      </c>
      <c r="K1545">
        <v>0</v>
      </c>
      <c r="L1545">
        <v>550</v>
      </c>
      <c r="M1545">
        <v>550</v>
      </c>
      <c r="N1545">
        <v>0</v>
      </c>
    </row>
    <row r="1546" spans="1:14" x14ac:dyDescent="0.25">
      <c r="A1546">
        <v>1697.686663</v>
      </c>
      <c r="B1546" s="1">
        <f>DATE(2014,12,23) + TIME(16,28,47)</f>
        <v>41996.686655092592</v>
      </c>
      <c r="C1546">
        <v>80</v>
      </c>
      <c r="D1546">
        <v>76.799644470000004</v>
      </c>
      <c r="E1546">
        <v>50</v>
      </c>
      <c r="F1546">
        <v>49.954147339000002</v>
      </c>
      <c r="G1546">
        <v>1330.0368652</v>
      </c>
      <c r="H1546">
        <v>1329.3604736</v>
      </c>
      <c r="I1546">
        <v>1334.2742920000001</v>
      </c>
      <c r="J1546">
        <v>1332.9378661999999</v>
      </c>
      <c r="K1546">
        <v>0</v>
      </c>
      <c r="L1546">
        <v>550</v>
      </c>
      <c r="M1546">
        <v>550</v>
      </c>
      <c r="N1546">
        <v>0</v>
      </c>
    </row>
    <row r="1547" spans="1:14" x14ac:dyDescent="0.25">
      <c r="A1547">
        <v>1700.615695</v>
      </c>
      <c r="B1547" s="1">
        <f>DATE(2014,12,26) + TIME(14,46,36)</f>
        <v>41999.615694444445</v>
      </c>
      <c r="C1547">
        <v>80</v>
      </c>
      <c r="D1547">
        <v>76.599983214999995</v>
      </c>
      <c r="E1547">
        <v>50</v>
      </c>
      <c r="F1547">
        <v>49.954078674000002</v>
      </c>
      <c r="G1547">
        <v>1330.0001221</v>
      </c>
      <c r="H1547">
        <v>1329.3110352000001</v>
      </c>
      <c r="I1547">
        <v>1334.2735596</v>
      </c>
      <c r="J1547">
        <v>1332.9366454999999</v>
      </c>
      <c r="K1547">
        <v>0</v>
      </c>
      <c r="L1547">
        <v>550</v>
      </c>
      <c r="M1547">
        <v>550</v>
      </c>
      <c r="N1547">
        <v>0</v>
      </c>
    </row>
    <row r="1548" spans="1:14" x14ac:dyDescent="0.25">
      <c r="A1548">
        <v>1703.731902</v>
      </c>
      <c r="B1548" s="1">
        <f>DATE(2014,12,29) + TIME(17,33,56)</f>
        <v>42002.731898148151</v>
      </c>
      <c r="C1548">
        <v>80</v>
      </c>
      <c r="D1548">
        <v>76.384162903000004</v>
      </c>
      <c r="E1548">
        <v>50</v>
      </c>
      <c r="F1548">
        <v>49.954025268999999</v>
      </c>
      <c r="G1548">
        <v>1329.9626464999999</v>
      </c>
      <c r="H1548">
        <v>1329.2607422000001</v>
      </c>
      <c r="I1548">
        <v>1334.2728271000001</v>
      </c>
      <c r="J1548">
        <v>1332.9355469</v>
      </c>
      <c r="K1548">
        <v>0</v>
      </c>
      <c r="L1548">
        <v>550</v>
      </c>
      <c r="M1548">
        <v>550</v>
      </c>
      <c r="N1548">
        <v>0</v>
      </c>
    </row>
    <row r="1549" spans="1:14" x14ac:dyDescent="0.25">
      <c r="A1549">
        <v>1706</v>
      </c>
      <c r="B1549" s="1">
        <f>DATE(2015,1,1) + TIME(0,0,0)</f>
        <v>42005</v>
      </c>
      <c r="C1549">
        <v>80</v>
      </c>
      <c r="D1549">
        <v>76.192817688000005</v>
      </c>
      <c r="E1549">
        <v>50</v>
      </c>
      <c r="F1549">
        <v>49.953994751000003</v>
      </c>
      <c r="G1549">
        <v>1329.9246826000001</v>
      </c>
      <c r="H1549">
        <v>1329.2102050999999</v>
      </c>
      <c r="I1549">
        <v>1334.2720947</v>
      </c>
      <c r="J1549">
        <v>1332.9344481999999</v>
      </c>
      <c r="K1549">
        <v>0</v>
      </c>
      <c r="L1549">
        <v>550</v>
      </c>
      <c r="M1549">
        <v>550</v>
      </c>
      <c r="N1549">
        <v>0</v>
      </c>
    </row>
    <row r="1550" spans="1:14" x14ac:dyDescent="0.25">
      <c r="A1550">
        <v>1709.201863</v>
      </c>
      <c r="B1550" s="1">
        <f>DATE(2015,1,4) + TIME(4,50,40)</f>
        <v>42008.201851851853</v>
      </c>
      <c r="C1550">
        <v>80</v>
      </c>
      <c r="D1550">
        <v>75.970603943</v>
      </c>
      <c r="E1550">
        <v>50</v>
      </c>
      <c r="F1550">
        <v>49.953952788999999</v>
      </c>
      <c r="G1550">
        <v>1329.894043</v>
      </c>
      <c r="H1550">
        <v>1329.1673584</v>
      </c>
      <c r="I1550">
        <v>1334.2714844</v>
      </c>
      <c r="J1550">
        <v>1332.9337158000001</v>
      </c>
      <c r="K1550">
        <v>0</v>
      </c>
      <c r="L1550">
        <v>550</v>
      </c>
      <c r="M1550">
        <v>550</v>
      </c>
      <c r="N1550">
        <v>0</v>
      </c>
    </row>
    <row r="1551" spans="1:14" x14ac:dyDescent="0.25">
      <c r="A1551">
        <v>1712.549747</v>
      </c>
      <c r="B1551" s="1">
        <f>DATE(2015,1,7) + TIME(13,11,38)</f>
        <v>42011.549745370372</v>
      </c>
      <c r="C1551">
        <v>80</v>
      </c>
      <c r="D1551">
        <v>75.727813721000004</v>
      </c>
      <c r="E1551">
        <v>50</v>
      </c>
      <c r="F1551">
        <v>49.953910827999998</v>
      </c>
      <c r="G1551">
        <v>1329.8576660000001</v>
      </c>
      <c r="H1551">
        <v>1329.1191406</v>
      </c>
      <c r="I1551">
        <v>1334.2707519999999</v>
      </c>
      <c r="J1551">
        <v>1332.9328613</v>
      </c>
      <c r="K1551">
        <v>0</v>
      </c>
      <c r="L1551">
        <v>550</v>
      </c>
      <c r="M1551">
        <v>550</v>
      </c>
      <c r="N1551">
        <v>0</v>
      </c>
    </row>
    <row r="1552" spans="1:14" x14ac:dyDescent="0.25">
      <c r="A1552">
        <v>1716.02781</v>
      </c>
      <c r="B1552" s="1">
        <f>DATE(2015,1,11) + TIME(0,40,2)</f>
        <v>42015.027800925927</v>
      </c>
      <c r="C1552">
        <v>80</v>
      </c>
      <c r="D1552">
        <v>75.467163085999999</v>
      </c>
      <c r="E1552">
        <v>50</v>
      </c>
      <c r="F1552">
        <v>49.953868866000001</v>
      </c>
      <c r="G1552">
        <v>1329.8203125</v>
      </c>
      <c r="H1552">
        <v>1329.0694579999999</v>
      </c>
      <c r="I1552">
        <v>1334.2698975000001</v>
      </c>
      <c r="J1552">
        <v>1332.9320068</v>
      </c>
      <c r="K1552">
        <v>0</v>
      </c>
      <c r="L1552">
        <v>550</v>
      </c>
      <c r="M1552">
        <v>550</v>
      </c>
      <c r="N1552">
        <v>0</v>
      </c>
    </row>
    <row r="1553" spans="1:14" x14ac:dyDescent="0.25">
      <c r="A1553">
        <v>1719.678439</v>
      </c>
      <c r="B1553" s="1">
        <f>DATE(2015,1,14) + TIME(16,16,57)</f>
        <v>42018.678437499999</v>
      </c>
      <c r="C1553">
        <v>80</v>
      </c>
      <c r="D1553">
        <v>75.188720703000001</v>
      </c>
      <c r="E1553">
        <v>50</v>
      </c>
      <c r="F1553">
        <v>49.95382309</v>
      </c>
      <c r="G1553">
        <v>1329.7823486</v>
      </c>
      <c r="H1553">
        <v>1329.0189209</v>
      </c>
      <c r="I1553">
        <v>1334.269043</v>
      </c>
      <c r="J1553">
        <v>1332.9311522999999</v>
      </c>
      <c r="K1553">
        <v>0</v>
      </c>
      <c r="L1553">
        <v>550</v>
      </c>
      <c r="M1553">
        <v>550</v>
      </c>
      <c r="N1553">
        <v>0</v>
      </c>
    </row>
    <row r="1554" spans="1:14" x14ac:dyDescent="0.25">
      <c r="A1554">
        <v>1723.5501360000001</v>
      </c>
      <c r="B1554" s="1">
        <f>DATE(2015,1,18) + TIME(13,12,11)</f>
        <v>42022.550127314818</v>
      </c>
      <c r="C1554">
        <v>80</v>
      </c>
      <c r="D1554">
        <v>74.890396117999998</v>
      </c>
      <c r="E1554">
        <v>50</v>
      </c>
      <c r="F1554">
        <v>49.953773499</v>
      </c>
      <c r="G1554">
        <v>1329.7440185999999</v>
      </c>
      <c r="H1554">
        <v>1328.9678954999999</v>
      </c>
      <c r="I1554">
        <v>1334.2681885</v>
      </c>
      <c r="J1554">
        <v>1332.9305420000001</v>
      </c>
      <c r="K1554">
        <v>0</v>
      </c>
      <c r="L1554">
        <v>550</v>
      </c>
      <c r="M1554">
        <v>550</v>
      </c>
      <c r="N1554">
        <v>0</v>
      </c>
    </row>
    <row r="1555" spans="1:14" x14ac:dyDescent="0.25">
      <c r="A1555">
        <v>1727.5667309999999</v>
      </c>
      <c r="B1555" s="1">
        <f>DATE(2015,1,22) + TIME(13,36,5)</f>
        <v>42026.566724537035</v>
      </c>
      <c r="C1555">
        <v>80</v>
      </c>
      <c r="D1555">
        <v>74.572883606000005</v>
      </c>
      <c r="E1555">
        <v>50</v>
      </c>
      <c r="F1555">
        <v>49.953723906999997</v>
      </c>
      <c r="G1555">
        <v>1329.7049560999999</v>
      </c>
      <c r="H1555">
        <v>1328.9160156</v>
      </c>
      <c r="I1555">
        <v>1334.2672118999999</v>
      </c>
      <c r="J1555">
        <v>1332.9298096</v>
      </c>
      <c r="K1555">
        <v>0</v>
      </c>
      <c r="L1555">
        <v>550</v>
      </c>
      <c r="M1555">
        <v>550</v>
      </c>
      <c r="N1555">
        <v>0</v>
      </c>
    </row>
    <row r="1556" spans="1:14" x14ac:dyDescent="0.25">
      <c r="A1556">
        <v>1731.749969</v>
      </c>
      <c r="B1556" s="1">
        <f>DATE(2015,1,26) + TIME(17,59,57)</f>
        <v>42030.749965277777</v>
      </c>
      <c r="C1556">
        <v>80</v>
      </c>
      <c r="D1556">
        <v>74.237113953000005</v>
      </c>
      <c r="E1556">
        <v>50</v>
      </c>
      <c r="F1556">
        <v>49.953670502000001</v>
      </c>
      <c r="G1556">
        <v>1329.6656493999999</v>
      </c>
      <c r="H1556">
        <v>1328.8637695</v>
      </c>
      <c r="I1556">
        <v>1334.2662353999999</v>
      </c>
      <c r="J1556">
        <v>1332.9293213000001</v>
      </c>
      <c r="K1556">
        <v>0</v>
      </c>
      <c r="L1556">
        <v>550</v>
      </c>
      <c r="M1556">
        <v>550</v>
      </c>
      <c r="N1556">
        <v>0</v>
      </c>
    </row>
    <row r="1557" spans="1:14" x14ac:dyDescent="0.25">
      <c r="A1557">
        <v>1736.010338</v>
      </c>
      <c r="B1557" s="1">
        <f>DATE(2015,1,31) + TIME(0,14,53)</f>
        <v>42035.010335648149</v>
      </c>
      <c r="C1557">
        <v>80</v>
      </c>
      <c r="D1557">
        <v>73.886016846000004</v>
      </c>
      <c r="E1557">
        <v>50</v>
      </c>
      <c r="F1557">
        <v>49.953613281000003</v>
      </c>
      <c r="G1557">
        <v>1329.6262207</v>
      </c>
      <c r="H1557">
        <v>1328.8115233999999</v>
      </c>
      <c r="I1557">
        <v>1334.2652588000001</v>
      </c>
      <c r="J1557">
        <v>1332.9288329999999</v>
      </c>
      <c r="K1557">
        <v>0</v>
      </c>
      <c r="L1557">
        <v>550</v>
      </c>
      <c r="M1557">
        <v>550</v>
      </c>
      <c r="N1557">
        <v>0</v>
      </c>
    </row>
    <row r="1558" spans="1:14" x14ac:dyDescent="0.25">
      <c r="A1558">
        <v>1737</v>
      </c>
      <c r="B1558" s="1">
        <f>DATE(2015,2,1) + TIME(0,0,0)</f>
        <v>42036</v>
      </c>
      <c r="C1558">
        <v>80</v>
      </c>
      <c r="D1558">
        <v>73.727661132999998</v>
      </c>
      <c r="E1558">
        <v>50</v>
      </c>
      <c r="F1558">
        <v>49.953594207999998</v>
      </c>
      <c r="G1558">
        <v>1329.5882568</v>
      </c>
      <c r="H1558">
        <v>1328.7628173999999</v>
      </c>
      <c r="I1558">
        <v>1334.2642822</v>
      </c>
      <c r="J1558">
        <v>1332.9283447</v>
      </c>
      <c r="K1558">
        <v>0</v>
      </c>
      <c r="L1558">
        <v>550</v>
      </c>
      <c r="M1558">
        <v>550</v>
      </c>
      <c r="N1558">
        <v>0</v>
      </c>
    </row>
    <row r="1559" spans="1:14" x14ac:dyDescent="0.25">
      <c r="A1559">
        <v>1741.3626340000001</v>
      </c>
      <c r="B1559" s="1">
        <f>DATE(2015,2,5) + TIME(8,42,11)</f>
        <v>42040.362627314818</v>
      </c>
      <c r="C1559">
        <v>80</v>
      </c>
      <c r="D1559">
        <v>73.407768250000004</v>
      </c>
      <c r="E1559">
        <v>50</v>
      </c>
      <c r="F1559">
        <v>49.953540801999999</v>
      </c>
      <c r="G1559">
        <v>1329.5742187999999</v>
      </c>
      <c r="H1559">
        <v>1328.7398682</v>
      </c>
      <c r="I1559">
        <v>1334.2640381000001</v>
      </c>
      <c r="J1559">
        <v>1332.9283447</v>
      </c>
      <c r="K1559">
        <v>0</v>
      </c>
      <c r="L1559">
        <v>550</v>
      </c>
      <c r="M1559">
        <v>550</v>
      </c>
      <c r="N1559">
        <v>0</v>
      </c>
    </row>
    <row r="1560" spans="1:14" x14ac:dyDescent="0.25">
      <c r="A1560">
        <v>1745.900527</v>
      </c>
      <c r="B1560" s="1">
        <f>DATE(2015,2,9) + TIME(21,36,45)</f>
        <v>42044.900520833333</v>
      </c>
      <c r="C1560">
        <v>80</v>
      </c>
      <c r="D1560">
        <v>73.044883728000002</v>
      </c>
      <c r="E1560">
        <v>50</v>
      </c>
      <c r="F1560">
        <v>49.953475951999998</v>
      </c>
      <c r="G1560">
        <v>1329.5388184000001</v>
      </c>
      <c r="H1560">
        <v>1328.6943358999999</v>
      </c>
      <c r="I1560">
        <v>1334.2630615</v>
      </c>
      <c r="J1560">
        <v>1332.9279785000001</v>
      </c>
      <c r="K1560">
        <v>0</v>
      </c>
      <c r="L1560">
        <v>550</v>
      </c>
      <c r="M1560">
        <v>550</v>
      </c>
      <c r="N1560">
        <v>0</v>
      </c>
    </row>
    <row r="1561" spans="1:14" x14ac:dyDescent="0.25">
      <c r="A1561">
        <v>1750.6424959999999</v>
      </c>
      <c r="B1561" s="1">
        <f>DATE(2015,2,14) + TIME(15,25,11)</f>
        <v>42049.642488425925</v>
      </c>
      <c r="C1561">
        <v>80</v>
      </c>
      <c r="D1561">
        <v>72.653671265</v>
      </c>
      <c r="E1561">
        <v>50</v>
      </c>
      <c r="F1561">
        <v>49.953407288000001</v>
      </c>
      <c r="G1561">
        <v>1329.5020752</v>
      </c>
      <c r="H1561">
        <v>1328.6461182</v>
      </c>
      <c r="I1561">
        <v>1334.2619629000001</v>
      </c>
      <c r="J1561">
        <v>1332.9277344</v>
      </c>
      <c r="K1561">
        <v>0</v>
      </c>
      <c r="L1561">
        <v>550</v>
      </c>
      <c r="M1561">
        <v>550</v>
      </c>
      <c r="N1561">
        <v>0</v>
      </c>
    </row>
    <row r="1562" spans="1:14" x14ac:dyDescent="0.25">
      <c r="A1562">
        <v>1755.5789279999999</v>
      </c>
      <c r="B1562" s="1">
        <f>DATE(2015,2,19) + TIME(13,53,39)</f>
        <v>42054.578923611109</v>
      </c>
      <c r="C1562">
        <v>80</v>
      </c>
      <c r="D1562">
        <v>72.239463806000003</v>
      </c>
      <c r="E1562">
        <v>50</v>
      </c>
      <c r="F1562">
        <v>49.953338623</v>
      </c>
      <c r="G1562">
        <v>1329.4648437999999</v>
      </c>
      <c r="H1562">
        <v>1328.5969238</v>
      </c>
      <c r="I1562">
        <v>1334.2608643000001</v>
      </c>
      <c r="J1562">
        <v>1332.9276123</v>
      </c>
      <c r="K1562">
        <v>0</v>
      </c>
      <c r="L1562">
        <v>550</v>
      </c>
      <c r="M1562">
        <v>550</v>
      </c>
      <c r="N1562">
        <v>0</v>
      </c>
    </row>
    <row r="1563" spans="1:14" x14ac:dyDescent="0.25">
      <c r="A1563">
        <v>1760.6271159999999</v>
      </c>
      <c r="B1563" s="1">
        <f>DATE(2015,2,24) + TIME(15,3,2)</f>
        <v>42059.627106481479</v>
      </c>
      <c r="C1563">
        <v>80</v>
      </c>
      <c r="D1563">
        <v>71.807014464999995</v>
      </c>
      <c r="E1563">
        <v>50</v>
      </c>
      <c r="F1563">
        <v>49.953262328999998</v>
      </c>
      <c r="G1563">
        <v>1329.4273682</v>
      </c>
      <c r="H1563">
        <v>1328.5474853999999</v>
      </c>
      <c r="I1563">
        <v>1334.2596435999999</v>
      </c>
      <c r="J1563">
        <v>1332.9274902</v>
      </c>
      <c r="K1563">
        <v>0</v>
      </c>
      <c r="L1563">
        <v>550</v>
      </c>
      <c r="M1563">
        <v>550</v>
      </c>
      <c r="N1563">
        <v>0</v>
      </c>
    </row>
    <row r="1564" spans="1:14" x14ac:dyDescent="0.25">
      <c r="A1564">
        <v>1765</v>
      </c>
      <c r="B1564" s="1">
        <f>DATE(2015,3,1) + TIME(0,0,0)</f>
        <v>42064</v>
      </c>
      <c r="C1564">
        <v>80</v>
      </c>
      <c r="D1564">
        <v>71.385818481000001</v>
      </c>
      <c r="E1564">
        <v>50</v>
      </c>
      <c r="F1564">
        <v>49.953193665000001</v>
      </c>
      <c r="G1564">
        <v>1329.3905029</v>
      </c>
      <c r="H1564">
        <v>1328.4989014</v>
      </c>
      <c r="I1564">
        <v>1334.2584228999999</v>
      </c>
      <c r="J1564">
        <v>1332.9273682</v>
      </c>
      <c r="K1564">
        <v>0</v>
      </c>
      <c r="L1564">
        <v>550</v>
      </c>
      <c r="M1564">
        <v>550</v>
      </c>
      <c r="N1564">
        <v>0</v>
      </c>
    </row>
    <row r="1565" spans="1:14" x14ac:dyDescent="0.25">
      <c r="A1565">
        <v>1770.1455960000001</v>
      </c>
      <c r="B1565" s="1">
        <f>DATE(2015,3,6) + TIME(3,29,39)</f>
        <v>42069.145590277774</v>
      </c>
      <c r="C1565">
        <v>80</v>
      </c>
      <c r="D1565">
        <v>70.960372925000001</v>
      </c>
      <c r="E1565">
        <v>50</v>
      </c>
      <c r="F1565">
        <v>49.953121185000001</v>
      </c>
      <c r="G1565">
        <v>1329.3577881000001</v>
      </c>
      <c r="H1565">
        <v>1328.4543457</v>
      </c>
      <c r="I1565">
        <v>1334.2574463000001</v>
      </c>
      <c r="J1565">
        <v>1332.9273682</v>
      </c>
      <c r="K1565">
        <v>0</v>
      </c>
      <c r="L1565">
        <v>550</v>
      </c>
      <c r="M1565">
        <v>550</v>
      </c>
      <c r="N1565">
        <v>0</v>
      </c>
    </row>
    <row r="1566" spans="1:14" x14ac:dyDescent="0.25">
      <c r="A1566">
        <v>1775.6206500000001</v>
      </c>
      <c r="B1566" s="1">
        <f>DATE(2015,3,11) + TIME(14,53,44)</f>
        <v>42074.620648148149</v>
      </c>
      <c r="C1566">
        <v>80</v>
      </c>
      <c r="D1566">
        <v>70.502746582</v>
      </c>
      <c r="E1566">
        <v>50</v>
      </c>
      <c r="F1566">
        <v>49.953041077000002</v>
      </c>
      <c r="G1566">
        <v>1329.3238524999999</v>
      </c>
      <c r="H1566">
        <v>1328.4099120999999</v>
      </c>
      <c r="I1566">
        <v>1334.2562256000001</v>
      </c>
      <c r="J1566">
        <v>1332.9274902</v>
      </c>
      <c r="K1566">
        <v>0</v>
      </c>
      <c r="L1566">
        <v>550</v>
      </c>
      <c r="M1566">
        <v>550</v>
      </c>
      <c r="N1566">
        <v>0</v>
      </c>
    </row>
    <row r="1567" spans="1:14" x14ac:dyDescent="0.25">
      <c r="A1567">
        <v>1781.374556</v>
      </c>
      <c r="B1567" s="1">
        <f>DATE(2015,3,17) + TIME(8,59,21)</f>
        <v>42080.374548611115</v>
      </c>
      <c r="C1567">
        <v>80</v>
      </c>
      <c r="D1567">
        <v>70.016014099000003</v>
      </c>
      <c r="E1567">
        <v>50</v>
      </c>
      <c r="F1567">
        <v>49.952957153</v>
      </c>
      <c r="G1567">
        <v>1329.2893065999999</v>
      </c>
      <c r="H1567">
        <v>1328.3645019999999</v>
      </c>
      <c r="I1567">
        <v>1334.2548827999999</v>
      </c>
      <c r="J1567">
        <v>1332.9274902</v>
      </c>
      <c r="K1567">
        <v>0</v>
      </c>
      <c r="L1567">
        <v>550</v>
      </c>
      <c r="M1567">
        <v>550</v>
      </c>
      <c r="N1567">
        <v>0</v>
      </c>
    </row>
    <row r="1568" spans="1:14" x14ac:dyDescent="0.25">
      <c r="A1568">
        <v>1787.2551860000001</v>
      </c>
      <c r="B1568" s="1">
        <f>DATE(2015,3,23) + TIME(6,7,28)</f>
        <v>42086.255185185182</v>
      </c>
      <c r="C1568">
        <v>80</v>
      </c>
      <c r="D1568">
        <v>69.506546021000005</v>
      </c>
      <c r="E1568">
        <v>50</v>
      </c>
      <c r="F1568">
        <v>49.952873230000002</v>
      </c>
      <c r="G1568">
        <v>1329.2545166</v>
      </c>
      <c r="H1568">
        <v>1328.3187256000001</v>
      </c>
      <c r="I1568">
        <v>1334.253418</v>
      </c>
      <c r="J1568">
        <v>1332.9276123</v>
      </c>
      <c r="K1568">
        <v>0</v>
      </c>
      <c r="L1568">
        <v>550</v>
      </c>
      <c r="M1568">
        <v>550</v>
      </c>
      <c r="N1568">
        <v>0</v>
      </c>
    </row>
    <row r="1569" spans="1:14" x14ac:dyDescent="0.25">
      <c r="A1569">
        <v>1793.273929</v>
      </c>
      <c r="B1569" s="1">
        <f>DATE(2015,3,29) + TIME(6,34,27)</f>
        <v>42092.273923611108</v>
      </c>
      <c r="C1569">
        <v>80</v>
      </c>
      <c r="D1569">
        <v>68.982284546000002</v>
      </c>
      <c r="E1569">
        <v>50</v>
      </c>
      <c r="F1569">
        <v>49.952785491999997</v>
      </c>
      <c r="G1569">
        <v>1329.2202147999999</v>
      </c>
      <c r="H1569">
        <v>1328.2734375</v>
      </c>
      <c r="I1569">
        <v>1334.2520752</v>
      </c>
      <c r="J1569">
        <v>1332.9277344</v>
      </c>
      <c r="K1569">
        <v>0</v>
      </c>
      <c r="L1569">
        <v>550</v>
      </c>
      <c r="M1569">
        <v>550</v>
      </c>
      <c r="N1569">
        <v>0</v>
      </c>
    </row>
    <row r="1570" spans="1:14" x14ac:dyDescent="0.25">
      <c r="A1570">
        <v>1796</v>
      </c>
      <c r="B1570" s="1">
        <f>DATE(2015,4,1) + TIME(0,0,0)</f>
        <v>42095</v>
      </c>
      <c r="C1570">
        <v>80</v>
      </c>
      <c r="D1570">
        <v>68.588005065999994</v>
      </c>
      <c r="E1570">
        <v>50</v>
      </c>
      <c r="F1570">
        <v>49.952728270999998</v>
      </c>
      <c r="G1570">
        <v>1329.1867675999999</v>
      </c>
      <c r="H1570">
        <v>1328.2305908000001</v>
      </c>
      <c r="I1570">
        <v>1334.2504882999999</v>
      </c>
      <c r="J1570">
        <v>1332.9278564000001</v>
      </c>
      <c r="K1570">
        <v>0</v>
      </c>
      <c r="L1570">
        <v>550</v>
      </c>
      <c r="M1570">
        <v>550</v>
      </c>
      <c r="N157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2022-06-27T08:59:34Z</dcterms:created>
  <dcterms:modified xsi:type="dcterms:W3CDTF">2022-06-27T09:00:03Z</dcterms:modified>
</cp:coreProperties>
</file>