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668AD899-0BFF-48DE-A0CD-5BDCE500F81F}" xr6:coauthVersionLast="47" xr6:coauthVersionMax="47" xr10:uidLastSave="{00000000-0000-0000-0000-000000000000}"/>
  <bookViews>
    <workbookView xWindow="1455" yWindow="1605" windowWidth="21600" windowHeight="11385" xr2:uid="{FB36A18B-4894-40A6-85C6-072C126EB42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46" i="1" l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<sst xmlns="http://schemas.openxmlformats.org/spreadsheetml/2006/main" count="15" uniqueCount="15">
  <si>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MODEL\SCENARIOS\2022\Parameterstudy_perm_storV_dT\perm50_V200_dt40.sr3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</si>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</sst>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E6499-E68D-4BE6-B374-85D9599FA6CC}" name="Table1" displayName="Table1" ref="A3:N1646" totalsRowShown="0">
  <autoFilter ref="A3:N1646" xr:uid="{EA1E6499-E68D-4BE6-B374-85D9599FA6CC}"/>
  <tableColumns count="14">
    <tableColumn id="1" xr3:uid="{38DE36AB-8F2E-4CA6-8C4C-37D4E61E150C}" name="Time (day)"/>
    <tableColumn id="2" xr3:uid="{AB532BCF-712C-438C-8627-EBEE56A8D822}" name="Date" dataDxfId="0"/>
    <tableColumn id="3" xr3:uid="{AB6B4619-1804-4521-890E-783BED2101DA}" name="Hot well INJ-Well bottom hole temperature (C)"/>
    <tableColumn id="4" xr3:uid="{D333E19A-6275-4687-8B96-8C4E7113BEAE}" name="Hot well PROD-Well bottom hole temperature (C)"/>
    <tableColumn id="5" xr3:uid="{A1623E1B-FB4A-4BC5-A4DB-69A9AD9392C9}" name="Warm well INJ-Well bottom hole temperature (C)"/>
    <tableColumn id="6" xr3:uid="{6930B16E-8EC9-4B8D-95BC-901CE5A64BB9}" name="Warm well PROD-Well bottom hole temperature (C)"/>
    <tableColumn id="7" xr3:uid="{417E6C87-840C-4F92-AFF8-7A07EECD96B0}" name="Hot well INJ-Well Bottom-hole Pressure (kPa)"/>
    <tableColumn id="8" xr3:uid="{5D784C9D-0152-42E3-9C5E-30CAFD08BBEF}" name="Hot well PROD-Well Bottom-hole Pressure (kPa)"/>
    <tableColumn id="9" xr3:uid="{4D1562D8-D4FC-464B-BE83-0B79BBFF6DDE}" name="Warm well INJ-Well Bottom-hole Pressure (kPa)"/>
    <tableColumn id="10" xr3:uid="{673AFB39-3498-4E57-A543-83FEF84C7FF1}" name="Warm well PROD-Well Bottom-hole Pressure (kPa)"/>
    <tableColumn id="11" xr3:uid="{22BD68FC-C87D-405A-9B27-998B63EB2778}" name="Hot well INJ-Fluid Rate SC (m³/day)"/>
    <tableColumn id="12" xr3:uid="{67B55578-E4A4-43FB-B782-A4407A0EEA58}" name="Hot well PROD-Fluid Rate SC (m³/day)"/>
    <tableColumn id="13" xr3:uid="{A7769AAD-CFF8-4B29-B19F-9D46C045B478}" name="Warm well INJ-Fluid Rate SC (m³/day)"/>
    <tableColumn id="14" xr3:uid="{CAD8A50A-B022-4BD4-8C97-9D864E9C4EE5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994A-BEF5-4209-92EF-66111A93C99F}">
  <dimension ref="A1:N164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40</v>
      </c>
      <c r="F4">
        <v>14.999990463</v>
      </c>
      <c r="G4">
        <v>1331.3095702999999</v>
      </c>
      <c r="H4">
        <v>1329.5029297000001</v>
      </c>
      <c r="I4">
        <v>1329.3167725000001</v>
      </c>
      <c r="J4">
        <v>1327.5093993999999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15.000099182</v>
      </c>
      <c r="E5">
        <v>40</v>
      </c>
      <c r="F5">
        <v>14.999967574999999</v>
      </c>
      <c r="G5">
        <v>1331.5285644999999</v>
      </c>
      <c r="H5">
        <v>1329.7218018000001</v>
      </c>
      <c r="I5">
        <v>1329.0987548999999</v>
      </c>
      <c r="J5">
        <v>1327.2913818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15.000290871000001</v>
      </c>
      <c r="E6">
        <v>40</v>
      </c>
      <c r="F6">
        <v>14.999928474000001</v>
      </c>
      <c r="G6">
        <v>1331.9188231999999</v>
      </c>
      <c r="H6">
        <v>1330.1120605000001</v>
      </c>
      <c r="I6">
        <v>1328.7102050999999</v>
      </c>
      <c r="J6">
        <v>1326.9029541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15.000796318000001</v>
      </c>
      <c r="E7">
        <v>40</v>
      </c>
      <c r="F7">
        <v>14.999876975999999</v>
      </c>
      <c r="G7">
        <v>1332.4199219</v>
      </c>
      <c r="H7">
        <v>1330.6131591999999</v>
      </c>
      <c r="I7">
        <v>1328.2111815999999</v>
      </c>
      <c r="J7">
        <v>1326.4039307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15.002210616999999</v>
      </c>
      <c r="E8">
        <v>40</v>
      </c>
      <c r="F8">
        <v>14.99982357</v>
      </c>
      <c r="G8">
        <v>1332.9416504000001</v>
      </c>
      <c r="H8">
        <v>1331.1348877</v>
      </c>
      <c r="I8">
        <v>1327.6915283000001</v>
      </c>
      <c r="J8">
        <v>1325.8843993999999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15.006345748999999</v>
      </c>
      <c r="E9">
        <v>40</v>
      </c>
      <c r="F9">
        <v>14.999772072000001</v>
      </c>
      <c r="G9">
        <v>1333.4451904</v>
      </c>
      <c r="H9">
        <v>1331.6385498</v>
      </c>
      <c r="I9">
        <v>1327.1900635</v>
      </c>
      <c r="J9">
        <v>1325.3829346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15.018636703</v>
      </c>
      <c r="E10">
        <v>40</v>
      </c>
      <c r="F10">
        <v>14.999729156000001</v>
      </c>
      <c r="G10">
        <v>1333.8662108999999</v>
      </c>
      <c r="H10">
        <v>1332.0600586</v>
      </c>
      <c r="I10">
        <v>1326.7709961</v>
      </c>
      <c r="J10">
        <v>1324.9638672000001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15.055391311999999</v>
      </c>
      <c r="E11">
        <v>40</v>
      </c>
      <c r="F11">
        <v>14.9997015</v>
      </c>
      <c r="G11">
        <v>1334.1311035000001</v>
      </c>
      <c r="H11">
        <v>1332.3265381000001</v>
      </c>
      <c r="I11">
        <v>1326.5073242000001</v>
      </c>
      <c r="J11">
        <v>1324.7001952999999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15.165434836999999</v>
      </c>
      <c r="E12">
        <v>40</v>
      </c>
      <c r="F12">
        <v>14.999690056</v>
      </c>
      <c r="G12">
        <v>1334.2502440999999</v>
      </c>
      <c r="H12">
        <v>1332.4505615</v>
      </c>
      <c r="I12">
        <v>1326.3887939000001</v>
      </c>
      <c r="J12">
        <v>1324.5817870999999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15.494170189</v>
      </c>
      <c r="E13">
        <v>40</v>
      </c>
      <c r="F13">
        <v>14.999687195</v>
      </c>
      <c r="G13">
        <v>1334.2736815999999</v>
      </c>
      <c r="H13">
        <v>1332.4880370999999</v>
      </c>
      <c r="I13">
        <v>1326.3582764</v>
      </c>
      <c r="J13">
        <v>1324.5511475000001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16.469434738</v>
      </c>
      <c r="E14">
        <v>40</v>
      </c>
      <c r="F14">
        <v>14.999688148000001</v>
      </c>
      <c r="G14">
        <v>1334.2263184000001</v>
      </c>
      <c r="H14">
        <v>1332.4810791</v>
      </c>
      <c r="I14">
        <v>1326.3566894999999</v>
      </c>
      <c r="J14">
        <v>1324.5494385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0.14912</v>
      </c>
      <c r="B15" s="1">
        <f>DATE(2010,5,1) + TIME(3,34,43)</f>
        <v>40299.149108796293</v>
      </c>
      <c r="C15">
        <v>80</v>
      </c>
      <c r="D15">
        <v>17.463764190999999</v>
      </c>
      <c r="E15">
        <v>40</v>
      </c>
      <c r="F15">
        <v>14.999690056</v>
      </c>
      <c r="G15">
        <v>1334.1961670000001</v>
      </c>
      <c r="H15">
        <v>1332.4805908000001</v>
      </c>
      <c r="I15">
        <v>1326.3576660000001</v>
      </c>
      <c r="J15">
        <v>1324.5500488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0.210012</v>
      </c>
      <c r="B16" s="1">
        <f>DATE(2010,5,1) + TIME(5,2,25)</f>
        <v>40299.210011574076</v>
      </c>
      <c r="C16">
        <v>80</v>
      </c>
      <c r="D16">
        <v>18.458898544</v>
      </c>
      <c r="E16">
        <v>40</v>
      </c>
      <c r="F16">
        <v>14.999691963</v>
      </c>
      <c r="G16">
        <v>1334.1712646000001</v>
      </c>
      <c r="H16">
        <v>1332.4826660000001</v>
      </c>
      <c r="I16">
        <v>1326.3585204999999</v>
      </c>
      <c r="J16">
        <v>1324.5505370999999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0.27120100000000003</v>
      </c>
      <c r="B17" s="1">
        <f>DATE(2010,5,1) + TIME(6,30,31)</f>
        <v>40299.271192129629</v>
      </c>
      <c r="C17">
        <v>80</v>
      </c>
      <c r="D17">
        <v>19.454513550000001</v>
      </c>
      <c r="E17">
        <v>40</v>
      </c>
      <c r="F17">
        <v>14.999693871</v>
      </c>
      <c r="G17">
        <v>1334.1513672000001</v>
      </c>
      <c r="H17">
        <v>1332.4871826000001</v>
      </c>
      <c r="I17">
        <v>1326.3594971</v>
      </c>
      <c r="J17">
        <v>1324.5509033000001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0.33266000000000001</v>
      </c>
      <c r="B18" s="1">
        <f>DATE(2010,5,1) + TIME(7,59,1)</f>
        <v>40299.332650462966</v>
      </c>
      <c r="C18">
        <v>80</v>
      </c>
      <c r="D18">
        <v>20.450971602999999</v>
      </c>
      <c r="E18">
        <v>40</v>
      </c>
      <c r="F18">
        <v>14.999694824000001</v>
      </c>
      <c r="G18">
        <v>1334.1362305</v>
      </c>
      <c r="H18">
        <v>1332.4943848</v>
      </c>
      <c r="I18">
        <v>1326.3603516000001</v>
      </c>
      <c r="J18">
        <v>1324.5513916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0.39433800000000002</v>
      </c>
      <c r="B19" s="1">
        <f>DATE(2010,5,1) + TIME(9,27,50)</f>
        <v>40299.394328703704</v>
      </c>
      <c r="C19">
        <v>80</v>
      </c>
      <c r="D19">
        <v>21.447929382000002</v>
      </c>
      <c r="E19">
        <v>40</v>
      </c>
      <c r="F19">
        <v>14.999696732</v>
      </c>
      <c r="G19">
        <v>1334.1256103999999</v>
      </c>
      <c r="H19">
        <v>1332.5039062000001</v>
      </c>
      <c r="I19">
        <v>1326.3612060999999</v>
      </c>
      <c r="J19">
        <v>1324.5517577999999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0.456204</v>
      </c>
      <c r="B20" s="1">
        <f>DATE(2010,5,1) + TIME(10,56,56)</f>
        <v>40299.456203703703</v>
      </c>
      <c r="C20">
        <v>80</v>
      </c>
      <c r="D20">
        <v>22.44477272</v>
      </c>
      <c r="E20">
        <v>40</v>
      </c>
      <c r="F20">
        <v>14.999698639</v>
      </c>
      <c r="G20">
        <v>1334.1192627</v>
      </c>
      <c r="H20">
        <v>1332.5157471</v>
      </c>
      <c r="I20">
        <v>1326.3621826000001</v>
      </c>
      <c r="J20">
        <v>1324.552124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0.518266</v>
      </c>
      <c r="B21" s="1">
        <f>DATE(2010,5,1) + TIME(12,26,18)</f>
        <v>40299.518263888887</v>
      </c>
      <c r="C21">
        <v>80</v>
      </c>
      <c r="D21">
        <v>23.441915512000001</v>
      </c>
      <c r="E21">
        <v>40</v>
      </c>
      <c r="F21">
        <v>14.999699593000001</v>
      </c>
      <c r="G21">
        <v>1334.1169434000001</v>
      </c>
      <c r="H21">
        <v>1332.5297852000001</v>
      </c>
      <c r="I21">
        <v>1326.3631591999999</v>
      </c>
      <c r="J21">
        <v>1324.5524902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0.58050500000000005</v>
      </c>
      <c r="B22" s="1">
        <f>DATE(2010,5,1) + TIME(13,55,55)</f>
        <v>40299.580497685187</v>
      </c>
      <c r="C22">
        <v>80</v>
      </c>
      <c r="D22">
        <v>24.439311980999999</v>
      </c>
      <c r="E22">
        <v>40</v>
      </c>
      <c r="F22">
        <v>14.9997015</v>
      </c>
      <c r="G22">
        <v>1334.1182861</v>
      </c>
      <c r="H22">
        <v>1332.5458983999999</v>
      </c>
      <c r="I22">
        <v>1326.3641356999999</v>
      </c>
      <c r="J22">
        <v>1324.5527344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0.64290700000000001</v>
      </c>
      <c r="B23" s="1">
        <f>DATE(2010,5,1) + TIME(15,25,47)</f>
        <v>40299.642905092594</v>
      </c>
      <c r="C23">
        <v>80</v>
      </c>
      <c r="D23">
        <v>25.437210083</v>
      </c>
      <c r="E23">
        <v>40</v>
      </c>
      <c r="F23">
        <v>14.999703407</v>
      </c>
      <c r="G23">
        <v>1334.1232910000001</v>
      </c>
      <c r="H23">
        <v>1332.5640868999999</v>
      </c>
      <c r="I23">
        <v>1326.3651123</v>
      </c>
      <c r="J23">
        <v>1324.5531006000001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0.70544099999999998</v>
      </c>
      <c r="B24" s="1">
        <f>DATE(2010,5,1) + TIME(16,55,50)</f>
        <v>40299.705439814818</v>
      </c>
      <c r="C24">
        <v>80</v>
      </c>
      <c r="D24">
        <v>26.435359954999999</v>
      </c>
      <c r="E24">
        <v>40</v>
      </c>
      <c r="F24">
        <v>14.999704360999999</v>
      </c>
      <c r="G24">
        <v>1334.1315918</v>
      </c>
      <c r="H24">
        <v>1332.5841064000001</v>
      </c>
      <c r="I24">
        <v>1326.3660889</v>
      </c>
      <c r="J24">
        <v>1324.5533447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0.76809000000000005</v>
      </c>
      <c r="B25" s="1">
        <f>DATE(2010,5,1) + TIME(18,26,2)</f>
        <v>40299.768078703702</v>
      </c>
      <c r="C25">
        <v>80</v>
      </c>
      <c r="D25">
        <v>27.433246613000001</v>
      </c>
      <c r="E25">
        <v>40</v>
      </c>
      <c r="F25">
        <v>14.999706268000001</v>
      </c>
      <c r="G25">
        <v>1334.1430664</v>
      </c>
      <c r="H25">
        <v>1332.605957</v>
      </c>
      <c r="I25">
        <v>1326.3670654</v>
      </c>
      <c r="J25">
        <v>1324.5535889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0.83087200000000005</v>
      </c>
      <c r="B26" s="1">
        <f>DATE(2010,5,1) + TIME(19,56,27)</f>
        <v>40299.830868055556</v>
      </c>
      <c r="C26">
        <v>80</v>
      </c>
      <c r="D26">
        <v>28.431179047000001</v>
      </c>
      <c r="E26">
        <v>40</v>
      </c>
      <c r="F26">
        <v>14.999708176</v>
      </c>
      <c r="G26">
        <v>1334.1574707</v>
      </c>
      <c r="H26">
        <v>1332.6295166</v>
      </c>
      <c r="I26">
        <v>1326.3681641000001</v>
      </c>
      <c r="J26">
        <v>1324.5539550999999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0.89378400000000002</v>
      </c>
      <c r="B27" s="1">
        <f>DATE(2010,5,1) + TIME(21,27,2)</f>
        <v>40299.893773148149</v>
      </c>
      <c r="C27">
        <v>80</v>
      </c>
      <c r="D27">
        <v>29.429107666</v>
      </c>
      <c r="E27">
        <v>40</v>
      </c>
      <c r="F27">
        <v>14.999709128999999</v>
      </c>
      <c r="G27">
        <v>1334.1745605000001</v>
      </c>
      <c r="H27">
        <v>1332.6546631000001</v>
      </c>
      <c r="I27">
        <v>1326.3691406</v>
      </c>
      <c r="J27">
        <v>1324.5541992000001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0.95682699999999998</v>
      </c>
      <c r="B28" s="1">
        <f>DATE(2010,5,1) + TIME(22,57,49)</f>
        <v>40299.956817129627</v>
      </c>
      <c r="C28">
        <v>80</v>
      </c>
      <c r="D28">
        <v>30.427078247000001</v>
      </c>
      <c r="E28">
        <v>40</v>
      </c>
      <c r="F28">
        <v>14.999711037000001</v>
      </c>
      <c r="G28">
        <v>1334.1942139</v>
      </c>
      <c r="H28">
        <v>1332.6812743999999</v>
      </c>
      <c r="I28">
        <v>1326.3702393000001</v>
      </c>
      <c r="J28">
        <v>1324.5544434000001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1.019998</v>
      </c>
      <c r="B29" s="1">
        <f>DATE(2010,5,2) + TIME(0,28,47)</f>
        <v>40300.019988425927</v>
      </c>
      <c r="C29">
        <v>80</v>
      </c>
      <c r="D29">
        <v>31.424983978</v>
      </c>
      <c r="E29">
        <v>40</v>
      </c>
      <c r="F29">
        <v>14.99971199</v>
      </c>
      <c r="G29">
        <v>1334.2163086</v>
      </c>
      <c r="H29">
        <v>1332.7093506000001</v>
      </c>
      <c r="I29">
        <v>1326.3713379000001</v>
      </c>
      <c r="J29">
        <v>1324.5546875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1.0833010000000001</v>
      </c>
      <c r="B30" s="1">
        <f>DATE(2010,5,2) + TIME(1,59,57)</f>
        <v>40300.083298611113</v>
      </c>
      <c r="C30">
        <v>80</v>
      </c>
      <c r="D30">
        <v>32.422611236999998</v>
      </c>
      <c r="E30">
        <v>40</v>
      </c>
      <c r="F30">
        <v>14.999713898</v>
      </c>
      <c r="G30">
        <v>1334.2407227000001</v>
      </c>
      <c r="H30">
        <v>1332.7387695</v>
      </c>
      <c r="I30">
        <v>1326.3724365</v>
      </c>
      <c r="J30">
        <v>1324.5548096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1.146755</v>
      </c>
      <c r="B31" s="1">
        <f>DATE(2010,5,2) + TIME(3,31,19)</f>
        <v>40300.146747685183</v>
      </c>
      <c r="C31">
        <v>80</v>
      </c>
      <c r="D31">
        <v>33.420032501000001</v>
      </c>
      <c r="E31">
        <v>40</v>
      </c>
      <c r="F31">
        <v>14.999714851</v>
      </c>
      <c r="G31">
        <v>1334.2672118999999</v>
      </c>
      <c r="H31">
        <v>1332.7695312000001</v>
      </c>
      <c r="I31">
        <v>1326.3735352000001</v>
      </c>
      <c r="J31">
        <v>1324.5550536999999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1.2103729999999999</v>
      </c>
      <c r="B32" s="1">
        <f>DATE(2010,5,2) + TIME(5,2,56)</f>
        <v>40300.210370370369</v>
      </c>
      <c r="C32">
        <v>80</v>
      </c>
      <c r="D32">
        <v>34.417205811000002</v>
      </c>
      <c r="E32">
        <v>40</v>
      </c>
      <c r="F32">
        <v>14.999716759</v>
      </c>
      <c r="G32">
        <v>1334.2957764</v>
      </c>
      <c r="H32">
        <v>1332.8013916</v>
      </c>
      <c r="I32">
        <v>1326.3746338000001</v>
      </c>
      <c r="J32">
        <v>1324.5552978999999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1.2741720000000001</v>
      </c>
      <c r="B33" s="1">
        <f>DATE(2010,5,2) + TIME(6,34,48)</f>
        <v>40300.27416666667</v>
      </c>
      <c r="C33">
        <v>80</v>
      </c>
      <c r="D33">
        <v>35.414081572999997</v>
      </c>
      <c r="E33">
        <v>40</v>
      </c>
      <c r="F33">
        <v>14.999718666</v>
      </c>
      <c r="G33">
        <v>1334.3260498</v>
      </c>
      <c r="H33">
        <v>1332.8344727000001</v>
      </c>
      <c r="I33">
        <v>1326.3757324000001</v>
      </c>
      <c r="J33">
        <v>1324.5554199000001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1.3381700000000001</v>
      </c>
      <c r="B34" s="1">
        <f>DATE(2010,5,2) + TIME(8,6,57)</f>
        <v>40300.338159722225</v>
      </c>
      <c r="C34">
        <v>80</v>
      </c>
      <c r="D34">
        <v>36.410610198999997</v>
      </c>
      <c r="E34">
        <v>40</v>
      </c>
      <c r="F34">
        <v>14.99971962</v>
      </c>
      <c r="G34">
        <v>1334.3581543</v>
      </c>
      <c r="H34">
        <v>1332.8685303</v>
      </c>
      <c r="I34">
        <v>1326.3768310999999</v>
      </c>
      <c r="J34">
        <v>1324.5556641000001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1.4023909999999999</v>
      </c>
      <c r="B35" s="1">
        <f>DATE(2010,5,2) + TIME(9,39,26)</f>
        <v>40300.402384259258</v>
      </c>
      <c r="C35">
        <v>80</v>
      </c>
      <c r="D35">
        <v>37.406749724999997</v>
      </c>
      <c r="E35">
        <v>40</v>
      </c>
      <c r="F35">
        <v>14.999721527</v>
      </c>
      <c r="G35">
        <v>1334.3918457</v>
      </c>
      <c r="H35">
        <v>1332.9035644999999</v>
      </c>
      <c r="I35">
        <v>1326.3780518000001</v>
      </c>
      <c r="J35">
        <v>1324.5557861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1.4668620000000001</v>
      </c>
      <c r="B36" s="1">
        <f>DATE(2010,5,2) + TIME(11,12,16)</f>
        <v>40300.466851851852</v>
      </c>
      <c r="C36">
        <v>80</v>
      </c>
      <c r="D36">
        <v>38.402454376000001</v>
      </c>
      <c r="E36">
        <v>40</v>
      </c>
      <c r="F36">
        <v>14.999722480999999</v>
      </c>
      <c r="G36">
        <v>1334.427124</v>
      </c>
      <c r="H36">
        <v>1332.9395752</v>
      </c>
      <c r="I36">
        <v>1326.3791504000001</v>
      </c>
      <c r="J36">
        <v>1324.5560303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1.5316099999999999</v>
      </c>
      <c r="B37" s="1">
        <f>DATE(2010,5,2) + TIME(12,45,31)</f>
        <v>40300.531608796293</v>
      </c>
      <c r="C37">
        <v>80</v>
      </c>
      <c r="D37">
        <v>39.397678374999998</v>
      </c>
      <c r="E37">
        <v>40</v>
      </c>
      <c r="F37">
        <v>14.999723434</v>
      </c>
      <c r="G37">
        <v>1334.4637451000001</v>
      </c>
      <c r="H37">
        <v>1332.9765625</v>
      </c>
      <c r="I37">
        <v>1326.3803711</v>
      </c>
      <c r="J37">
        <v>1324.5561522999999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1.5966689999999999</v>
      </c>
      <c r="B38" s="1">
        <f>DATE(2010,5,2) + TIME(14,19,12)</f>
        <v>40300.596666666665</v>
      </c>
      <c r="C38">
        <v>80</v>
      </c>
      <c r="D38">
        <v>40.392467498999999</v>
      </c>
      <c r="E38">
        <v>40</v>
      </c>
      <c r="F38">
        <v>14.999725342</v>
      </c>
      <c r="G38">
        <v>1334.5017089999999</v>
      </c>
      <c r="H38">
        <v>1333.0142822</v>
      </c>
      <c r="I38">
        <v>1326.3814697</v>
      </c>
      <c r="J38">
        <v>1324.5563964999999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1.662069</v>
      </c>
      <c r="B39" s="1">
        <f>DATE(2010,5,2) + TIME(15,53,22)</f>
        <v>40300.662060185183</v>
      </c>
      <c r="C39">
        <v>80</v>
      </c>
      <c r="D39">
        <v>41.386741637999997</v>
      </c>
      <c r="E39">
        <v>40</v>
      </c>
      <c r="F39">
        <v>14.999726295</v>
      </c>
      <c r="G39">
        <v>1334.5410156</v>
      </c>
      <c r="H39">
        <v>1333.0527344</v>
      </c>
      <c r="I39">
        <v>1326.3826904</v>
      </c>
      <c r="J39">
        <v>1324.5565185999999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1.7278450000000001</v>
      </c>
      <c r="B40" s="1">
        <f>DATE(2010,5,2) + TIME(17,28,5)</f>
        <v>40300.727835648147</v>
      </c>
      <c r="C40">
        <v>80</v>
      </c>
      <c r="D40">
        <v>42.380268096999998</v>
      </c>
      <c r="E40">
        <v>40</v>
      </c>
      <c r="F40">
        <v>14.999728203</v>
      </c>
      <c r="G40">
        <v>1334.5814209</v>
      </c>
      <c r="H40">
        <v>1333.0920410000001</v>
      </c>
      <c r="I40">
        <v>1326.3839111</v>
      </c>
      <c r="J40">
        <v>1324.5566406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1.7940499999999999</v>
      </c>
      <c r="B41" s="1">
        <f>DATE(2010,5,2) + TIME(19,3,25)</f>
        <v>40300.794039351851</v>
      </c>
      <c r="C41">
        <v>80</v>
      </c>
      <c r="D41">
        <v>43.373134612999998</v>
      </c>
      <c r="E41">
        <v>40</v>
      </c>
      <c r="F41">
        <v>14.999729156000001</v>
      </c>
      <c r="G41">
        <v>1334.6230469</v>
      </c>
      <c r="H41">
        <v>1333.1319579999999</v>
      </c>
      <c r="I41">
        <v>1326.3851318</v>
      </c>
      <c r="J41">
        <v>1324.5567627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1.8607309999999999</v>
      </c>
      <c r="B42" s="1">
        <f>DATE(2010,5,2) + TIME(20,39,27)</f>
        <v>40300.860729166663</v>
      </c>
      <c r="C42">
        <v>80</v>
      </c>
      <c r="D42">
        <v>44.365287780999999</v>
      </c>
      <c r="E42">
        <v>40</v>
      </c>
      <c r="F42">
        <v>14.999731064000001</v>
      </c>
      <c r="G42">
        <v>1334.6656493999999</v>
      </c>
      <c r="H42">
        <v>1333.1726074000001</v>
      </c>
      <c r="I42">
        <v>1326.3863524999999</v>
      </c>
      <c r="J42">
        <v>1324.5568848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1.9279390000000001</v>
      </c>
      <c r="B43" s="1">
        <f>DATE(2010,5,2) + TIME(22,16,13)</f>
        <v>40300.927928240744</v>
      </c>
      <c r="C43">
        <v>80</v>
      </c>
      <c r="D43">
        <v>45.356689453000001</v>
      </c>
      <c r="E43">
        <v>40</v>
      </c>
      <c r="F43">
        <v>14.999732018</v>
      </c>
      <c r="G43">
        <v>1334.7093506000001</v>
      </c>
      <c r="H43">
        <v>1333.2138672000001</v>
      </c>
      <c r="I43">
        <v>1326.3875731999999</v>
      </c>
      <c r="J43">
        <v>1324.5570068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1.99573</v>
      </c>
      <c r="B44" s="1">
        <f>DATE(2010,5,2) + TIME(23,53,51)</f>
        <v>40300.995729166665</v>
      </c>
      <c r="C44">
        <v>80</v>
      </c>
      <c r="D44">
        <v>46.347278594999999</v>
      </c>
      <c r="E44">
        <v>40</v>
      </c>
      <c r="F44">
        <v>14.999733924999999</v>
      </c>
      <c r="G44">
        <v>1334.7539062000001</v>
      </c>
      <c r="H44">
        <v>1333.2557373</v>
      </c>
      <c r="I44">
        <v>1326.3887939000001</v>
      </c>
      <c r="J44">
        <v>1324.5571289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2.064165</v>
      </c>
      <c r="B45" s="1">
        <f>DATE(2010,5,3) + TIME(1,32,23)</f>
        <v>40301.064155092594</v>
      </c>
      <c r="C45">
        <v>80</v>
      </c>
      <c r="D45">
        <v>47.337009430000002</v>
      </c>
      <c r="E45">
        <v>40</v>
      </c>
      <c r="F45">
        <v>14.999734879</v>
      </c>
      <c r="G45">
        <v>1334.7994385</v>
      </c>
      <c r="H45">
        <v>1333.2980957</v>
      </c>
      <c r="I45">
        <v>1326.3900146000001</v>
      </c>
      <c r="J45">
        <v>1324.557251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2.1333099999999998</v>
      </c>
      <c r="B46" s="1">
        <f>DATE(2010,5,3) + TIME(3,11,57)</f>
        <v>40301.133298611108</v>
      </c>
      <c r="C46">
        <v>80</v>
      </c>
      <c r="D46">
        <v>48.325824738000001</v>
      </c>
      <c r="E46">
        <v>40</v>
      </c>
      <c r="F46">
        <v>14.999736786</v>
      </c>
      <c r="G46">
        <v>1334.8458252</v>
      </c>
      <c r="H46">
        <v>1333.3410644999999</v>
      </c>
      <c r="I46">
        <v>1326.3912353999999</v>
      </c>
      <c r="J46">
        <v>1324.5573730000001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2.2032370000000001</v>
      </c>
      <c r="B47" s="1">
        <f>DATE(2010,5,3) + TIME(4,52,39)</f>
        <v>40301.203229166669</v>
      </c>
      <c r="C47">
        <v>80</v>
      </c>
      <c r="D47">
        <v>49.313667297000002</v>
      </c>
      <c r="E47">
        <v>40</v>
      </c>
      <c r="F47">
        <v>14.99973774</v>
      </c>
      <c r="G47">
        <v>1334.8930664</v>
      </c>
      <c r="H47">
        <v>1333.3845214999999</v>
      </c>
      <c r="I47">
        <v>1326.3925781</v>
      </c>
      <c r="J47">
        <v>1324.5574951000001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2.274025</v>
      </c>
      <c r="B48" s="1">
        <f>DATE(2010,5,3) + TIME(6,34,35)</f>
        <v>40301.274016203701</v>
      </c>
      <c r="C48">
        <v>80</v>
      </c>
      <c r="D48">
        <v>50.300327301000003</v>
      </c>
      <c r="E48">
        <v>40</v>
      </c>
      <c r="F48">
        <v>14.999738692999999</v>
      </c>
      <c r="G48">
        <v>1334.9410399999999</v>
      </c>
      <c r="H48">
        <v>1333.4284668</v>
      </c>
      <c r="I48">
        <v>1326.3937988</v>
      </c>
      <c r="J48">
        <v>1324.5576172000001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2.3457699999999999</v>
      </c>
      <c r="B49" s="1">
        <f>DATE(2010,5,3) + TIME(8,17,54)</f>
        <v>40301.345763888887</v>
      </c>
      <c r="C49">
        <v>80</v>
      </c>
      <c r="D49">
        <v>51.285686493</v>
      </c>
      <c r="E49">
        <v>40</v>
      </c>
      <c r="F49">
        <v>14.999740600999999</v>
      </c>
      <c r="G49">
        <v>1334.9898682</v>
      </c>
      <c r="H49">
        <v>1333.4729004000001</v>
      </c>
      <c r="I49">
        <v>1326.3951416</v>
      </c>
      <c r="J49">
        <v>1324.5577393000001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2.4185810000000001</v>
      </c>
      <c r="B50" s="1">
        <f>DATE(2010,5,3) + TIME(10,2,45)</f>
        <v>40301.418576388889</v>
      </c>
      <c r="C50">
        <v>80</v>
      </c>
      <c r="D50">
        <v>52.270175934000001</v>
      </c>
      <c r="E50">
        <v>40</v>
      </c>
      <c r="F50">
        <v>14.999741554</v>
      </c>
      <c r="G50">
        <v>1335.0394286999999</v>
      </c>
      <c r="H50">
        <v>1333.5177002</v>
      </c>
      <c r="I50">
        <v>1326.3964844</v>
      </c>
      <c r="J50">
        <v>1324.5578613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2.4925389999999998</v>
      </c>
      <c r="B51" s="1">
        <f>DATE(2010,5,3) + TIME(11,49,15)</f>
        <v>40301.492534722223</v>
      </c>
      <c r="C51">
        <v>80</v>
      </c>
      <c r="D51">
        <v>53.253410338999998</v>
      </c>
      <c r="E51">
        <v>40</v>
      </c>
      <c r="F51">
        <v>14.999743462</v>
      </c>
      <c r="G51">
        <v>1335.0897216999999</v>
      </c>
      <c r="H51">
        <v>1333.5629882999999</v>
      </c>
      <c r="I51">
        <v>1326.3977050999999</v>
      </c>
      <c r="J51">
        <v>1324.5579834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2.567758</v>
      </c>
      <c r="B52" s="1">
        <f>DATE(2010,5,3) + TIME(13,37,34)</f>
        <v>40301.567754629628</v>
      </c>
      <c r="C52">
        <v>80</v>
      </c>
      <c r="D52">
        <v>54.235298157000003</v>
      </c>
      <c r="E52">
        <v>40</v>
      </c>
      <c r="F52">
        <v>14.999744415</v>
      </c>
      <c r="G52">
        <v>1335.1407471</v>
      </c>
      <c r="H52">
        <v>1333.6087646000001</v>
      </c>
      <c r="I52">
        <v>1326.3990478999999</v>
      </c>
      <c r="J52">
        <v>1324.5581055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2.6443639999999999</v>
      </c>
      <c r="B53" s="1">
        <f>DATE(2010,5,3) + TIME(15,27,53)</f>
        <v>40301.644363425927</v>
      </c>
      <c r="C53">
        <v>80</v>
      </c>
      <c r="D53">
        <v>55.215751648000001</v>
      </c>
      <c r="E53">
        <v>40</v>
      </c>
      <c r="F53">
        <v>14.999746323</v>
      </c>
      <c r="G53">
        <v>1335.1923827999999</v>
      </c>
      <c r="H53">
        <v>1333.6549072</v>
      </c>
      <c r="I53">
        <v>1326.4003906</v>
      </c>
      <c r="J53">
        <v>1324.5582274999999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2.7224979999999999</v>
      </c>
      <c r="B54" s="1">
        <f>DATE(2010,5,3) + TIME(17,20,23)</f>
        <v>40301.722488425927</v>
      </c>
      <c r="C54">
        <v>80</v>
      </c>
      <c r="D54">
        <v>56.194660186999997</v>
      </c>
      <c r="E54">
        <v>40</v>
      </c>
      <c r="F54">
        <v>14.999747276000001</v>
      </c>
      <c r="G54">
        <v>1335.244751</v>
      </c>
      <c r="H54">
        <v>1333.7014160000001</v>
      </c>
      <c r="I54">
        <v>1326.4018555</v>
      </c>
      <c r="J54">
        <v>1324.5583495999999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2.8023159999999998</v>
      </c>
      <c r="B55" s="1">
        <f>DATE(2010,5,3) + TIME(19,15,20)</f>
        <v>40301.802314814813</v>
      </c>
      <c r="C55">
        <v>80</v>
      </c>
      <c r="D55">
        <v>57.171909331999998</v>
      </c>
      <c r="E55">
        <v>40</v>
      </c>
      <c r="F55">
        <v>14.999749184000001</v>
      </c>
      <c r="G55">
        <v>1335.2978516000001</v>
      </c>
      <c r="H55">
        <v>1333.7482910000001</v>
      </c>
      <c r="I55">
        <v>1326.4031981999999</v>
      </c>
      <c r="J55">
        <v>1324.5584716999999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2.883991</v>
      </c>
      <c r="B56" s="1">
        <f>DATE(2010,5,3) + TIME(21,12,56)</f>
        <v>40301.883981481478</v>
      </c>
      <c r="C56">
        <v>80</v>
      </c>
      <c r="D56">
        <v>58.147369384999998</v>
      </c>
      <c r="E56">
        <v>40</v>
      </c>
      <c r="F56">
        <v>14.999750136999999</v>
      </c>
      <c r="G56">
        <v>1335.3516846</v>
      </c>
      <c r="H56">
        <v>1333.7955322</v>
      </c>
      <c r="I56">
        <v>1326.4045410000001</v>
      </c>
      <c r="J56">
        <v>1324.5585937999999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2.9677210000000001</v>
      </c>
      <c r="B57" s="1">
        <f>DATE(2010,5,3) + TIME(23,13,31)</f>
        <v>40301.967719907407</v>
      </c>
      <c r="C57">
        <v>80</v>
      </c>
      <c r="D57">
        <v>59.120903015000003</v>
      </c>
      <c r="E57">
        <v>40</v>
      </c>
      <c r="F57">
        <v>14.999752044999999</v>
      </c>
      <c r="G57">
        <v>1335.4061279</v>
      </c>
      <c r="H57">
        <v>1333.8432617000001</v>
      </c>
      <c r="I57">
        <v>1326.4060059000001</v>
      </c>
      <c r="J57">
        <v>1324.5585937999999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3.053728</v>
      </c>
      <c r="B58" s="1">
        <f>DATE(2010,5,4) + TIME(1,17,22)</f>
        <v>40302.053726851853</v>
      </c>
      <c r="C58">
        <v>80</v>
      </c>
      <c r="D58">
        <v>60.092266082999998</v>
      </c>
      <c r="E58">
        <v>40</v>
      </c>
      <c r="F58">
        <v>14.999752998</v>
      </c>
      <c r="G58">
        <v>1335.4613036999999</v>
      </c>
      <c r="H58">
        <v>1333.8912353999999</v>
      </c>
      <c r="I58">
        <v>1326.4074707</v>
      </c>
      <c r="J58">
        <v>1324.5587158000001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3.1422699999999999</v>
      </c>
      <c r="B59" s="1">
        <f>DATE(2010,5,4) + TIME(3,24,52)</f>
        <v>40302.142268518517</v>
      </c>
      <c r="C59">
        <v>80</v>
      </c>
      <c r="D59">
        <v>61.060768127000003</v>
      </c>
      <c r="E59">
        <v>40</v>
      </c>
      <c r="F59">
        <v>14.999754906</v>
      </c>
      <c r="G59">
        <v>1335.5170897999999</v>
      </c>
      <c r="H59">
        <v>1333.9396973</v>
      </c>
      <c r="I59">
        <v>1326.4089355000001</v>
      </c>
      <c r="J59">
        <v>1324.5588379000001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3.2336909999999999</v>
      </c>
      <c r="B60" s="1">
        <f>DATE(2010,5,4) + TIME(5,36,30)</f>
        <v>40302.233680555553</v>
      </c>
      <c r="C60">
        <v>80</v>
      </c>
      <c r="D60">
        <v>62.027351379000002</v>
      </c>
      <c r="E60">
        <v>40</v>
      </c>
      <c r="F60">
        <v>14.999755859</v>
      </c>
      <c r="G60">
        <v>1335.5737305</v>
      </c>
      <c r="H60">
        <v>1333.9885254000001</v>
      </c>
      <c r="I60">
        <v>1326.4104004000001</v>
      </c>
      <c r="J60">
        <v>1324.5589600000001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3.328274</v>
      </c>
      <c r="B61" s="1">
        <f>DATE(2010,5,4) + TIME(7,52,42)</f>
        <v>40302.328263888892</v>
      </c>
      <c r="C61">
        <v>80</v>
      </c>
      <c r="D61">
        <v>62.991199493000003</v>
      </c>
      <c r="E61">
        <v>40</v>
      </c>
      <c r="F61">
        <v>14.999757767</v>
      </c>
      <c r="G61">
        <v>1335.6311035000001</v>
      </c>
      <c r="H61">
        <v>1334.0377197</v>
      </c>
      <c r="I61">
        <v>1326.4118652</v>
      </c>
      <c r="J61">
        <v>1324.559082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3.4264039999999998</v>
      </c>
      <c r="B62" s="1">
        <f>DATE(2010,5,4) + TIME(10,14,1)</f>
        <v>40302.426400462966</v>
      </c>
      <c r="C62">
        <v>80</v>
      </c>
      <c r="D62">
        <v>63.952026367000002</v>
      </c>
      <c r="E62">
        <v>40</v>
      </c>
      <c r="F62">
        <v>14.999758720000001</v>
      </c>
      <c r="G62">
        <v>1335.6892089999999</v>
      </c>
      <c r="H62">
        <v>1334.0872803</v>
      </c>
      <c r="I62">
        <v>1326.4134521000001</v>
      </c>
      <c r="J62">
        <v>1324.5592041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3.5285340000000001</v>
      </c>
      <c r="B63" s="1">
        <f>DATE(2010,5,4) + TIME(12,41,5)</f>
        <v>40302.52853009259</v>
      </c>
      <c r="C63">
        <v>80</v>
      </c>
      <c r="D63">
        <v>64.909500121999997</v>
      </c>
      <c r="E63">
        <v>40</v>
      </c>
      <c r="F63">
        <v>14.999760628000001</v>
      </c>
      <c r="G63">
        <v>1335.7480469</v>
      </c>
      <c r="H63">
        <v>1334.1373291</v>
      </c>
      <c r="I63">
        <v>1326.4150391000001</v>
      </c>
      <c r="J63">
        <v>1324.5593262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3.6352009999999999</v>
      </c>
      <c r="B64" s="1">
        <f>DATE(2010,5,4) + TIME(15,14,41)</f>
        <v>40302.635196759256</v>
      </c>
      <c r="C64">
        <v>80</v>
      </c>
      <c r="D64">
        <v>65.863449097</v>
      </c>
      <c r="E64">
        <v>40</v>
      </c>
      <c r="F64">
        <v>14.999762535</v>
      </c>
      <c r="G64">
        <v>1335.8077393000001</v>
      </c>
      <c r="H64">
        <v>1334.1876221</v>
      </c>
      <c r="I64">
        <v>1326.416626</v>
      </c>
      <c r="J64">
        <v>1324.5594481999999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3.691109</v>
      </c>
      <c r="B65" s="1">
        <f>DATE(2010,5,4) + TIME(16,35,11)</f>
        <v>40302.691099537034</v>
      </c>
      <c r="C65">
        <v>80</v>
      </c>
      <c r="D65">
        <v>66.355033875000004</v>
      </c>
      <c r="E65">
        <v>40</v>
      </c>
      <c r="F65">
        <v>14.999763488999999</v>
      </c>
      <c r="G65">
        <v>1335.8747559000001</v>
      </c>
      <c r="H65">
        <v>1334.2355957</v>
      </c>
      <c r="I65">
        <v>1326.4180908000001</v>
      </c>
      <c r="J65">
        <v>1324.5595702999999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3.747017</v>
      </c>
      <c r="B66" s="1">
        <f>DATE(2010,5,4) + TIME(17,55,42)</f>
        <v>40302.747013888889</v>
      </c>
      <c r="C66">
        <v>80</v>
      </c>
      <c r="D66">
        <v>66.833717346</v>
      </c>
      <c r="E66">
        <v>40</v>
      </c>
      <c r="F66">
        <v>14.999764442</v>
      </c>
      <c r="G66">
        <v>1335.90625</v>
      </c>
      <c r="H66">
        <v>1334.2618408000001</v>
      </c>
      <c r="I66">
        <v>1326.4189452999999</v>
      </c>
      <c r="J66">
        <v>1324.5595702999999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3.8029250000000001</v>
      </c>
      <c r="B67" s="1">
        <f>DATE(2010,5,4) + TIME(19,16,12)</f>
        <v>40302.802916666667</v>
      </c>
      <c r="C67">
        <v>80</v>
      </c>
      <c r="D67">
        <v>67.299583435000002</v>
      </c>
      <c r="E67">
        <v>40</v>
      </c>
      <c r="F67">
        <v>14.999764442</v>
      </c>
      <c r="G67">
        <v>1335.9372559000001</v>
      </c>
      <c r="H67">
        <v>1334.2874756000001</v>
      </c>
      <c r="I67">
        <v>1326.4197998</v>
      </c>
      <c r="J67">
        <v>1324.5596923999999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3.8588330000000002</v>
      </c>
      <c r="B68" s="1">
        <f>DATE(2010,5,4) + TIME(20,36,43)</f>
        <v>40302.858831018515</v>
      </c>
      <c r="C68">
        <v>80</v>
      </c>
      <c r="D68">
        <v>67.752723693999997</v>
      </c>
      <c r="E68">
        <v>40</v>
      </c>
      <c r="F68">
        <v>14.999765396000001</v>
      </c>
      <c r="G68">
        <v>1335.9676514</v>
      </c>
      <c r="H68">
        <v>1334.3126221</v>
      </c>
      <c r="I68">
        <v>1326.4206543</v>
      </c>
      <c r="J68">
        <v>1324.5596923999999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3.9143539999999999</v>
      </c>
      <c r="B69" s="1">
        <f>DATE(2010,5,4) + TIME(21,56,40)</f>
        <v>40302.914351851854</v>
      </c>
      <c r="C69">
        <v>80</v>
      </c>
      <c r="D69">
        <v>68.190292357999994</v>
      </c>
      <c r="E69">
        <v>40</v>
      </c>
      <c r="F69">
        <v>14.99976635</v>
      </c>
      <c r="G69">
        <v>1335.9976807</v>
      </c>
      <c r="H69">
        <v>1334.3371582</v>
      </c>
      <c r="I69">
        <v>1326.4215088000001</v>
      </c>
      <c r="J69">
        <v>1324.5598144999999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3.969436</v>
      </c>
      <c r="B70" s="1">
        <f>DATE(2010,5,4) + TIME(23,15,59)</f>
        <v>40302.96943287037</v>
      </c>
      <c r="C70">
        <v>80</v>
      </c>
      <c r="D70">
        <v>68.612281799000002</v>
      </c>
      <c r="E70">
        <v>40</v>
      </c>
      <c r="F70">
        <v>14.999767303</v>
      </c>
      <c r="G70">
        <v>1336.0269774999999</v>
      </c>
      <c r="H70">
        <v>1334.3610839999999</v>
      </c>
      <c r="I70">
        <v>1326.4222411999999</v>
      </c>
      <c r="J70">
        <v>1324.5598144999999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4.0241239999999996</v>
      </c>
      <c r="B71" s="1">
        <f>DATE(2010,5,5) + TIME(0,34,44)</f>
        <v>40303.02412037037</v>
      </c>
      <c r="C71">
        <v>80</v>
      </c>
      <c r="D71">
        <v>69.019416809000006</v>
      </c>
      <c r="E71">
        <v>40</v>
      </c>
      <c r="F71">
        <v>14.999768256999999</v>
      </c>
      <c r="G71">
        <v>1336.0554199000001</v>
      </c>
      <c r="H71">
        <v>1334.3842772999999</v>
      </c>
      <c r="I71">
        <v>1326.4230957</v>
      </c>
      <c r="J71">
        <v>1324.5599365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4.0784589999999996</v>
      </c>
      <c r="B72" s="1">
        <f>DATE(2010,5,5) + TIME(1,52,58)</f>
        <v>40303.078449074077</v>
      </c>
      <c r="C72">
        <v>80</v>
      </c>
      <c r="D72">
        <v>69.412353515999996</v>
      </c>
      <c r="E72">
        <v>40</v>
      </c>
      <c r="F72">
        <v>14.999769211</v>
      </c>
      <c r="G72">
        <v>1336.0831298999999</v>
      </c>
      <c r="H72">
        <v>1334.4068603999999</v>
      </c>
      <c r="I72">
        <v>1326.4238281</v>
      </c>
      <c r="J72">
        <v>1324.5599365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4.1324800000000002</v>
      </c>
      <c r="B73" s="1">
        <f>DATE(2010,5,5) + TIME(3,10,46)</f>
        <v>40303.132476851853</v>
      </c>
      <c r="C73">
        <v>80</v>
      </c>
      <c r="D73">
        <v>69.791725158999995</v>
      </c>
      <c r="E73">
        <v>40</v>
      </c>
      <c r="F73">
        <v>14.999770163999999</v>
      </c>
      <c r="G73">
        <v>1336.1101074000001</v>
      </c>
      <c r="H73">
        <v>1334.4287108999999</v>
      </c>
      <c r="I73">
        <v>1326.4245605000001</v>
      </c>
      <c r="J73">
        <v>1324.5600586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4.1862250000000003</v>
      </c>
      <c r="B74" s="1">
        <f>DATE(2010,5,5) + TIME(4,28,9)</f>
        <v>40303.186215277776</v>
      </c>
      <c r="C74">
        <v>80</v>
      </c>
      <c r="D74">
        <v>70.158012389999996</v>
      </c>
      <c r="E74">
        <v>40</v>
      </c>
      <c r="F74">
        <v>14.999770163999999</v>
      </c>
      <c r="G74">
        <v>1336.1364745999999</v>
      </c>
      <c r="H74">
        <v>1334.4499512</v>
      </c>
      <c r="I74">
        <v>1326.425293</v>
      </c>
      <c r="J74">
        <v>1324.5600586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4.2397299999999998</v>
      </c>
      <c r="B75" s="1">
        <f>DATE(2010,5,5) + TIME(5,45,12)</f>
        <v>40303.239722222221</v>
      </c>
      <c r="C75">
        <v>80</v>
      </c>
      <c r="D75">
        <v>70.51171875</v>
      </c>
      <c r="E75">
        <v>40</v>
      </c>
      <c r="F75">
        <v>14.999771118</v>
      </c>
      <c r="G75">
        <v>1336.1622314000001</v>
      </c>
      <c r="H75">
        <v>1334.4705810999999</v>
      </c>
      <c r="I75">
        <v>1326.4260254000001</v>
      </c>
      <c r="J75">
        <v>1324.5601807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4.2930279999999996</v>
      </c>
      <c r="B76" s="1">
        <f>DATE(2010,5,5) + TIME(7,1,57)</f>
        <v>40303.293020833335</v>
      </c>
      <c r="C76">
        <v>80</v>
      </c>
      <c r="D76">
        <v>70.853439331000004</v>
      </c>
      <c r="E76">
        <v>40</v>
      </c>
      <c r="F76">
        <v>14.999772072000001</v>
      </c>
      <c r="G76">
        <v>1336.1856689000001</v>
      </c>
      <c r="H76">
        <v>1334.4895019999999</v>
      </c>
      <c r="I76">
        <v>1326.4267577999999</v>
      </c>
      <c r="J76">
        <v>1324.5601807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4.3461629999999998</v>
      </c>
      <c r="B77" s="1">
        <f>DATE(2010,5,5) + TIME(8,18,28)</f>
        <v>40303.34615740741</v>
      </c>
      <c r="C77">
        <v>80</v>
      </c>
      <c r="D77">
        <v>71.183731078999998</v>
      </c>
      <c r="E77">
        <v>40</v>
      </c>
      <c r="F77">
        <v>14.999773026</v>
      </c>
      <c r="G77">
        <v>1336.2086182</v>
      </c>
      <c r="H77">
        <v>1334.5079346</v>
      </c>
      <c r="I77">
        <v>1326.4273682</v>
      </c>
      <c r="J77">
        <v>1324.5603027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4.3991629999999997</v>
      </c>
      <c r="B78" s="1">
        <f>DATE(2010,5,5) + TIME(9,34,47)</f>
        <v>40303.399155092593</v>
      </c>
      <c r="C78">
        <v>80</v>
      </c>
      <c r="D78">
        <v>71.503036499000004</v>
      </c>
      <c r="E78">
        <v>40</v>
      </c>
      <c r="F78">
        <v>14.999773026</v>
      </c>
      <c r="G78">
        <v>1336.2310791</v>
      </c>
      <c r="H78">
        <v>1334.5257568</v>
      </c>
      <c r="I78">
        <v>1326.4279785000001</v>
      </c>
      <c r="J78">
        <v>1324.5603027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4.4520600000000004</v>
      </c>
      <c r="B79" s="1">
        <f>DATE(2010,5,5) + TIME(10,50,57)</f>
        <v>40303.452048611114</v>
      </c>
      <c r="C79">
        <v>80</v>
      </c>
      <c r="D79">
        <v>71.811782836999996</v>
      </c>
      <c r="E79">
        <v>40</v>
      </c>
      <c r="F79">
        <v>14.999773979</v>
      </c>
      <c r="G79">
        <v>1336.2529297000001</v>
      </c>
      <c r="H79">
        <v>1334.5432129000001</v>
      </c>
      <c r="I79">
        <v>1326.4287108999999</v>
      </c>
      <c r="J79">
        <v>1324.5604248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4.5048810000000001</v>
      </c>
      <c r="B80" s="1">
        <f>DATE(2010,5,5) + TIME(12,7,1)</f>
        <v>40303.504872685182</v>
      </c>
      <c r="C80">
        <v>80</v>
      </c>
      <c r="D80">
        <v>72.110366821</v>
      </c>
      <c r="E80">
        <v>40</v>
      </c>
      <c r="F80">
        <v>14.999774932999999</v>
      </c>
      <c r="G80">
        <v>1336.2742920000001</v>
      </c>
      <c r="H80">
        <v>1334.5600586</v>
      </c>
      <c r="I80">
        <v>1326.4293213000001</v>
      </c>
      <c r="J80">
        <v>1324.5604248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4.5576559999999997</v>
      </c>
      <c r="B81" s="1">
        <f>DATE(2010,5,5) + TIME(13,23,1)</f>
        <v>40303.557650462964</v>
      </c>
      <c r="C81">
        <v>80</v>
      </c>
      <c r="D81">
        <v>72.399185181000007</v>
      </c>
      <c r="E81">
        <v>40</v>
      </c>
      <c r="F81">
        <v>14.999775887</v>
      </c>
      <c r="G81">
        <v>1336.2951660000001</v>
      </c>
      <c r="H81">
        <v>1334.5765381000001</v>
      </c>
      <c r="I81">
        <v>1326.4299315999999</v>
      </c>
      <c r="J81">
        <v>1324.5605469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4.6104089999999998</v>
      </c>
      <c r="B82" s="1">
        <f>DATE(2010,5,5) + TIME(14,38,59)</f>
        <v>40303.610405092593</v>
      </c>
      <c r="C82">
        <v>80</v>
      </c>
      <c r="D82">
        <v>72.678581238000007</v>
      </c>
      <c r="E82">
        <v>40</v>
      </c>
      <c r="F82">
        <v>14.999775887</v>
      </c>
      <c r="G82">
        <v>1336.3155518000001</v>
      </c>
      <c r="H82">
        <v>1334.5925293</v>
      </c>
      <c r="I82">
        <v>1326.4305420000001</v>
      </c>
      <c r="J82">
        <v>1324.5605469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4.6631629999999999</v>
      </c>
      <c r="B83" s="1">
        <f>DATE(2010,5,5) + TIME(15,54,57)</f>
        <v>40303.663159722222</v>
      </c>
      <c r="C83">
        <v>80</v>
      </c>
      <c r="D83">
        <v>72.948860167999996</v>
      </c>
      <c r="E83">
        <v>40</v>
      </c>
      <c r="F83">
        <v>14.999776839999999</v>
      </c>
      <c r="G83">
        <v>1336.3355713000001</v>
      </c>
      <c r="H83">
        <v>1334.6081543</v>
      </c>
      <c r="I83">
        <v>1326.4311522999999</v>
      </c>
      <c r="J83">
        <v>1324.5606689000001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4.7159170000000001</v>
      </c>
      <c r="B84" s="1">
        <f>DATE(2010,5,5) + TIME(17,10,55)</f>
        <v>40303.715914351851</v>
      </c>
      <c r="C84">
        <v>80</v>
      </c>
      <c r="D84">
        <v>73.210243224999999</v>
      </c>
      <c r="E84">
        <v>40</v>
      </c>
      <c r="F84">
        <v>14.999777794</v>
      </c>
      <c r="G84">
        <v>1336.3551024999999</v>
      </c>
      <c r="H84">
        <v>1334.6234131000001</v>
      </c>
      <c r="I84">
        <v>1326.4317627</v>
      </c>
      <c r="J84">
        <v>1324.5606689000001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4.7686710000000003</v>
      </c>
      <c r="B85" s="1">
        <f>DATE(2010,5,5) + TIME(18,26,53)</f>
        <v>40303.76866898148</v>
      </c>
      <c r="C85">
        <v>80</v>
      </c>
      <c r="D85">
        <v>73.462913513000004</v>
      </c>
      <c r="E85">
        <v>40</v>
      </c>
      <c r="F85">
        <v>14.999777794</v>
      </c>
      <c r="G85">
        <v>1336.3742675999999</v>
      </c>
      <c r="H85">
        <v>1334.6383057</v>
      </c>
      <c r="I85">
        <v>1326.432251</v>
      </c>
      <c r="J85">
        <v>1324.5607910000001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4.8214240000000004</v>
      </c>
      <c r="B86" s="1">
        <f>DATE(2010,5,5) + TIME(19,42,51)</f>
        <v>40303.821423611109</v>
      </c>
      <c r="C86">
        <v>80</v>
      </c>
      <c r="D86">
        <v>73.707092285000002</v>
      </c>
      <c r="E86">
        <v>40</v>
      </c>
      <c r="F86">
        <v>14.999778748000001</v>
      </c>
      <c r="G86">
        <v>1336.3929443</v>
      </c>
      <c r="H86">
        <v>1334.6527100000001</v>
      </c>
      <c r="I86">
        <v>1326.4328613</v>
      </c>
      <c r="J86">
        <v>1324.5607910000001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4.8741779999999997</v>
      </c>
      <c r="B87" s="1">
        <f>DATE(2010,5,5) + TIME(20,58,48)</f>
        <v>40303.874166666668</v>
      </c>
      <c r="C87">
        <v>80</v>
      </c>
      <c r="D87">
        <v>73.942970275999997</v>
      </c>
      <c r="E87">
        <v>40</v>
      </c>
      <c r="F87">
        <v>14.999779701</v>
      </c>
      <c r="G87">
        <v>1336.4111327999999</v>
      </c>
      <c r="H87">
        <v>1334.6667480000001</v>
      </c>
      <c r="I87">
        <v>1326.4334716999999</v>
      </c>
      <c r="J87">
        <v>1324.5609131000001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4.9269319999999999</v>
      </c>
      <c r="B88" s="1">
        <f>DATE(2010,5,5) + TIME(22,14,46)</f>
        <v>40303.926921296297</v>
      </c>
      <c r="C88">
        <v>80</v>
      </c>
      <c r="D88">
        <v>74.170761107999994</v>
      </c>
      <c r="E88">
        <v>40</v>
      </c>
      <c r="F88">
        <v>14.999779701</v>
      </c>
      <c r="G88">
        <v>1336.4289550999999</v>
      </c>
      <c r="H88">
        <v>1334.6804199000001</v>
      </c>
      <c r="I88">
        <v>1326.4339600000001</v>
      </c>
      <c r="J88">
        <v>1324.5609131000001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4.9796860000000001</v>
      </c>
      <c r="B89" s="1">
        <f>DATE(2010,5,5) + TIME(23,30,44)</f>
        <v>40303.979675925926</v>
      </c>
      <c r="C89">
        <v>80</v>
      </c>
      <c r="D89">
        <v>74.390670775999993</v>
      </c>
      <c r="E89">
        <v>40</v>
      </c>
      <c r="F89">
        <v>14.999780655</v>
      </c>
      <c r="G89">
        <v>1336.4464111</v>
      </c>
      <c r="H89">
        <v>1334.6937256000001</v>
      </c>
      <c r="I89">
        <v>1326.4345702999999</v>
      </c>
      <c r="J89">
        <v>1324.5609131000001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5.0324400000000002</v>
      </c>
      <c r="B90" s="1">
        <f>DATE(2010,5,6) + TIME(0,46,42)</f>
        <v>40304.032430555555</v>
      </c>
      <c r="C90">
        <v>80</v>
      </c>
      <c r="D90">
        <v>74.602890015</v>
      </c>
      <c r="E90">
        <v>40</v>
      </c>
      <c r="F90">
        <v>14.999781608999999</v>
      </c>
      <c r="G90">
        <v>1336.4631348</v>
      </c>
      <c r="H90">
        <v>1334.7064209</v>
      </c>
      <c r="I90">
        <v>1326.4350586</v>
      </c>
      <c r="J90">
        <v>1324.5610352000001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5.1379469999999996</v>
      </c>
      <c r="B91" s="1">
        <f>DATE(2010,5,6) + TIME(3,18,38)</f>
        <v>40304.137939814813</v>
      </c>
      <c r="C91">
        <v>80</v>
      </c>
      <c r="D91">
        <v>74.996360779</v>
      </c>
      <c r="E91">
        <v>40</v>
      </c>
      <c r="F91">
        <v>14.999782562</v>
      </c>
      <c r="G91">
        <v>1336.4747314000001</v>
      </c>
      <c r="H91">
        <v>1334.71875</v>
      </c>
      <c r="I91">
        <v>1326.4356689000001</v>
      </c>
      <c r="J91">
        <v>1324.5611572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5.2435140000000002</v>
      </c>
      <c r="B92" s="1">
        <f>DATE(2010,5,6) + TIME(5,50,39)</f>
        <v>40304.243506944447</v>
      </c>
      <c r="C92">
        <v>80</v>
      </c>
      <c r="D92">
        <v>75.362571716000005</v>
      </c>
      <c r="E92">
        <v>40</v>
      </c>
      <c r="F92">
        <v>14.999783516000001</v>
      </c>
      <c r="G92">
        <v>1336.5029297000001</v>
      </c>
      <c r="H92">
        <v>1334.7397461</v>
      </c>
      <c r="I92">
        <v>1326.4366454999999</v>
      </c>
      <c r="J92">
        <v>1324.5612793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5.3502619999999999</v>
      </c>
      <c r="B93" s="1">
        <f>DATE(2010,5,6) + TIME(8,24,22)</f>
        <v>40304.350254629629</v>
      </c>
      <c r="C93">
        <v>80</v>
      </c>
      <c r="D93">
        <v>75.706604003999999</v>
      </c>
      <c r="E93">
        <v>40</v>
      </c>
      <c r="F93">
        <v>14.999785423000001</v>
      </c>
      <c r="G93">
        <v>1336.5297852000001</v>
      </c>
      <c r="H93">
        <v>1334.7593993999999</v>
      </c>
      <c r="I93">
        <v>1326.4376221</v>
      </c>
      <c r="J93">
        <v>1324.5614014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5.4583469999999998</v>
      </c>
      <c r="B94" s="1">
        <f>DATE(2010,5,6) + TIME(11,0,1)</f>
        <v>40304.458344907405</v>
      </c>
      <c r="C94">
        <v>80</v>
      </c>
      <c r="D94">
        <v>76.029624939000001</v>
      </c>
      <c r="E94">
        <v>40</v>
      </c>
      <c r="F94">
        <v>14.999786377</v>
      </c>
      <c r="G94">
        <v>1336.5555420000001</v>
      </c>
      <c r="H94">
        <v>1334.7781981999999</v>
      </c>
      <c r="I94">
        <v>1326.4384766000001</v>
      </c>
      <c r="J94">
        <v>1324.5615233999999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5.5679540000000003</v>
      </c>
      <c r="B95" s="1">
        <f>DATE(2010,5,6) + TIME(13,37,51)</f>
        <v>40304.56795138889</v>
      </c>
      <c r="C95">
        <v>80</v>
      </c>
      <c r="D95">
        <v>76.332778931000007</v>
      </c>
      <c r="E95">
        <v>40</v>
      </c>
      <c r="F95">
        <v>14.999787331</v>
      </c>
      <c r="G95">
        <v>1336.5802002</v>
      </c>
      <c r="H95">
        <v>1334.7960204999999</v>
      </c>
      <c r="I95">
        <v>1326.4393310999999</v>
      </c>
      <c r="J95">
        <v>1324.5616454999999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5.679278</v>
      </c>
      <c r="B96" s="1">
        <f>DATE(2010,5,6) + TIME(16,18,9)</f>
        <v>40304.679270833331</v>
      </c>
      <c r="C96">
        <v>80</v>
      </c>
      <c r="D96">
        <v>76.617141724000007</v>
      </c>
      <c r="E96">
        <v>40</v>
      </c>
      <c r="F96">
        <v>14.999788283999999</v>
      </c>
      <c r="G96">
        <v>1336.6038818</v>
      </c>
      <c r="H96">
        <v>1334.8128661999999</v>
      </c>
      <c r="I96">
        <v>1326.4403076000001</v>
      </c>
      <c r="J96">
        <v>1324.5617675999999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5.7925240000000002</v>
      </c>
      <c r="B97" s="1">
        <f>DATE(2010,5,6) + TIME(19,1,14)</f>
        <v>40304.792523148149</v>
      </c>
      <c r="C97">
        <v>80</v>
      </c>
      <c r="D97">
        <v>76.883697510000005</v>
      </c>
      <c r="E97">
        <v>40</v>
      </c>
      <c r="F97">
        <v>14.999790192000001</v>
      </c>
      <c r="G97">
        <v>1336.6264647999999</v>
      </c>
      <c r="H97">
        <v>1334.8288574000001</v>
      </c>
      <c r="I97">
        <v>1326.4411620999999</v>
      </c>
      <c r="J97">
        <v>1324.5618896000001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5.9079179999999996</v>
      </c>
      <c r="B98" s="1">
        <f>DATE(2010,5,6) + TIME(21,47,24)</f>
        <v>40304.907916666663</v>
      </c>
      <c r="C98">
        <v>80</v>
      </c>
      <c r="D98">
        <v>77.133399963000002</v>
      </c>
      <c r="E98">
        <v>40</v>
      </c>
      <c r="F98">
        <v>14.999791145</v>
      </c>
      <c r="G98">
        <v>1336.6481934000001</v>
      </c>
      <c r="H98">
        <v>1334.8439940999999</v>
      </c>
      <c r="I98">
        <v>1326.4420166</v>
      </c>
      <c r="J98">
        <v>1324.5620117000001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6.025722</v>
      </c>
      <c r="B99" s="1">
        <f>DATE(2010,5,7) + TIME(0,37,2)</f>
        <v>40305.025717592594</v>
      </c>
      <c r="C99">
        <v>80</v>
      </c>
      <c r="D99">
        <v>77.367172241000006</v>
      </c>
      <c r="E99">
        <v>40</v>
      </c>
      <c r="F99">
        <v>14.999792099</v>
      </c>
      <c r="G99">
        <v>1336.6690673999999</v>
      </c>
      <c r="H99">
        <v>1334.8583983999999</v>
      </c>
      <c r="I99">
        <v>1326.4428711</v>
      </c>
      <c r="J99">
        <v>1324.5621338000001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6.1461439999999996</v>
      </c>
      <c r="B100" s="1">
        <f>DATE(2010,5,7) + TIME(3,30,26)</f>
        <v>40305.146134259259</v>
      </c>
      <c r="C100">
        <v>80</v>
      </c>
      <c r="D100">
        <v>77.585731506000002</v>
      </c>
      <c r="E100">
        <v>40</v>
      </c>
      <c r="F100">
        <v>14.999793052999999</v>
      </c>
      <c r="G100">
        <v>1336.6890868999999</v>
      </c>
      <c r="H100">
        <v>1334.8720702999999</v>
      </c>
      <c r="I100">
        <v>1326.4437256000001</v>
      </c>
      <c r="J100">
        <v>1324.5622559000001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6.2694530000000004</v>
      </c>
      <c r="B101" s="1">
        <f>DATE(2010,5,7) + TIME(6,28,0)</f>
        <v>40305.269444444442</v>
      </c>
      <c r="C101">
        <v>80</v>
      </c>
      <c r="D101">
        <v>77.789855957</v>
      </c>
      <c r="E101">
        <v>40</v>
      </c>
      <c r="F101">
        <v>14.999794959999999</v>
      </c>
      <c r="G101">
        <v>1336.7082519999999</v>
      </c>
      <c r="H101">
        <v>1334.8848877</v>
      </c>
      <c r="I101">
        <v>1326.4445800999999</v>
      </c>
      <c r="J101">
        <v>1324.5623779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6.3959400000000004</v>
      </c>
      <c r="B102" s="1">
        <f>DATE(2010,5,7) + TIME(9,30,9)</f>
        <v>40305.395937499998</v>
      </c>
      <c r="C102">
        <v>80</v>
      </c>
      <c r="D102">
        <v>77.980186462000006</v>
      </c>
      <c r="E102">
        <v>40</v>
      </c>
      <c r="F102">
        <v>14.999795914</v>
      </c>
      <c r="G102">
        <v>1336.7233887</v>
      </c>
      <c r="H102">
        <v>1334.8946533000001</v>
      </c>
      <c r="I102">
        <v>1326.4453125</v>
      </c>
      <c r="J102">
        <v>1324.5625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6.525976</v>
      </c>
      <c r="B103" s="1">
        <f>DATE(2010,5,7) + TIME(12,37,24)</f>
        <v>40305.525972222225</v>
      </c>
      <c r="C103">
        <v>80</v>
      </c>
      <c r="D103">
        <v>78.157470703000001</v>
      </c>
      <c r="E103">
        <v>40</v>
      </c>
      <c r="F103">
        <v>14.999796867000001</v>
      </c>
      <c r="G103">
        <v>1336.7373047000001</v>
      </c>
      <c r="H103">
        <v>1334.9034423999999</v>
      </c>
      <c r="I103">
        <v>1326.4460449000001</v>
      </c>
      <c r="J103">
        <v>1324.5627440999999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6.6599190000000004</v>
      </c>
      <c r="B104" s="1">
        <f>DATE(2010,5,7) + TIME(15,50,16)</f>
        <v>40305.659907407404</v>
      </c>
      <c r="C104">
        <v>80</v>
      </c>
      <c r="D104">
        <v>78.322372436999999</v>
      </c>
      <c r="E104">
        <v>40</v>
      </c>
      <c r="F104">
        <v>14.999798775</v>
      </c>
      <c r="G104">
        <v>1336.7506103999999</v>
      </c>
      <c r="H104">
        <v>1334.9113769999999</v>
      </c>
      <c r="I104">
        <v>1326.4467772999999</v>
      </c>
      <c r="J104">
        <v>1324.5628661999999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6.7982279999999999</v>
      </c>
      <c r="B105" s="1">
        <f>DATE(2010,5,7) + TIME(19,9,26)</f>
        <v>40305.798217592594</v>
      </c>
      <c r="C105">
        <v>80</v>
      </c>
      <c r="D105">
        <v>78.475563049000002</v>
      </c>
      <c r="E105">
        <v>40</v>
      </c>
      <c r="F105">
        <v>14.999799727999999</v>
      </c>
      <c r="G105">
        <v>1336.7630615</v>
      </c>
      <c r="H105">
        <v>1334.9188231999999</v>
      </c>
      <c r="I105">
        <v>1326.4476318</v>
      </c>
      <c r="J105">
        <v>1324.5629882999999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6.9412839999999996</v>
      </c>
      <c r="B106" s="1">
        <f>DATE(2010,5,7) + TIME(22,35,26)</f>
        <v>40305.94127314815</v>
      </c>
      <c r="C106">
        <v>80</v>
      </c>
      <c r="D106">
        <v>78.617561339999995</v>
      </c>
      <c r="E106">
        <v>40</v>
      </c>
      <c r="F106">
        <v>14.999800682</v>
      </c>
      <c r="G106">
        <v>1336.7747803</v>
      </c>
      <c r="H106">
        <v>1334.9255370999999</v>
      </c>
      <c r="I106">
        <v>1326.4483643000001</v>
      </c>
      <c r="J106">
        <v>1324.5632324000001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7.088241</v>
      </c>
      <c r="B107" s="1">
        <f>DATE(2010,5,8) + TIME(2,7,4)</f>
        <v>40306.088240740741</v>
      </c>
      <c r="C107">
        <v>80</v>
      </c>
      <c r="D107">
        <v>78.747856139999996</v>
      </c>
      <c r="E107">
        <v>40</v>
      </c>
      <c r="F107">
        <v>14.999802589</v>
      </c>
      <c r="G107">
        <v>1336.7860106999999</v>
      </c>
      <c r="H107">
        <v>1334.9317627</v>
      </c>
      <c r="I107">
        <v>1326.4490966999999</v>
      </c>
      <c r="J107">
        <v>1324.5633545000001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7.2394100000000003</v>
      </c>
      <c r="B108" s="1">
        <f>DATE(2010,5,8) + TIME(5,44,45)</f>
        <v>40306.23940972222</v>
      </c>
      <c r="C108">
        <v>80</v>
      </c>
      <c r="D108">
        <v>78.867179871000005</v>
      </c>
      <c r="E108">
        <v>40</v>
      </c>
      <c r="F108">
        <v>14.999803543000001</v>
      </c>
      <c r="G108">
        <v>1336.7962646000001</v>
      </c>
      <c r="H108">
        <v>1334.9372559000001</v>
      </c>
      <c r="I108">
        <v>1326.4498291</v>
      </c>
      <c r="J108">
        <v>1324.5635986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7.3952</v>
      </c>
      <c r="B109" s="1">
        <f>DATE(2010,5,8) + TIME(9,29,5)</f>
        <v>40306.395196759258</v>
      </c>
      <c r="C109">
        <v>80</v>
      </c>
      <c r="D109">
        <v>78.976234435999999</v>
      </c>
      <c r="E109">
        <v>40</v>
      </c>
      <c r="F109">
        <v>14.999804497</v>
      </c>
      <c r="G109">
        <v>1336.8056641000001</v>
      </c>
      <c r="H109">
        <v>1334.9420166</v>
      </c>
      <c r="I109">
        <v>1326.4505615</v>
      </c>
      <c r="J109">
        <v>1324.5637207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7.5560609999999997</v>
      </c>
      <c r="B110" s="1">
        <f>DATE(2010,5,8) + TIME(13,20,43)</f>
        <v>40306.55605324074</v>
      </c>
      <c r="C110">
        <v>80</v>
      </c>
      <c r="D110">
        <v>79.075721740999995</v>
      </c>
      <c r="E110">
        <v>40</v>
      </c>
      <c r="F110">
        <v>14.999806403999999</v>
      </c>
      <c r="G110">
        <v>1336.8143310999999</v>
      </c>
      <c r="H110">
        <v>1334.9460449000001</v>
      </c>
      <c r="I110">
        <v>1326.4512939000001</v>
      </c>
      <c r="J110">
        <v>1324.5639647999999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7.7225000000000001</v>
      </c>
      <c r="B111" s="1">
        <f>DATE(2010,5,8) + TIME(17,20,23)</f>
        <v>40306.722488425927</v>
      </c>
      <c r="C111">
        <v>80</v>
      </c>
      <c r="D111">
        <v>79.166282654</v>
      </c>
      <c r="E111">
        <v>40</v>
      </c>
      <c r="F111">
        <v>14.999807358</v>
      </c>
      <c r="G111">
        <v>1336.8221435999999</v>
      </c>
      <c r="H111">
        <v>1334.9494629000001</v>
      </c>
      <c r="I111">
        <v>1326.4521483999999</v>
      </c>
      <c r="J111">
        <v>1324.5640868999999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7.8950769999999997</v>
      </c>
      <c r="B112" s="1">
        <f>DATE(2010,5,8) + TIME(21,28,54)</f>
        <v>40306.895069444443</v>
      </c>
      <c r="C112">
        <v>80</v>
      </c>
      <c r="D112">
        <v>79.248527526999993</v>
      </c>
      <c r="E112">
        <v>40</v>
      </c>
      <c r="F112">
        <v>14.999808311000001</v>
      </c>
      <c r="G112">
        <v>1336.8291016000001</v>
      </c>
      <c r="H112">
        <v>1334.9522704999999</v>
      </c>
      <c r="I112">
        <v>1326.4528809000001</v>
      </c>
      <c r="J112">
        <v>1324.5643310999999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7.9823389999999996</v>
      </c>
      <c r="B113" s="1">
        <f>DATE(2010,5,8) + TIME(23,34,34)</f>
        <v>40306.98233796296</v>
      </c>
      <c r="C113">
        <v>80</v>
      </c>
      <c r="D113">
        <v>79.287422179999993</v>
      </c>
      <c r="E113">
        <v>40</v>
      </c>
      <c r="F113">
        <v>14.999809265</v>
      </c>
      <c r="G113">
        <v>1336.8364257999999</v>
      </c>
      <c r="H113">
        <v>1334.9541016000001</v>
      </c>
      <c r="I113">
        <v>1326.4536132999999</v>
      </c>
      <c r="J113">
        <v>1324.5644531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8.0696010000000005</v>
      </c>
      <c r="B114" s="1">
        <f>DATE(2010,5,9) + TIME(1,40,13)</f>
        <v>40307.069594907407</v>
      </c>
      <c r="C114">
        <v>80</v>
      </c>
      <c r="D114">
        <v>79.323707580999994</v>
      </c>
      <c r="E114">
        <v>40</v>
      </c>
      <c r="F114">
        <v>14.999810219</v>
      </c>
      <c r="G114">
        <v>1336.8393555</v>
      </c>
      <c r="H114">
        <v>1334.9550781</v>
      </c>
      <c r="I114">
        <v>1326.4539795000001</v>
      </c>
      <c r="J114">
        <v>1324.5645752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8.1568620000000003</v>
      </c>
      <c r="B115" s="1">
        <f>DATE(2010,5,9) + TIME(3,45,52)</f>
        <v>40307.156851851854</v>
      </c>
      <c r="C115">
        <v>80</v>
      </c>
      <c r="D115">
        <v>79.357551575000002</v>
      </c>
      <c r="E115">
        <v>40</v>
      </c>
      <c r="F115">
        <v>14.999810219</v>
      </c>
      <c r="G115">
        <v>1336.8420410000001</v>
      </c>
      <c r="H115">
        <v>1334.9558105000001</v>
      </c>
      <c r="I115">
        <v>1326.4543457</v>
      </c>
      <c r="J115">
        <v>1324.5646973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8.2441239999999993</v>
      </c>
      <c r="B116" s="1">
        <f>DATE(2010,5,9) + TIME(5,51,32)</f>
        <v>40307.244120370371</v>
      </c>
      <c r="C116">
        <v>80</v>
      </c>
      <c r="D116">
        <v>79.389129639000004</v>
      </c>
      <c r="E116">
        <v>40</v>
      </c>
      <c r="F116">
        <v>14.999811171999999</v>
      </c>
      <c r="G116">
        <v>1336.8444824000001</v>
      </c>
      <c r="H116">
        <v>1334.9564209</v>
      </c>
      <c r="I116">
        <v>1326.4547118999999</v>
      </c>
      <c r="J116">
        <v>1324.5648193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8.3313860000000002</v>
      </c>
      <c r="B117" s="1">
        <f>DATE(2010,5,9) + TIME(7,57,11)</f>
        <v>40307.331377314818</v>
      </c>
      <c r="C117">
        <v>80</v>
      </c>
      <c r="D117">
        <v>79.418579101999995</v>
      </c>
      <c r="E117">
        <v>40</v>
      </c>
      <c r="F117">
        <v>14.999812126</v>
      </c>
      <c r="G117">
        <v>1336.8466797000001</v>
      </c>
      <c r="H117">
        <v>1334.9569091999999</v>
      </c>
      <c r="I117">
        <v>1326.4550781</v>
      </c>
      <c r="J117">
        <v>1324.5648193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8.4186479999999992</v>
      </c>
      <c r="B118" s="1">
        <f>DATE(2010,5,9) + TIME(10,2,51)</f>
        <v>40307.418645833335</v>
      </c>
      <c r="C118">
        <v>80</v>
      </c>
      <c r="D118">
        <v>79.446060181000007</v>
      </c>
      <c r="E118">
        <v>40</v>
      </c>
      <c r="F118">
        <v>14.999813079999999</v>
      </c>
      <c r="G118">
        <v>1336.8487548999999</v>
      </c>
      <c r="H118">
        <v>1334.9572754000001</v>
      </c>
      <c r="I118">
        <v>1326.4554443</v>
      </c>
      <c r="J118">
        <v>1324.5649414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8.5059090000000008</v>
      </c>
      <c r="B119" s="1">
        <f>DATE(2010,5,9) + TIME(12,8,30)</f>
        <v>40307.505902777775</v>
      </c>
      <c r="C119">
        <v>80</v>
      </c>
      <c r="D119">
        <v>79.471702575999998</v>
      </c>
      <c r="E119">
        <v>40</v>
      </c>
      <c r="F119">
        <v>14.999813079999999</v>
      </c>
      <c r="G119">
        <v>1336.8505858999999</v>
      </c>
      <c r="H119">
        <v>1334.9573975000001</v>
      </c>
      <c r="I119">
        <v>1326.4558105000001</v>
      </c>
      <c r="J119">
        <v>1324.5650635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8.5931709999999999</v>
      </c>
      <c r="B120" s="1">
        <f>DATE(2010,5,9) + TIME(14,14,9)</f>
        <v>40307.593159722222</v>
      </c>
      <c r="C120">
        <v>80</v>
      </c>
      <c r="D120">
        <v>79.495628357000001</v>
      </c>
      <c r="E120">
        <v>40</v>
      </c>
      <c r="F120">
        <v>14.999814034</v>
      </c>
      <c r="G120">
        <v>1336.8521728999999</v>
      </c>
      <c r="H120">
        <v>1334.9575195</v>
      </c>
      <c r="I120">
        <v>1326.4561768000001</v>
      </c>
      <c r="J120">
        <v>1324.5651855000001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8.6804330000000007</v>
      </c>
      <c r="B121" s="1">
        <f>DATE(2010,5,9) + TIME(16,19,49)</f>
        <v>40307.680428240739</v>
      </c>
      <c r="C121">
        <v>80</v>
      </c>
      <c r="D121">
        <v>79.517951964999995</v>
      </c>
      <c r="E121">
        <v>40</v>
      </c>
      <c r="F121">
        <v>14.999814034</v>
      </c>
      <c r="G121">
        <v>1336.8524170000001</v>
      </c>
      <c r="H121">
        <v>1334.956543</v>
      </c>
      <c r="I121">
        <v>1326.4564209</v>
      </c>
      <c r="J121">
        <v>1324.5653076000001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8.7676949999999998</v>
      </c>
      <c r="B122" s="1">
        <f>DATE(2010,5,9) + TIME(18,25,28)</f>
        <v>40307.767685185187</v>
      </c>
      <c r="C122">
        <v>80</v>
      </c>
      <c r="D122">
        <v>79.538780212000006</v>
      </c>
      <c r="E122">
        <v>40</v>
      </c>
      <c r="F122">
        <v>14.999814987000001</v>
      </c>
      <c r="G122">
        <v>1336.8521728999999</v>
      </c>
      <c r="H122">
        <v>1334.9553223</v>
      </c>
      <c r="I122">
        <v>1326.4567870999999</v>
      </c>
      <c r="J122">
        <v>1324.5654297000001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8.8549559999999996</v>
      </c>
      <c r="B123" s="1">
        <f>DATE(2010,5,9) + TIME(20,31,8)</f>
        <v>40307.854953703703</v>
      </c>
      <c r="C123">
        <v>80</v>
      </c>
      <c r="D123">
        <v>79.558219910000005</v>
      </c>
      <c r="E123">
        <v>40</v>
      </c>
      <c r="F123">
        <v>14.999815941</v>
      </c>
      <c r="G123">
        <v>1336.8518065999999</v>
      </c>
      <c r="H123">
        <v>1334.9538574000001</v>
      </c>
      <c r="I123">
        <v>1326.4571533000001</v>
      </c>
      <c r="J123">
        <v>1324.5654297000001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9.0294799999999995</v>
      </c>
      <c r="B124" s="1">
        <f>DATE(2010,5,10) + TIME(0,42,27)</f>
        <v>40308.029479166667</v>
      </c>
      <c r="C124">
        <v>80</v>
      </c>
      <c r="D124">
        <v>79.592193604000002</v>
      </c>
      <c r="E124">
        <v>40</v>
      </c>
      <c r="F124">
        <v>14.999816895</v>
      </c>
      <c r="G124">
        <v>1336.8507079999999</v>
      </c>
      <c r="H124">
        <v>1334.9527588000001</v>
      </c>
      <c r="I124">
        <v>1326.4573975000001</v>
      </c>
      <c r="J124">
        <v>1324.5655518000001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9.2044720000000009</v>
      </c>
      <c r="B125" s="1">
        <f>DATE(2010,5,10) + TIME(4,54,26)</f>
        <v>40308.204467592594</v>
      </c>
      <c r="C125">
        <v>80</v>
      </c>
      <c r="D125">
        <v>79.622039795000006</v>
      </c>
      <c r="E125">
        <v>40</v>
      </c>
      <c r="F125">
        <v>14.999817847999999</v>
      </c>
      <c r="G125">
        <v>1336.8494873</v>
      </c>
      <c r="H125">
        <v>1334.9495850000001</v>
      </c>
      <c r="I125">
        <v>1326.4580077999999</v>
      </c>
      <c r="J125">
        <v>1324.5657959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9.3807320000000001</v>
      </c>
      <c r="B126" s="1">
        <f>DATE(2010,5,10) + TIME(9,8,15)</f>
        <v>40308.380729166667</v>
      </c>
      <c r="C126">
        <v>80</v>
      </c>
      <c r="D126">
        <v>79.648361206000004</v>
      </c>
      <c r="E126">
        <v>40</v>
      </c>
      <c r="F126">
        <v>14.999818802</v>
      </c>
      <c r="G126">
        <v>1336.8476562000001</v>
      </c>
      <c r="H126">
        <v>1334.9462891000001</v>
      </c>
      <c r="I126">
        <v>1326.4586182</v>
      </c>
      <c r="J126">
        <v>1324.5660399999999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9.5585380000000004</v>
      </c>
      <c r="B127" s="1">
        <f>DATE(2010,5,10) + TIME(13,24,17)</f>
        <v>40308.558530092596</v>
      </c>
      <c r="C127">
        <v>80</v>
      </c>
      <c r="D127">
        <v>79.671615600999999</v>
      </c>
      <c r="E127">
        <v>40</v>
      </c>
      <c r="F127">
        <v>14.999819756000001</v>
      </c>
      <c r="G127">
        <v>1336.8455810999999</v>
      </c>
      <c r="H127">
        <v>1334.942749</v>
      </c>
      <c r="I127">
        <v>1326.4592285000001</v>
      </c>
      <c r="J127">
        <v>1324.5662841999999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9.738175</v>
      </c>
      <c r="B128" s="1">
        <f>DATE(2010,5,10) + TIME(17,42,58)</f>
        <v>40308.738171296296</v>
      </c>
      <c r="C128">
        <v>80</v>
      </c>
      <c r="D128">
        <v>79.692169188999998</v>
      </c>
      <c r="E128">
        <v>40</v>
      </c>
      <c r="F128">
        <v>14.999821663000001</v>
      </c>
      <c r="G128">
        <v>1336.8431396000001</v>
      </c>
      <c r="H128">
        <v>1334.9389647999999</v>
      </c>
      <c r="I128">
        <v>1326.4598389</v>
      </c>
      <c r="J128">
        <v>1324.5664062000001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9.9199310000000001</v>
      </c>
      <c r="B129" s="1">
        <f>DATE(2010,5,10) + TIME(22,4,42)</f>
        <v>40308.919930555552</v>
      </c>
      <c r="C129">
        <v>80</v>
      </c>
      <c r="D129">
        <v>79.710365295000003</v>
      </c>
      <c r="E129">
        <v>40</v>
      </c>
      <c r="F129">
        <v>14.999822617</v>
      </c>
      <c r="G129">
        <v>1336.8404541</v>
      </c>
      <c r="H129">
        <v>1334.9350586</v>
      </c>
      <c r="I129">
        <v>1326.4603271000001</v>
      </c>
      <c r="J129">
        <v>1324.5666504000001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10.104105000000001</v>
      </c>
      <c r="B130" s="1">
        <f>DATE(2010,5,11) + TIME(2,29,54)</f>
        <v>40309.104097222225</v>
      </c>
      <c r="C130">
        <v>80</v>
      </c>
      <c r="D130">
        <v>79.726486206000004</v>
      </c>
      <c r="E130">
        <v>40</v>
      </c>
      <c r="F130">
        <v>14.99982357</v>
      </c>
      <c r="G130">
        <v>1336.8372803</v>
      </c>
      <c r="H130">
        <v>1334.9310303</v>
      </c>
      <c r="I130">
        <v>1326.4609375</v>
      </c>
      <c r="J130">
        <v>1324.5668945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10.291003999999999</v>
      </c>
      <c r="B131" s="1">
        <f>DATE(2010,5,11) + TIME(6,59,2)</f>
        <v>40309.290995370371</v>
      </c>
      <c r="C131">
        <v>80</v>
      </c>
      <c r="D131">
        <v>79.740768433</v>
      </c>
      <c r="E131">
        <v>40</v>
      </c>
      <c r="F131">
        <v>14.999824523999999</v>
      </c>
      <c r="G131">
        <v>1336.8339844</v>
      </c>
      <c r="H131">
        <v>1334.9267577999999</v>
      </c>
      <c r="I131">
        <v>1326.4615478999999</v>
      </c>
      <c r="J131">
        <v>1324.5671387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10.480950999999999</v>
      </c>
      <c r="B132" s="1">
        <f>DATE(2010,5,11) + TIME(11,32,34)</f>
        <v>40309.480949074074</v>
      </c>
      <c r="C132">
        <v>80</v>
      </c>
      <c r="D132">
        <v>79.753448485999996</v>
      </c>
      <c r="E132">
        <v>40</v>
      </c>
      <c r="F132">
        <v>14.999825478</v>
      </c>
      <c r="G132">
        <v>1336.8303223</v>
      </c>
      <c r="H132">
        <v>1334.9223632999999</v>
      </c>
      <c r="I132">
        <v>1326.4621582</v>
      </c>
      <c r="J132">
        <v>1324.5673827999999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10.674284</v>
      </c>
      <c r="B133" s="1">
        <f>DATE(2010,5,11) + TIME(16,10,58)</f>
        <v>40309.67428240741</v>
      </c>
      <c r="C133">
        <v>80</v>
      </c>
      <c r="D133">
        <v>79.764694214000002</v>
      </c>
      <c r="E133">
        <v>40</v>
      </c>
      <c r="F133">
        <v>14.999826431000001</v>
      </c>
      <c r="G133">
        <v>1336.8264160000001</v>
      </c>
      <c r="H133">
        <v>1334.9178466999999</v>
      </c>
      <c r="I133">
        <v>1326.4627685999999</v>
      </c>
      <c r="J133">
        <v>1324.5675048999999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10.871373</v>
      </c>
      <c r="B134" s="1">
        <f>DATE(2010,5,11) + TIME(20,54,46)</f>
        <v>40309.871365740742</v>
      </c>
      <c r="C134">
        <v>80</v>
      </c>
      <c r="D134">
        <v>79.774688721000004</v>
      </c>
      <c r="E134">
        <v>40</v>
      </c>
      <c r="F134">
        <v>14.999827385</v>
      </c>
      <c r="G134">
        <v>1336.8221435999999</v>
      </c>
      <c r="H134">
        <v>1334.9132079999999</v>
      </c>
      <c r="I134">
        <v>1326.4633789</v>
      </c>
      <c r="J134">
        <v>1324.567749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11.07268</v>
      </c>
      <c r="B135" s="1">
        <f>DATE(2010,5,12) + TIME(1,44,39)</f>
        <v>40310.07267361111</v>
      </c>
      <c r="C135">
        <v>80</v>
      </c>
      <c r="D135">
        <v>79.783576964999995</v>
      </c>
      <c r="E135">
        <v>40</v>
      </c>
      <c r="F135">
        <v>14.999829291999999</v>
      </c>
      <c r="G135">
        <v>1336.817749</v>
      </c>
      <c r="H135">
        <v>1334.9083252</v>
      </c>
      <c r="I135">
        <v>1326.4638672000001</v>
      </c>
      <c r="J135">
        <v>1324.5679932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11.278543000000001</v>
      </c>
      <c r="B136" s="1">
        <f>DATE(2010,5,12) + TIME(6,41,6)</f>
        <v>40310.278541666667</v>
      </c>
      <c r="C136">
        <v>80</v>
      </c>
      <c r="D136">
        <v>79.791473389000004</v>
      </c>
      <c r="E136">
        <v>40</v>
      </c>
      <c r="F136">
        <v>14.999830246</v>
      </c>
      <c r="G136">
        <v>1336.8129882999999</v>
      </c>
      <c r="H136">
        <v>1334.9033202999999</v>
      </c>
      <c r="I136">
        <v>1326.4644774999999</v>
      </c>
      <c r="J136">
        <v>1324.5682373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11.489419</v>
      </c>
      <c r="B137" s="1">
        <f>DATE(2010,5,12) + TIME(11,44,45)</f>
        <v>40310.48940972222</v>
      </c>
      <c r="C137">
        <v>80</v>
      </c>
      <c r="D137">
        <v>79.798500060999999</v>
      </c>
      <c r="E137">
        <v>40</v>
      </c>
      <c r="F137">
        <v>14.999831199999999</v>
      </c>
      <c r="G137">
        <v>1336.8081055</v>
      </c>
      <c r="H137">
        <v>1334.8983154</v>
      </c>
      <c r="I137">
        <v>1326.4652100000001</v>
      </c>
      <c r="J137">
        <v>1324.5684814000001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11.7058</v>
      </c>
      <c r="B138" s="1">
        <f>DATE(2010,5,12) + TIME(16,56,21)</f>
        <v>40310.70579861111</v>
      </c>
      <c r="C138">
        <v>80</v>
      </c>
      <c r="D138">
        <v>79.804756165000001</v>
      </c>
      <c r="E138">
        <v>40</v>
      </c>
      <c r="F138">
        <v>14.999832153</v>
      </c>
      <c r="G138">
        <v>1336.8028564000001</v>
      </c>
      <c r="H138">
        <v>1334.8930664</v>
      </c>
      <c r="I138">
        <v>1326.4658202999999</v>
      </c>
      <c r="J138">
        <v>1324.5687256000001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11.928228000000001</v>
      </c>
      <c r="B139" s="1">
        <f>DATE(2010,5,12) + TIME(22,16,38)</f>
        <v>40310.928217592591</v>
      </c>
      <c r="C139">
        <v>80</v>
      </c>
      <c r="D139">
        <v>79.810317992999998</v>
      </c>
      <c r="E139">
        <v>40</v>
      </c>
      <c r="F139">
        <v>14.999833107000001</v>
      </c>
      <c r="G139">
        <v>1336.7973632999999</v>
      </c>
      <c r="H139">
        <v>1334.8876952999999</v>
      </c>
      <c r="I139">
        <v>1326.4664307</v>
      </c>
      <c r="J139">
        <v>1324.5689697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12.156772999999999</v>
      </c>
      <c r="B140" s="1">
        <f>DATE(2010,5,13) + TIME(3,45,45)</f>
        <v>40311.156770833331</v>
      </c>
      <c r="C140">
        <v>80</v>
      </c>
      <c r="D140">
        <v>79.815269470000004</v>
      </c>
      <c r="E140">
        <v>40</v>
      </c>
      <c r="F140">
        <v>14.999834061</v>
      </c>
      <c r="G140">
        <v>1336.791626</v>
      </c>
      <c r="H140">
        <v>1334.8822021000001</v>
      </c>
      <c r="I140">
        <v>1326.4670410000001</v>
      </c>
      <c r="J140">
        <v>1324.5692139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12.391317000000001</v>
      </c>
      <c r="B141" s="1">
        <f>DATE(2010,5,13) + TIME(9,23,29)</f>
        <v>40311.39130787037</v>
      </c>
      <c r="C141">
        <v>80</v>
      </c>
      <c r="D141">
        <v>79.819656371999997</v>
      </c>
      <c r="E141">
        <v>40</v>
      </c>
      <c r="F141">
        <v>14.999835967999999</v>
      </c>
      <c r="G141">
        <v>1336.7856445</v>
      </c>
      <c r="H141">
        <v>1334.8764647999999</v>
      </c>
      <c r="I141">
        <v>1326.4677733999999</v>
      </c>
      <c r="J141">
        <v>1324.5695800999999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12.632467</v>
      </c>
      <c r="B142" s="1">
        <f>DATE(2010,5,13) + TIME(15,10,45)</f>
        <v>40311.632465277777</v>
      </c>
      <c r="C142">
        <v>80</v>
      </c>
      <c r="D142">
        <v>79.823554993000002</v>
      </c>
      <c r="E142">
        <v>40</v>
      </c>
      <c r="F142">
        <v>14.999836922</v>
      </c>
      <c r="G142">
        <v>1336.7795410000001</v>
      </c>
      <c r="H142">
        <v>1334.8706055</v>
      </c>
      <c r="I142">
        <v>1326.4683838000001</v>
      </c>
      <c r="J142">
        <v>1324.5698242000001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12.880875</v>
      </c>
      <c r="B143" s="1">
        <f>DATE(2010,5,13) + TIME(21,8,27)</f>
        <v>40311.880868055552</v>
      </c>
      <c r="C143">
        <v>80</v>
      </c>
      <c r="D143">
        <v>79.827018738000007</v>
      </c>
      <c r="E143">
        <v>40</v>
      </c>
      <c r="F143">
        <v>14.999837875000001</v>
      </c>
      <c r="G143">
        <v>1336.7730713000001</v>
      </c>
      <c r="H143">
        <v>1334.8647461</v>
      </c>
      <c r="I143">
        <v>1326.4691161999999</v>
      </c>
      <c r="J143">
        <v>1324.5700684000001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13.008853999999999</v>
      </c>
      <c r="B144" s="1">
        <f>DATE(2010,5,14) + TIME(0,12,44)</f>
        <v>40312.008842592593</v>
      </c>
      <c r="C144">
        <v>80</v>
      </c>
      <c r="D144">
        <v>79.828666686999995</v>
      </c>
      <c r="E144">
        <v>40</v>
      </c>
      <c r="F144">
        <v>14.999838829</v>
      </c>
      <c r="G144">
        <v>1336.7663574000001</v>
      </c>
      <c r="H144">
        <v>1334.8582764</v>
      </c>
      <c r="I144">
        <v>1326.4698486</v>
      </c>
      <c r="J144">
        <v>1324.5704346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13.136832999999999</v>
      </c>
      <c r="B145" s="1">
        <f>DATE(2010,5,14) + TIME(3,17,2)</f>
        <v>40312.136828703704</v>
      </c>
      <c r="C145">
        <v>80</v>
      </c>
      <c r="D145">
        <v>79.830192565999994</v>
      </c>
      <c r="E145">
        <v>40</v>
      </c>
      <c r="F145">
        <v>14.999838829</v>
      </c>
      <c r="G145">
        <v>1336.7628173999999</v>
      </c>
      <c r="H145">
        <v>1334.8551024999999</v>
      </c>
      <c r="I145">
        <v>1326.4702147999999</v>
      </c>
      <c r="J145">
        <v>1324.5705565999999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13.264811</v>
      </c>
      <c r="B146" s="1">
        <f>DATE(2010,5,14) + TIME(6,21,19)</f>
        <v>40312.264803240738</v>
      </c>
      <c r="C146">
        <v>80</v>
      </c>
      <c r="D146">
        <v>79.831604003999999</v>
      </c>
      <c r="E146">
        <v>40</v>
      </c>
      <c r="F146">
        <v>14.999839783000001</v>
      </c>
      <c r="G146">
        <v>1336.7592772999999</v>
      </c>
      <c r="H146">
        <v>1334.8519286999999</v>
      </c>
      <c r="I146">
        <v>1326.4705810999999</v>
      </c>
      <c r="J146">
        <v>1324.5706786999999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13.39279</v>
      </c>
      <c r="B147" s="1">
        <f>DATE(2010,5,14) + TIME(9,25,37)</f>
        <v>40312.392789351848</v>
      </c>
      <c r="C147">
        <v>80</v>
      </c>
      <c r="D147">
        <v>79.832916260000005</v>
      </c>
      <c r="E147">
        <v>40</v>
      </c>
      <c r="F147">
        <v>14.999839783000001</v>
      </c>
      <c r="G147">
        <v>1336.7558594</v>
      </c>
      <c r="H147">
        <v>1334.8487548999999</v>
      </c>
      <c r="I147">
        <v>1326.4709473</v>
      </c>
      <c r="J147">
        <v>1324.5708007999999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13.520769</v>
      </c>
      <c r="B148" s="1">
        <f>DATE(2010,5,14) + TIME(12,29,54)</f>
        <v>40312.52076388889</v>
      </c>
      <c r="C148">
        <v>80</v>
      </c>
      <c r="D148">
        <v>79.834129333000007</v>
      </c>
      <c r="E148">
        <v>40</v>
      </c>
      <c r="F148">
        <v>14.999840735999999</v>
      </c>
      <c r="G148">
        <v>1336.7523193</v>
      </c>
      <c r="H148">
        <v>1334.8457031</v>
      </c>
      <c r="I148">
        <v>1326.4713135</v>
      </c>
      <c r="J148">
        <v>1324.5709228999999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13.648747999999999</v>
      </c>
      <c r="B149" s="1">
        <f>DATE(2010,5,14) + TIME(15,34,11)</f>
        <v>40312.648738425924</v>
      </c>
      <c r="C149">
        <v>80</v>
      </c>
      <c r="D149">
        <v>79.835258483999993</v>
      </c>
      <c r="E149">
        <v>40</v>
      </c>
      <c r="F149">
        <v>14.99984169</v>
      </c>
      <c r="G149">
        <v>1336.7487793</v>
      </c>
      <c r="H149">
        <v>1334.8425293</v>
      </c>
      <c r="I149">
        <v>1326.4716797000001</v>
      </c>
      <c r="J149">
        <v>1324.5711670000001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13.776726999999999</v>
      </c>
      <c r="B150" s="1">
        <f>DATE(2010,5,14) + TIME(18,38,29)</f>
        <v>40312.776724537034</v>
      </c>
      <c r="C150">
        <v>80</v>
      </c>
      <c r="D150">
        <v>79.836311339999995</v>
      </c>
      <c r="E150">
        <v>40</v>
      </c>
      <c r="F150">
        <v>14.99984169</v>
      </c>
      <c r="G150">
        <v>1336.7452393000001</v>
      </c>
      <c r="H150">
        <v>1334.8394774999999</v>
      </c>
      <c r="I150">
        <v>1326.4719238</v>
      </c>
      <c r="J150">
        <v>1324.5712891000001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13.904705999999999</v>
      </c>
      <c r="B151" s="1">
        <f>DATE(2010,5,14) + TIME(21,42,46)</f>
        <v>40312.904699074075</v>
      </c>
      <c r="C151">
        <v>80</v>
      </c>
      <c r="D151">
        <v>79.837287903000004</v>
      </c>
      <c r="E151">
        <v>40</v>
      </c>
      <c r="F151">
        <v>14.999842643999999</v>
      </c>
      <c r="G151">
        <v>1336.7416992000001</v>
      </c>
      <c r="H151">
        <v>1334.8363036999999</v>
      </c>
      <c r="I151">
        <v>1326.4722899999999</v>
      </c>
      <c r="J151">
        <v>1324.5714111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14.032685000000001</v>
      </c>
      <c r="B152" s="1">
        <f>DATE(2010,5,15) + TIME(0,47,3)</f>
        <v>40313.032673611109</v>
      </c>
      <c r="C152">
        <v>80</v>
      </c>
      <c r="D152">
        <v>79.838195800999998</v>
      </c>
      <c r="E152">
        <v>40</v>
      </c>
      <c r="F152">
        <v>14.999842643999999</v>
      </c>
      <c r="G152">
        <v>1336.7381591999999</v>
      </c>
      <c r="H152">
        <v>1334.8332519999999</v>
      </c>
      <c r="I152">
        <v>1326.4726562000001</v>
      </c>
      <c r="J152">
        <v>1324.5715332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14.160664000000001</v>
      </c>
      <c r="B153" s="1">
        <f>DATE(2010,5,15) + TIME(3,51,21)</f>
        <v>40313.16065972222</v>
      </c>
      <c r="C153">
        <v>80</v>
      </c>
      <c r="D153">
        <v>79.839042664000004</v>
      </c>
      <c r="E153">
        <v>40</v>
      </c>
      <c r="F153">
        <v>14.999843597</v>
      </c>
      <c r="G153">
        <v>1336.7346190999999</v>
      </c>
      <c r="H153">
        <v>1334.8302002</v>
      </c>
      <c r="I153">
        <v>1326.4730225000001</v>
      </c>
      <c r="J153">
        <v>1324.5717772999999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14.288643</v>
      </c>
      <c r="B154" s="1">
        <f>DATE(2010,5,15) + TIME(6,55,38)</f>
        <v>40313.288634259261</v>
      </c>
      <c r="C154">
        <v>80</v>
      </c>
      <c r="D154">
        <v>79.839828491000006</v>
      </c>
      <c r="E154">
        <v>40</v>
      </c>
      <c r="F154">
        <v>14.999844551000001</v>
      </c>
      <c r="G154">
        <v>1336.7310791</v>
      </c>
      <c r="H154">
        <v>1334.8270264</v>
      </c>
      <c r="I154">
        <v>1326.4733887</v>
      </c>
      <c r="J154">
        <v>1324.5718993999999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14.544601</v>
      </c>
      <c r="B155" s="1">
        <f>DATE(2010,5,15) + TIME(13,4,13)</f>
        <v>40313.544594907406</v>
      </c>
      <c r="C155">
        <v>80</v>
      </c>
      <c r="D155">
        <v>79.841232300000001</v>
      </c>
      <c r="E155">
        <v>40</v>
      </c>
      <c r="F155">
        <v>14.999845505</v>
      </c>
      <c r="G155">
        <v>1336.7275391000001</v>
      </c>
      <c r="H155">
        <v>1334.8242187999999</v>
      </c>
      <c r="I155">
        <v>1326.4737548999999</v>
      </c>
      <c r="J155">
        <v>1324.5720214999999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14.800746999999999</v>
      </c>
      <c r="B156" s="1">
        <f>DATE(2010,5,15) + TIME(19,13,4)</f>
        <v>40313.800740740742</v>
      </c>
      <c r="C156">
        <v>80</v>
      </c>
      <c r="D156">
        <v>79.842460631999998</v>
      </c>
      <c r="E156">
        <v>40</v>
      </c>
      <c r="F156">
        <v>14.999846458</v>
      </c>
      <c r="G156">
        <v>1336.7204589999999</v>
      </c>
      <c r="H156">
        <v>1334.8182373</v>
      </c>
      <c r="I156">
        <v>1326.4744873</v>
      </c>
      <c r="J156">
        <v>1324.5723877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15.058581</v>
      </c>
      <c r="B157" s="1">
        <f>DATE(2010,5,16) + TIME(1,24,21)</f>
        <v>40314.058576388888</v>
      </c>
      <c r="C157">
        <v>80</v>
      </c>
      <c r="D157">
        <v>79.843559264999996</v>
      </c>
      <c r="E157">
        <v>40</v>
      </c>
      <c r="F157">
        <v>14.999847411999999</v>
      </c>
      <c r="G157">
        <v>1336.7133789</v>
      </c>
      <c r="H157">
        <v>1334.8122559000001</v>
      </c>
      <c r="I157">
        <v>1326.4752197</v>
      </c>
      <c r="J157">
        <v>1324.5726318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15.318536999999999</v>
      </c>
      <c r="B158" s="1">
        <f>DATE(2010,5,16) + TIME(7,38,41)</f>
        <v>40314.318530092591</v>
      </c>
      <c r="C158">
        <v>80</v>
      </c>
      <c r="D158">
        <v>79.844535828000005</v>
      </c>
      <c r="E158">
        <v>40</v>
      </c>
      <c r="F158">
        <v>14.999848366</v>
      </c>
      <c r="G158">
        <v>1336.7062988</v>
      </c>
      <c r="H158">
        <v>1334.8062743999999</v>
      </c>
      <c r="I158">
        <v>1326.4759521000001</v>
      </c>
      <c r="J158">
        <v>1324.5729980000001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15.581056</v>
      </c>
      <c r="B159" s="1">
        <f>DATE(2010,5,16) + TIME(13,56,43)</f>
        <v>40314.581053240741</v>
      </c>
      <c r="C159">
        <v>80</v>
      </c>
      <c r="D159">
        <v>79.845413207999997</v>
      </c>
      <c r="E159">
        <v>40</v>
      </c>
      <c r="F159">
        <v>14.999849319000001</v>
      </c>
      <c r="G159">
        <v>1336.6992187999999</v>
      </c>
      <c r="H159">
        <v>1334.8004149999999</v>
      </c>
      <c r="I159">
        <v>1326.4765625</v>
      </c>
      <c r="J159">
        <v>1324.5732422000001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15.846584999999999</v>
      </c>
      <c r="B160" s="1">
        <f>DATE(2010,5,16) + TIME(20,19,4)</f>
        <v>40314.846574074072</v>
      </c>
      <c r="C160">
        <v>80</v>
      </c>
      <c r="D160">
        <v>79.846199036000002</v>
      </c>
      <c r="E160">
        <v>40</v>
      </c>
      <c r="F160">
        <v>14.999850273</v>
      </c>
      <c r="G160">
        <v>1336.6920166</v>
      </c>
      <c r="H160">
        <v>1334.7945557</v>
      </c>
      <c r="I160">
        <v>1326.4772949000001</v>
      </c>
      <c r="J160">
        <v>1324.5736084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16.115587000000001</v>
      </c>
      <c r="B161" s="1">
        <f>DATE(2010,5,17) + TIME(2,46,26)</f>
        <v>40315.115578703706</v>
      </c>
      <c r="C161">
        <v>80</v>
      </c>
      <c r="D161">
        <v>79.846900939999998</v>
      </c>
      <c r="E161">
        <v>40</v>
      </c>
      <c r="F161">
        <v>14.999851227000001</v>
      </c>
      <c r="G161">
        <v>1336.6848144999999</v>
      </c>
      <c r="H161">
        <v>1334.7886963000001</v>
      </c>
      <c r="I161">
        <v>1326.4780272999999</v>
      </c>
      <c r="J161">
        <v>1324.5738524999999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16.388542000000001</v>
      </c>
      <c r="B162" s="1">
        <f>DATE(2010,5,17) + TIME(9,19,30)</f>
        <v>40315.388541666667</v>
      </c>
      <c r="C162">
        <v>80</v>
      </c>
      <c r="D162">
        <v>79.847534179999997</v>
      </c>
      <c r="E162">
        <v>40</v>
      </c>
      <c r="F162">
        <v>14.99985218</v>
      </c>
      <c r="G162">
        <v>1336.6776123</v>
      </c>
      <c r="H162">
        <v>1334.7828368999999</v>
      </c>
      <c r="I162">
        <v>1326.4787598</v>
      </c>
      <c r="J162">
        <v>1324.5742187999999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16.665953999999999</v>
      </c>
      <c r="B163" s="1">
        <f>DATE(2010,5,17) + TIME(15,58,58)</f>
        <v>40315.665949074071</v>
      </c>
      <c r="C163">
        <v>80</v>
      </c>
      <c r="D163">
        <v>79.848106384000005</v>
      </c>
      <c r="E163">
        <v>40</v>
      </c>
      <c r="F163">
        <v>14.999853134</v>
      </c>
      <c r="G163">
        <v>1336.6702881000001</v>
      </c>
      <c r="H163">
        <v>1334.7769774999999</v>
      </c>
      <c r="I163">
        <v>1326.4796143000001</v>
      </c>
      <c r="J163">
        <v>1324.5745850000001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16.948353000000001</v>
      </c>
      <c r="B164" s="1">
        <f>DATE(2010,5,17) + TIME(22,45,37)</f>
        <v>40315.948344907411</v>
      </c>
      <c r="C164">
        <v>80</v>
      </c>
      <c r="D164">
        <v>79.848625182999996</v>
      </c>
      <c r="E164">
        <v>40</v>
      </c>
      <c r="F164">
        <v>14.999854087999999</v>
      </c>
      <c r="G164">
        <v>1336.6629639</v>
      </c>
      <c r="H164">
        <v>1334.7711182</v>
      </c>
      <c r="I164">
        <v>1326.4803466999999</v>
      </c>
      <c r="J164">
        <v>1324.5748291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17.236370000000001</v>
      </c>
      <c r="B165" s="1">
        <f>DATE(2010,5,18) + TIME(5,40,22)</f>
        <v>40316.23636574074</v>
      </c>
      <c r="C165">
        <v>80</v>
      </c>
      <c r="D165">
        <v>79.849090575999995</v>
      </c>
      <c r="E165">
        <v>40</v>
      </c>
      <c r="F165">
        <v>14.999855042</v>
      </c>
      <c r="G165">
        <v>1336.6555175999999</v>
      </c>
      <c r="H165">
        <v>1334.7652588000001</v>
      </c>
      <c r="I165">
        <v>1326.4810791</v>
      </c>
      <c r="J165">
        <v>1324.5751952999999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17.530624</v>
      </c>
      <c r="B166" s="1">
        <f>DATE(2010,5,18) + TIME(12,44,5)</f>
        <v>40316.530613425923</v>
      </c>
      <c r="C166">
        <v>80</v>
      </c>
      <c r="D166">
        <v>79.849510193</v>
      </c>
      <c r="E166">
        <v>40</v>
      </c>
      <c r="F166">
        <v>14.999856949</v>
      </c>
      <c r="G166">
        <v>1336.6479492000001</v>
      </c>
      <c r="H166">
        <v>1334.7592772999999</v>
      </c>
      <c r="I166">
        <v>1326.4819336</v>
      </c>
      <c r="J166">
        <v>1324.5755615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17.831710000000001</v>
      </c>
      <c r="B167" s="1">
        <f>DATE(2010,5,18) + TIME(19,57,39)</f>
        <v>40316.831701388888</v>
      </c>
      <c r="C167">
        <v>80</v>
      </c>
      <c r="D167">
        <v>79.849891662999994</v>
      </c>
      <c r="E167">
        <v>40</v>
      </c>
      <c r="F167">
        <v>14.999857903000001</v>
      </c>
      <c r="G167">
        <v>1336.6403809000001</v>
      </c>
      <c r="H167">
        <v>1334.753418</v>
      </c>
      <c r="I167">
        <v>1326.4826660000001</v>
      </c>
      <c r="J167">
        <v>1324.5759277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18.140346999999998</v>
      </c>
      <c r="B168" s="1">
        <f>DATE(2010,5,19) + TIME(3,22,5)</f>
        <v>40317.140335648146</v>
      </c>
      <c r="C168">
        <v>80</v>
      </c>
      <c r="D168">
        <v>79.850234985</v>
      </c>
      <c r="E168">
        <v>40</v>
      </c>
      <c r="F168">
        <v>14.999858855999999</v>
      </c>
      <c r="G168">
        <v>1336.6326904</v>
      </c>
      <c r="H168">
        <v>1334.7474365</v>
      </c>
      <c r="I168">
        <v>1326.4835204999999</v>
      </c>
      <c r="J168">
        <v>1324.5762939000001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18.457326999999999</v>
      </c>
      <c r="B169" s="1">
        <f>DATE(2010,5,19) + TIME(10,58,33)</f>
        <v>40317.457326388889</v>
      </c>
      <c r="C169">
        <v>80</v>
      </c>
      <c r="D169">
        <v>79.850540160999998</v>
      </c>
      <c r="E169">
        <v>40</v>
      </c>
      <c r="F169">
        <v>14.99985981</v>
      </c>
      <c r="G169">
        <v>1336.6248779</v>
      </c>
      <c r="H169">
        <v>1334.7414550999999</v>
      </c>
      <c r="I169">
        <v>1326.484375</v>
      </c>
      <c r="J169">
        <v>1324.5766602000001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18.780522000000001</v>
      </c>
      <c r="B170" s="1">
        <f>DATE(2010,5,19) + TIME(18,43,57)</f>
        <v>40317.78052083333</v>
      </c>
      <c r="C170">
        <v>80</v>
      </c>
      <c r="D170">
        <v>79.850814818999993</v>
      </c>
      <c r="E170">
        <v>40</v>
      </c>
      <c r="F170">
        <v>14.999860763999999</v>
      </c>
      <c r="G170">
        <v>1336.6169434000001</v>
      </c>
      <c r="H170">
        <v>1334.7354736</v>
      </c>
      <c r="I170">
        <v>1326.4853516000001</v>
      </c>
      <c r="J170">
        <v>1324.5770264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19.110751</v>
      </c>
      <c r="B171" s="1">
        <f>DATE(2010,5,20) + TIME(2,39,28)</f>
        <v>40318.11074074074</v>
      </c>
      <c r="C171">
        <v>80</v>
      </c>
      <c r="D171">
        <v>79.851058960000003</v>
      </c>
      <c r="E171">
        <v>40</v>
      </c>
      <c r="F171">
        <v>14.999861717</v>
      </c>
      <c r="G171">
        <v>1336.6088867000001</v>
      </c>
      <c r="H171">
        <v>1334.7293701000001</v>
      </c>
      <c r="I171">
        <v>1326.4862060999999</v>
      </c>
      <c r="J171">
        <v>1324.5773925999999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19.279689000000001</v>
      </c>
      <c r="B172" s="1">
        <f>DATE(2010,5,20) + TIME(6,42,45)</f>
        <v>40318.279687499999</v>
      </c>
      <c r="C172">
        <v>80</v>
      </c>
      <c r="D172">
        <v>79.851158142000003</v>
      </c>
      <c r="E172">
        <v>40</v>
      </c>
      <c r="F172">
        <v>14.999862671000001</v>
      </c>
      <c r="G172">
        <v>1336.6008300999999</v>
      </c>
      <c r="H172">
        <v>1334.7231445</v>
      </c>
      <c r="I172">
        <v>1326.4870605000001</v>
      </c>
      <c r="J172">
        <v>1324.5777588000001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19.448626999999998</v>
      </c>
      <c r="B173" s="1">
        <f>DATE(2010,5,20) + TIME(10,46,1)</f>
        <v>40318.448622685188</v>
      </c>
      <c r="C173">
        <v>80</v>
      </c>
      <c r="D173">
        <v>79.851257324000002</v>
      </c>
      <c r="E173">
        <v>40</v>
      </c>
      <c r="F173">
        <v>14.999863625</v>
      </c>
      <c r="G173">
        <v>1336.5966797000001</v>
      </c>
      <c r="H173">
        <v>1334.7200928</v>
      </c>
      <c r="I173">
        <v>1326.4875488</v>
      </c>
      <c r="J173">
        <v>1324.5780029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19.617564000000002</v>
      </c>
      <c r="B174" s="1">
        <f>DATE(2010,5,20) + TIME(14,49,17)</f>
        <v>40318.61755787037</v>
      </c>
      <c r="C174">
        <v>80</v>
      </c>
      <c r="D174">
        <v>79.851348877000007</v>
      </c>
      <c r="E174">
        <v>40</v>
      </c>
      <c r="F174">
        <v>14.999863625</v>
      </c>
      <c r="G174">
        <v>1336.5926514</v>
      </c>
      <c r="H174">
        <v>1334.7170410000001</v>
      </c>
      <c r="I174">
        <v>1326.4880370999999</v>
      </c>
      <c r="J174">
        <v>1324.5782471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19.786501999999999</v>
      </c>
      <c r="B175" s="1">
        <f>DATE(2010,5,20) + TIME(18,52,33)</f>
        <v>40318.786493055559</v>
      </c>
      <c r="C175">
        <v>80</v>
      </c>
      <c r="D175">
        <v>79.851425171000002</v>
      </c>
      <c r="E175">
        <v>40</v>
      </c>
      <c r="F175">
        <v>14.999864578</v>
      </c>
      <c r="G175">
        <v>1336.5886230000001</v>
      </c>
      <c r="H175">
        <v>1334.7141113</v>
      </c>
      <c r="I175">
        <v>1326.4885254000001</v>
      </c>
      <c r="J175">
        <v>1324.5784911999999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19.955439999999999</v>
      </c>
      <c r="B176" s="1">
        <f>DATE(2010,5,20) + TIME(22,55,49)</f>
        <v>40318.955428240741</v>
      </c>
      <c r="C176">
        <v>80</v>
      </c>
      <c r="D176">
        <v>79.851501464999998</v>
      </c>
      <c r="E176">
        <v>40</v>
      </c>
      <c r="F176">
        <v>14.999864578</v>
      </c>
      <c r="G176">
        <v>1336.5845947</v>
      </c>
      <c r="H176">
        <v>1334.7110596</v>
      </c>
      <c r="I176">
        <v>1326.4890137</v>
      </c>
      <c r="J176">
        <v>1324.5786132999999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20.124376999999999</v>
      </c>
      <c r="B177" s="1">
        <f>DATE(2010,5,21) + TIME(2,59,6)</f>
        <v>40319.124374999999</v>
      </c>
      <c r="C177">
        <v>80</v>
      </c>
      <c r="D177">
        <v>79.851570128999995</v>
      </c>
      <c r="E177">
        <v>40</v>
      </c>
      <c r="F177">
        <v>14.999865531999999</v>
      </c>
      <c r="G177">
        <v>1336.5805664</v>
      </c>
      <c r="H177">
        <v>1334.7081298999999</v>
      </c>
      <c r="I177">
        <v>1326.4895019999999</v>
      </c>
      <c r="J177">
        <v>1324.5788574000001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20.293315</v>
      </c>
      <c r="B178" s="1">
        <f>DATE(2010,5,21) + TIME(7,2,22)</f>
        <v>40319.293310185189</v>
      </c>
      <c r="C178">
        <v>80</v>
      </c>
      <c r="D178">
        <v>79.851638793999996</v>
      </c>
      <c r="E178">
        <v>40</v>
      </c>
      <c r="F178">
        <v>14.999866486</v>
      </c>
      <c r="G178">
        <v>1336.5766602000001</v>
      </c>
      <c r="H178">
        <v>1334.7052002</v>
      </c>
      <c r="I178">
        <v>1326.4899902</v>
      </c>
      <c r="J178">
        <v>1324.5791016000001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20.462251999999999</v>
      </c>
      <c r="B179" s="1">
        <f>DATE(2010,5,21) + TIME(11,5,38)</f>
        <v>40319.462245370371</v>
      </c>
      <c r="C179">
        <v>80</v>
      </c>
      <c r="D179">
        <v>79.851699828999998</v>
      </c>
      <c r="E179">
        <v>40</v>
      </c>
      <c r="F179">
        <v>14.999866486</v>
      </c>
      <c r="G179">
        <v>1336.5726318</v>
      </c>
      <c r="H179">
        <v>1334.7022704999999</v>
      </c>
      <c r="I179">
        <v>1326.4904785000001</v>
      </c>
      <c r="J179">
        <v>1324.5792236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20.63119</v>
      </c>
      <c r="B180" s="1">
        <f>DATE(2010,5,21) + TIME(15,8,54)</f>
        <v>40319.631180555552</v>
      </c>
      <c r="C180">
        <v>80</v>
      </c>
      <c r="D180">
        <v>79.851753235000004</v>
      </c>
      <c r="E180">
        <v>40</v>
      </c>
      <c r="F180">
        <v>14.999867439000001</v>
      </c>
      <c r="G180">
        <v>1336.5687256000001</v>
      </c>
      <c r="H180">
        <v>1334.6994629000001</v>
      </c>
      <c r="I180">
        <v>1326.4909668</v>
      </c>
      <c r="J180">
        <v>1324.5794678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20.800128000000001</v>
      </c>
      <c r="B181" s="1">
        <f>DATE(2010,5,21) + TIME(19,12,11)</f>
        <v>40319.800127314818</v>
      </c>
      <c r="C181">
        <v>80</v>
      </c>
      <c r="D181">
        <v>79.851799010999997</v>
      </c>
      <c r="E181">
        <v>40</v>
      </c>
      <c r="F181">
        <v>14.999868393</v>
      </c>
      <c r="G181">
        <v>1336.5649414</v>
      </c>
      <c r="H181">
        <v>1334.6965332</v>
      </c>
      <c r="I181">
        <v>1326.4913329999999</v>
      </c>
      <c r="J181">
        <v>1324.5797118999999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20.969065000000001</v>
      </c>
      <c r="B182" s="1">
        <f>DATE(2010,5,21) + TIME(23,15,27)</f>
        <v>40319.9690625</v>
      </c>
      <c r="C182">
        <v>80</v>
      </c>
      <c r="D182">
        <v>79.851844787999994</v>
      </c>
      <c r="E182">
        <v>40</v>
      </c>
      <c r="F182">
        <v>14.999868393</v>
      </c>
      <c r="G182">
        <v>1336.5610352000001</v>
      </c>
      <c r="H182">
        <v>1334.6937256000001</v>
      </c>
      <c r="I182">
        <v>1326.4918213000001</v>
      </c>
      <c r="J182">
        <v>1324.5799560999999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21.138003000000001</v>
      </c>
      <c r="B183" s="1">
        <f>DATE(2010,5,22) + TIME(3,18,43)</f>
        <v>40320.137997685182</v>
      </c>
      <c r="C183">
        <v>80</v>
      </c>
      <c r="D183">
        <v>79.851890564000001</v>
      </c>
      <c r="E183">
        <v>40</v>
      </c>
      <c r="F183">
        <v>14.999869347000001</v>
      </c>
      <c r="G183">
        <v>1336.5571289</v>
      </c>
      <c r="H183">
        <v>1334.690918</v>
      </c>
      <c r="I183">
        <v>1326.4923096</v>
      </c>
      <c r="J183">
        <v>1324.5800781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21.475878000000002</v>
      </c>
      <c r="B184" s="1">
        <f>DATE(2010,5,22) + TIME(11,25,15)</f>
        <v>40320.475868055553</v>
      </c>
      <c r="C184">
        <v>80</v>
      </c>
      <c r="D184">
        <v>79.851974487000007</v>
      </c>
      <c r="E184">
        <v>40</v>
      </c>
      <c r="F184">
        <v>14.9998703</v>
      </c>
      <c r="G184">
        <v>1336.5534668</v>
      </c>
      <c r="H184">
        <v>1334.6882324000001</v>
      </c>
      <c r="I184">
        <v>1326.4927978999999</v>
      </c>
      <c r="J184">
        <v>1324.5803223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21.814758999999999</v>
      </c>
      <c r="B185" s="1">
        <f>DATE(2010,5,22) + TIME(19,33,15)</f>
        <v>40320.814756944441</v>
      </c>
      <c r="C185">
        <v>80</v>
      </c>
      <c r="D185">
        <v>79.852050781000003</v>
      </c>
      <c r="E185">
        <v>40</v>
      </c>
      <c r="F185">
        <v>14.999871254</v>
      </c>
      <c r="G185">
        <v>1336.5458983999999</v>
      </c>
      <c r="H185">
        <v>1334.6827393000001</v>
      </c>
      <c r="I185">
        <v>1326.4937743999999</v>
      </c>
      <c r="J185">
        <v>1324.5808105000001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22.156395</v>
      </c>
      <c r="B186" s="1">
        <f>DATE(2010,5,23) + TIME(3,45,12)</f>
        <v>40321.156388888892</v>
      </c>
      <c r="C186">
        <v>80</v>
      </c>
      <c r="D186">
        <v>79.852111816000004</v>
      </c>
      <c r="E186">
        <v>40</v>
      </c>
      <c r="F186">
        <v>14.999873161</v>
      </c>
      <c r="G186">
        <v>1336.5383300999999</v>
      </c>
      <c r="H186">
        <v>1334.6772461</v>
      </c>
      <c r="I186">
        <v>1326.494751</v>
      </c>
      <c r="J186">
        <v>1324.5811768000001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22.501411999999998</v>
      </c>
      <c r="B187" s="1">
        <f>DATE(2010,5,23) + TIME(12,2,1)</f>
        <v>40321.501400462963</v>
      </c>
      <c r="C187">
        <v>80</v>
      </c>
      <c r="D187">
        <v>79.852149963000002</v>
      </c>
      <c r="E187">
        <v>40</v>
      </c>
      <c r="F187">
        <v>14.999874115000001</v>
      </c>
      <c r="G187">
        <v>1336.5308838000001</v>
      </c>
      <c r="H187">
        <v>1334.671875</v>
      </c>
      <c r="I187">
        <v>1326.4957274999999</v>
      </c>
      <c r="J187">
        <v>1324.5816649999999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22.850453999999999</v>
      </c>
      <c r="B188" s="1">
        <f>DATE(2010,5,23) + TIME(20,24,39)</f>
        <v>40321.850451388891</v>
      </c>
      <c r="C188">
        <v>80</v>
      </c>
      <c r="D188">
        <v>79.85218811</v>
      </c>
      <c r="E188">
        <v>40</v>
      </c>
      <c r="F188">
        <v>14.999876022</v>
      </c>
      <c r="G188">
        <v>1336.5234375</v>
      </c>
      <c r="H188">
        <v>1334.666626</v>
      </c>
      <c r="I188">
        <v>1326.4967041</v>
      </c>
      <c r="J188">
        <v>1324.5820312000001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23.204193</v>
      </c>
      <c r="B189" s="1">
        <f>DATE(2010,5,24) + TIME(4,54,2)</f>
        <v>40322.204189814816</v>
      </c>
      <c r="C189">
        <v>80</v>
      </c>
      <c r="D189">
        <v>79.852210998999993</v>
      </c>
      <c r="E189">
        <v>40</v>
      </c>
      <c r="F189">
        <v>14.999876975999999</v>
      </c>
      <c r="G189">
        <v>1336.5159911999999</v>
      </c>
      <c r="H189">
        <v>1334.6612548999999</v>
      </c>
      <c r="I189">
        <v>1326.4978027</v>
      </c>
      <c r="J189">
        <v>1324.5825195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23.563330000000001</v>
      </c>
      <c r="B190" s="1">
        <f>DATE(2010,5,24) + TIME(13,31,11)</f>
        <v>40322.563321759262</v>
      </c>
      <c r="C190">
        <v>80</v>
      </c>
      <c r="D190">
        <v>79.852218628000003</v>
      </c>
      <c r="E190">
        <v>40</v>
      </c>
      <c r="F190">
        <v>14.999878882999999</v>
      </c>
      <c r="G190">
        <v>1336.5085449000001</v>
      </c>
      <c r="H190">
        <v>1334.6558838000001</v>
      </c>
      <c r="I190">
        <v>1326.4987793</v>
      </c>
      <c r="J190">
        <v>1324.5830077999999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23.928602999999999</v>
      </c>
      <c r="B191" s="1">
        <f>DATE(2010,5,24) + TIME(22,17,11)</f>
        <v>40322.928599537037</v>
      </c>
      <c r="C191">
        <v>80</v>
      </c>
      <c r="D191">
        <v>79.852226256999998</v>
      </c>
      <c r="E191">
        <v>40</v>
      </c>
      <c r="F191">
        <v>14.999879837</v>
      </c>
      <c r="G191">
        <v>1336.5010986</v>
      </c>
      <c r="H191">
        <v>1334.6506348</v>
      </c>
      <c r="I191">
        <v>1326.4998779</v>
      </c>
      <c r="J191">
        <v>1324.583374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24.300788000000001</v>
      </c>
      <c r="B192" s="1">
        <f>DATE(2010,5,25) + TIME(7,13,8)</f>
        <v>40323.300787037035</v>
      </c>
      <c r="C192">
        <v>80</v>
      </c>
      <c r="D192">
        <v>79.852218628000003</v>
      </c>
      <c r="E192">
        <v>40</v>
      </c>
      <c r="F192">
        <v>14.999881744</v>
      </c>
      <c r="G192">
        <v>1336.4936522999999</v>
      </c>
      <c r="H192">
        <v>1334.6453856999999</v>
      </c>
      <c r="I192">
        <v>1326.5008545000001</v>
      </c>
      <c r="J192">
        <v>1324.5838623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24.680879999999998</v>
      </c>
      <c r="B193" s="1">
        <f>DATE(2010,5,25) + TIME(16,20,28)</f>
        <v>40323.680879629632</v>
      </c>
      <c r="C193">
        <v>80</v>
      </c>
      <c r="D193">
        <v>79.852210998999993</v>
      </c>
      <c r="E193">
        <v>40</v>
      </c>
      <c r="F193">
        <v>14.999883651999999</v>
      </c>
      <c r="G193">
        <v>1336.4862060999999</v>
      </c>
      <c r="H193">
        <v>1334.6401367000001</v>
      </c>
      <c r="I193">
        <v>1326.5019531</v>
      </c>
      <c r="J193">
        <v>1324.5843506000001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25.069651</v>
      </c>
      <c r="B194" s="1">
        <f>DATE(2010,5,26) + TIME(1,40,17)</f>
        <v>40324.069641203707</v>
      </c>
      <c r="C194">
        <v>80</v>
      </c>
      <c r="D194">
        <v>79.85218811</v>
      </c>
      <c r="E194">
        <v>40</v>
      </c>
      <c r="F194">
        <v>14.999886513</v>
      </c>
      <c r="G194">
        <v>1336.4786377</v>
      </c>
      <c r="H194">
        <v>1334.6348877</v>
      </c>
      <c r="I194">
        <v>1326.5030518000001</v>
      </c>
      <c r="J194">
        <v>1324.5848389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25.468071999999999</v>
      </c>
      <c r="B195" s="1">
        <f>DATE(2010,5,26) + TIME(11,14,1)</f>
        <v>40324.46806712963</v>
      </c>
      <c r="C195">
        <v>80</v>
      </c>
      <c r="D195">
        <v>79.852165221999996</v>
      </c>
      <c r="E195">
        <v>40</v>
      </c>
      <c r="F195">
        <v>14.99988842</v>
      </c>
      <c r="G195">
        <v>1336.4709473</v>
      </c>
      <c r="H195">
        <v>1334.6295166</v>
      </c>
      <c r="I195">
        <v>1326.5042725000001</v>
      </c>
      <c r="J195">
        <v>1324.5853271000001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25.873173999999999</v>
      </c>
      <c r="B196" s="1">
        <f>DATE(2010,5,26) + TIME(20,57,22)</f>
        <v>40324.873171296298</v>
      </c>
      <c r="C196">
        <v>80</v>
      </c>
      <c r="D196">
        <v>79.852127074999999</v>
      </c>
      <c r="E196">
        <v>40</v>
      </c>
      <c r="F196">
        <v>14.999891281</v>
      </c>
      <c r="G196">
        <v>1336.4632568</v>
      </c>
      <c r="H196">
        <v>1334.6242675999999</v>
      </c>
      <c r="I196">
        <v>1326.5054932</v>
      </c>
      <c r="J196">
        <v>1324.5858154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26.285188000000002</v>
      </c>
      <c r="B197" s="1">
        <f>DATE(2010,5,27) + TIME(6,50,40)</f>
        <v>40325.285185185188</v>
      </c>
      <c r="C197">
        <v>80</v>
      </c>
      <c r="D197">
        <v>79.852088928000001</v>
      </c>
      <c r="E197">
        <v>40</v>
      </c>
      <c r="F197">
        <v>14.999895095999999</v>
      </c>
      <c r="G197">
        <v>1336.4555664</v>
      </c>
      <c r="H197">
        <v>1334.6188964999999</v>
      </c>
      <c r="I197">
        <v>1326.5067139</v>
      </c>
      <c r="J197">
        <v>1324.5864257999999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26.49511</v>
      </c>
      <c r="B198" s="1">
        <f>DATE(2010,5,27) + TIME(11,52,57)</f>
        <v>40325.495104166665</v>
      </c>
      <c r="C198">
        <v>80</v>
      </c>
      <c r="D198">
        <v>79.852050781000003</v>
      </c>
      <c r="E198">
        <v>40</v>
      </c>
      <c r="F198">
        <v>14.999897002999999</v>
      </c>
      <c r="G198">
        <v>1336.4477539</v>
      </c>
      <c r="H198">
        <v>1334.6135254000001</v>
      </c>
      <c r="I198">
        <v>1326.5079346</v>
      </c>
      <c r="J198">
        <v>1324.5869141000001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26.705031999999999</v>
      </c>
      <c r="B199" s="1">
        <f>DATE(2010,5,27) + TIME(16,55,14)</f>
        <v>40325.705023148148</v>
      </c>
      <c r="C199">
        <v>80</v>
      </c>
      <c r="D199">
        <v>79.852020264000004</v>
      </c>
      <c r="E199">
        <v>40</v>
      </c>
      <c r="F199">
        <v>14.999898911000001</v>
      </c>
      <c r="G199">
        <v>1336.4438477000001</v>
      </c>
      <c r="H199">
        <v>1334.6108397999999</v>
      </c>
      <c r="I199">
        <v>1326.5085449000001</v>
      </c>
      <c r="J199">
        <v>1324.5871582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26.914954000000002</v>
      </c>
      <c r="B200" s="1">
        <f>DATE(2010,5,27) + TIME(21,57,32)</f>
        <v>40325.914953703701</v>
      </c>
      <c r="C200">
        <v>80</v>
      </c>
      <c r="D200">
        <v>79.851982117000006</v>
      </c>
      <c r="E200">
        <v>40</v>
      </c>
      <c r="F200">
        <v>14.999900818</v>
      </c>
      <c r="G200">
        <v>1336.4400635</v>
      </c>
      <c r="H200">
        <v>1334.6081543</v>
      </c>
      <c r="I200">
        <v>1326.5091553</v>
      </c>
      <c r="J200">
        <v>1324.5875243999999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27.124876</v>
      </c>
      <c r="B201" s="1">
        <f>DATE(2010,5,28) + TIME(2,59,49)</f>
        <v>40326.124872685185</v>
      </c>
      <c r="C201">
        <v>80</v>
      </c>
      <c r="D201">
        <v>79.851951599000003</v>
      </c>
      <c r="E201">
        <v>40</v>
      </c>
      <c r="F201">
        <v>14.999903679000001</v>
      </c>
      <c r="G201">
        <v>1336.4362793</v>
      </c>
      <c r="H201">
        <v>1334.6054687999999</v>
      </c>
      <c r="I201">
        <v>1326.5098877</v>
      </c>
      <c r="J201">
        <v>1324.5877685999999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27.334796999999998</v>
      </c>
      <c r="B202" s="1">
        <f>DATE(2010,5,28) + TIME(8,2,6)</f>
        <v>40326.334791666668</v>
      </c>
      <c r="C202">
        <v>80</v>
      </c>
      <c r="D202">
        <v>79.851913452000005</v>
      </c>
      <c r="E202">
        <v>40</v>
      </c>
      <c r="F202">
        <v>14.99990654</v>
      </c>
      <c r="G202">
        <v>1336.4323730000001</v>
      </c>
      <c r="H202">
        <v>1334.6029053</v>
      </c>
      <c r="I202">
        <v>1326.5104980000001</v>
      </c>
      <c r="J202">
        <v>1324.5880127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27.544719000000001</v>
      </c>
      <c r="B203" s="1">
        <f>DATE(2010,5,28) + TIME(13,4,23)</f>
        <v>40326.544710648152</v>
      </c>
      <c r="C203">
        <v>80</v>
      </c>
      <c r="D203">
        <v>79.851882935000006</v>
      </c>
      <c r="E203">
        <v>40</v>
      </c>
      <c r="F203">
        <v>14.999909401</v>
      </c>
      <c r="G203">
        <v>1336.4287108999999</v>
      </c>
      <c r="H203">
        <v>1334.6003418</v>
      </c>
      <c r="I203">
        <v>1326.5111084</v>
      </c>
      <c r="J203">
        <v>1324.5882568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27.754640999999999</v>
      </c>
      <c r="B204" s="1">
        <f>DATE(2010,5,28) + TIME(18,6,40)</f>
        <v>40326.754629629628</v>
      </c>
      <c r="C204">
        <v>80</v>
      </c>
      <c r="D204">
        <v>79.851844787999994</v>
      </c>
      <c r="E204">
        <v>40</v>
      </c>
      <c r="F204">
        <v>14.999912262</v>
      </c>
      <c r="G204">
        <v>1336.4249268000001</v>
      </c>
      <c r="H204">
        <v>1334.5977783000001</v>
      </c>
      <c r="I204">
        <v>1326.5117187999999</v>
      </c>
      <c r="J204">
        <v>1324.5886230000001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27.964562999999998</v>
      </c>
      <c r="B205" s="1">
        <f>DATE(2010,5,28) + TIME(23,8,58)</f>
        <v>40326.964560185188</v>
      </c>
      <c r="C205">
        <v>80</v>
      </c>
      <c r="D205">
        <v>79.851814270000006</v>
      </c>
      <c r="E205">
        <v>40</v>
      </c>
      <c r="F205">
        <v>14.999915122999999</v>
      </c>
      <c r="G205">
        <v>1336.4212646000001</v>
      </c>
      <c r="H205">
        <v>1334.5953368999999</v>
      </c>
      <c r="I205">
        <v>1326.5124512</v>
      </c>
      <c r="J205">
        <v>1324.5888672000001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28.174485000000001</v>
      </c>
      <c r="B206" s="1">
        <f>DATE(2010,5,29) + TIME(4,11,15)</f>
        <v>40327.174479166664</v>
      </c>
      <c r="C206">
        <v>80</v>
      </c>
      <c r="D206">
        <v>79.851783752000003</v>
      </c>
      <c r="E206">
        <v>40</v>
      </c>
      <c r="F206">
        <v>14.999918938</v>
      </c>
      <c r="G206">
        <v>1336.4174805</v>
      </c>
      <c r="H206">
        <v>1334.5927733999999</v>
      </c>
      <c r="I206">
        <v>1326.5130615</v>
      </c>
      <c r="J206">
        <v>1324.5891113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28.384406999999999</v>
      </c>
      <c r="B207" s="1">
        <f>DATE(2010,5,29) + TIME(9,13,32)</f>
        <v>40327.384398148148</v>
      </c>
      <c r="C207">
        <v>80</v>
      </c>
      <c r="D207">
        <v>79.851745605000005</v>
      </c>
      <c r="E207">
        <v>40</v>
      </c>
      <c r="F207">
        <v>14.999921798999999</v>
      </c>
      <c r="G207">
        <v>1336.4138184000001</v>
      </c>
      <c r="H207">
        <v>1334.590332</v>
      </c>
      <c r="I207">
        <v>1326.5137939000001</v>
      </c>
      <c r="J207">
        <v>1324.5894774999999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28.594328000000001</v>
      </c>
      <c r="B208" s="1">
        <f>DATE(2010,5,29) + TIME(14,15,49)</f>
        <v>40327.594317129631</v>
      </c>
      <c r="C208">
        <v>80</v>
      </c>
      <c r="D208">
        <v>79.851715088000006</v>
      </c>
      <c r="E208">
        <v>40</v>
      </c>
      <c r="F208">
        <v>14.999926566999999</v>
      </c>
      <c r="G208">
        <v>1336.4102783000001</v>
      </c>
      <c r="H208">
        <v>1334.5878906</v>
      </c>
      <c r="I208">
        <v>1326.5144043</v>
      </c>
      <c r="J208">
        <v>1324.5897216999999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28.80425</v>
      </c>
      <c r="B209" s="1">
        <f>DATE(2010,5,29) + TIME(19,18,7)</f>
        <v>40327.804247685184</v>
      </c>
      <c r="C209">
        <v>80</v>
      </c>
      <c r="D209">
        <v>79.851676940999994</v>
      </c>
      <c r="E209">
        <v>40</v>
      </c>
      <c r="F209">
        <v>14.999930382000001</v>
      </c>
      <c r="G209">
        <v>1336.4066161999999</v>
      </c>
      <c r="H209">
        <v>1334.5854492000001</v>
      </c>
      <c r="I209">
        <v>1326.5150146000001</v>
      </c>
      <c r="J209">
        <v>1324.5899658000001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29.014171999999999</v>
      </c>
      <c r="B210" s="1">
        <f>DATE(2010,5,30) + TIME(0,20,24)</f>
        <v>40328.014166666668</v>
      </c>
      <c r="C210">
        <v>80</v>
      </c>
      <c r="D210">
        <v>79.851646423000005</v>
      </c>
      <c r="E210">
        <v>40</v>
      </c>
      <c r="F210">
        <v>14.999935150000001</v>
      </c>
      <c r="G210">
        <v>1336.4030762</v>
      </c>
      <c r="H210">
        <v>1334.5830077999999</v>
      </c>
      <c r="I210">
        <v>1326.5157471</v>
      </c>
      <c r="J210">
        <v>1324.590332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29.434016</v>
      </c>
      <c r="B211" s="1">
        <f>DATE(2010,5,30) + TIME(10,24,58)</f>
        <v>40328.434004629627</v>
      </c>
      <c r="C211">
        <v>80</v>
      </c>
      <c r="D211">
        <v>79.851608275999993</v>
      </c>
      <c r="E211">
        <v>40</v>
      </c>
      <c r="F211">
        <v>14.999944686999999</v>
      </c>
      <c r="G211">
        <v>1336.3996582</v>
      </c>
      <c r="H211">
        <v>1334.5808105000001</v>
      </c>
      <c r="I211">
        <v>1326.5163574000001</v>
      </c>
      <c r="J211">
        <v>1324.5905762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29.854309000000001</v>
      </c>
      <c r="B212" s="1">
        <f>DATE(2010,5,30) + TIME(20,30,12)</f>
        <v>40328.854305555556</v>
      </c>
      <c r="C212">
        <v>80</v>
      </c>
      <c r="D212">
        <v>79.851554871000005</v>
      </c>
      <c r="E212">
        <v>40</v>
      </c>
      <c r="F212">
        <v>14.999955177</v>
      </c>
      <c r="G212">
        <v>1336.3925781</v>
      </c>
      <c r="H212">
        <v>1334.5760498</v>
      </c>
      <c r="I212">
        <v>1326.5177002</v>
      </c>
      <c r="J212">
        <v>1324.5911865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30.278485</v>
      </c>
      <c r="B213" s="1">
        <f>DATE(2010,5,31) + TIME(6,41,1)</f>
        <v>40329.278483796297</v>
      </c>
      <c r="C213">
        <v>80</v>
      </c>
      <c r="D213">
        <v>79.851501464999998</v>
      </c>
      <c r="E213">
        <v>40</v>
      </c>
      <c r="F213">
        <v>14.999968529</v>
      </c>
      <c r="G213">
        <v>1336.3856201000001</v>
      </c>
      <c r="H213">
        <v>1334.5714111</v>
      </c>
      <c r="I213">
        <v>1326.519043</v>
      </c>
      <c r="J213">
        <v>1324.5917969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30.707433999999999</v>
      </c>
      <c r="B214" s="1">
        <f>DATE(2010,5,31) + TIME(16,58,42)</f>
        <v>40329.707430555558</v>
      </c>
      <c r="C214">
        <v>80</v>
      </c>
      <c r="D214">
        <v>79.851440429999997</v>
      </c>
      <c r="E214">
        <v>40</v>
      </c>
      <c r="F214">
        <v>14.999983788</v>
      </c>
      <c r="G214">
        <v>1336.3787841999999</v>
      </c>
      <c r="H214">
        <v>1334.5668945</v>
      </c>
      <c r="I214">
        <v>1326.5203856999999</v>
      </c>
      <c r="J214">
        <v>1324.5922852000001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31</v>
      </c>
      <c r="B215" s="1">
        <f>DATE(2010,6,1) + TIME(0,0,0)</f>
        <v>40330</v>
      </c>
      <c r="C215">
        <v>80</v>
      </c>
      <c r="D215">
        <v>79.851387024000005</v>
      </c>
      <c r="E215">
        <v>40</v>
      </c>
      <c r="F215">
        <v>14.999996185000001</v>
      </c>
      <c r="G215">
        <v>1336.3719481999999</v>
      </c>
      <c r="H215">
        <v>1334.5622559000001</v>
      </c>
      <c r="I215">
        <v>1326.5218506000001</v>
      </c>
      <c r="J215">
        <v>1324.5928954999999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31.434632000000001</v>
      </c>
      <c r="B216" s="1">
        <f>DATE(2010,6,1) + TIME(10,25,52)</f>
        <v>40330.434629629628</v>
      </c>
      <c r="C216">
        <v>80</v>
      </c>
      <c r="D216">
        <v>79.851325989000003</v>
      </c>
      <c r="E216">
        <v>40</v>
      </c>
      <c r="F216">
        <v>15.000015259</v>
      </c>
      <c r="G216">
        <v>1336.3673096</v>
      </c>
      <c r="H216">
        <v>1334.5592041</v>
      </c>
      <c r="I216">
        <v>1326.5228271000001</v>
      </c>
      <c r="J216">
        <v>1324.5933838000001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31.880983000000001</v>
      </c>
      <c r="B217" s="1">
        <f>DATE(2010,6,1) + TIME(21,8,36)</f>
        <v>40330.880972222221</v>
      </c>
      <c r="C217">
        <v>80</v>
      </c>
      <c r="D217">
        <v>79.851264954000001</v>
      </c>
      <c r="E217">
        <v>40</v>
      </c>
      <c r="F217">
        <v>15.000039101</v>
      </c>
      <c r="G217">
        <v>1336.3604736</v>
      </c>
      <c r="H217">
        <v>1334.5546875</v>
      </c>
      <c r="I217">
        <v>1326.5241699000001</v>
      </c>
      <c r="J217">
        <v>1324.5939940999999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32.335588999999999</v>
      </c>
      <c r="B218" s="1">
        <f>DATE(2010,6,2) + TIME(8,3,14)</f>
        <v>40331.335578703707</v>
      </c>
      <c r="C218">
        <v>80</v>
      </c>
      <c r="D218">
        <v>79.851196289000001</v>
      </c>
      <c r="E218">
        <v>40</v>
      </c>
      <c r="F218">
        <v>15.000066757000001</v>
      </c>
      <c r="G218">
        <v>1336.3536377</v>
      </c>
      <c r="H218">
        <v>1334.5501709</v>
      </c>
      <c r="I218">
        <v>1326.5257568</v>
      </c>
      <c r="J218">
        <v>1324.5946045000001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32.799728999999999</v>
      </c>
      <c r="B219" s="1">
        <f>DATE(2010,6,2) + TIME(19,11,36)</f>
        <v>40331.799722222226</v>
      </c>
      <c r="C219">
        <v>80</v>
      </c>
      <c r="D219">
        <v>79.851127625000004</v>
      </c>
      <c r="E219">
        <v>40</v>
      </c>
      <c r="F219">
        <v>15.000099182</v>
      </c>
      <c r="G219">
        <v>1336.3468018000001</v>
      </c>
      <c r="H219">
        <v>1334.5456543</v>
      </c>
      <c r="I219">
        <v>1326.5272216999999</v>
      </c>
      <c r="J219">
        <v>1324.5952147999999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33.274619000000001</v>
      </c>
      <c r="B220" s="1">
        <f>DATE(2010,6,3) + TIME(6,35,27)</f>
        <v>40332.274618055555</v>
      </c>
      <c r="C220">
        <v>80</v>
      </c>
      <c r="D220">
        <v>79.851058960000003</v>
      </c>
      <c r="E220">
        <v>40</v>
      </c>
      <c r="F220">
        <v>15.000138283</v>
      </c>
      <c r="G220">
        <v>1336.3398437999999</v>
      </c>
      <c r="H220">
        <v>1334.5411377</v>
      </c>
      <c r="I220">
        <v>1326.5288086</v>
      </c>
      <c r="J220">
        <v>1324.5958252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33.761456000000003</v>
      </c>
      <c r="B221" s="1">
        <f>DATE(2010,6,3) + TIME(18,16,29)</f>
        <v>40332.761446759258</v>
      </c>
      <c r="C221">
        <v>80</v>
      </c>
      <c r="D221">
        <v>79.850990295000003</v>
      </c>
      <c r="E221">
        <v>40</v>
      </c>
      <c r="F221">
        <v>15.000185012999999</v>
      </c>
      <c r="G221">
        <v>1336.3328856999999</v>
      </c>
      <c r="H221">
        <v>1334.536499</v>
      </c>
      <c r="I221">
        <v>1326.5303954999999</v>
      </c>
      <c r="J221">
        <v>1324.5965576000001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34.259455000000003</v>
      </c>
      <c r="B222" s="1">
        <f>DATE(2010,6,4) + TIME(6,13,36)</f>
        <v>40333.259444444448</v>
      </c>
      <c r="C222">
        <v>80</v>
      </c>
      <c r="D222">
        <v>79.850914001000007</v>
      </c>
      <c r="E222">
        <v>40</v>
      </c>
      <c r="F222">
        <v>15.000241279999999</v>
      </c>
      <c r="G222">
        <v>1336.3258057</v>
      </c>
      <c r="H222">
        <v>1334.5319824000001</v>
      </c>
      <c r="I222">
        <v>1326.5321045000001</v>
      </c>
      <c r="J222">
        <v>1324.5972899999999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34.763021999999999</v>
      </c>
      <c r="B223" s="1">
        <f>DATE(2010,6,4) + TIME(18,18,45)</f>
        <v>40333.763020833336</v>
      </c>
      <c r="C223">
        <v>80</v>
      </c>
      <c r="D223">
        <v>79.850837708</v>
      </c>
      <c r="E223">
        <v>40</v>
      </c>
      <c r="F223">
        <v>15.000308037</v>
      </c>
      <c r="G223">
        <v>1336.3187256000001</v>
      </c>
      <c r="H223">
        <v>1334.5273437999999</v>
      </c>
      <c r="I223">
        <v>1326.5338135</v>
      </c>
      <c r="J223">
        <v>1324.5980225000001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35.015028999999998</v>
      </c>
      <c r="B224" s="1">
        <f>DATE(2010,6,5) + TIME(0,21,38)</f>
        <v>40334.015023148146</v>
      </c>
      <c r="C224">
        <v>80</v>
      </c>
      <c r="D224">
        <v>79.850784301999994</v>
      </c>
      <c r="E224">
        <v>40</v>
      </c>
      <c r="F224">
        <v>15.000349045</v>
      </c>
      <c r="G224">
        <v>1336.3115233999999</v>
      </c>
      <c r="H224">
        <v>1334.5225829999999</v>
      </c>
      <c r="I224">
        <v>1326.5355225000001</v>
      </c>
      <c r="J224">
        <v>1324.5987548999999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35.267035999999997</v>
      </c>
      <c r="B225" s="1">
        <f>DATE(2010,6,5) + TIME(6,24,31)</f>
        <v>40334.267025462963</v>
      </c>
      <c r="C225">
        <v>80</v>
      </c>
      <c r="D225">
        <v>79.850730896000002</v>
      </c>
      <c r="E225">
        <v>40</v>
      </c>
      <c r="F225">
        <v>15.000393867</v>
      </c>
      <c r="G225">
        <v>1336.3079834</v>
      </c>
      <c r="H225">
        <v>1334.5202637</v>
      </c>
      <c r="I225">
        <v>1326.5363769999999</v>
      </c>
      <c r="J225">
        <v>1324.5991211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35.519041999999999</v>
      </c>
      <c r="B226" s="1">
        <f>DATE(2010,6,5) + TIME(12,27,25)</f>
        <v>40334.51903935185</v>
      </c>
      <c r="C226">
        <v>80</v>
      </c>
      <c r="D226">
        <v>79.850677489999995</v>
      </c>
      <c r="E226">
        <v>40</v>
      </c>
      <c r="F226">
        <v>15.000442505000001</v>
      </c>
      <c r="G226">
        <v>1336.3045654</v>
      </c>
      <c r="H226">
        <v>1334.5179443</v>
      </c>
      <c r="I226">
        <v>1326.5373535000001</v>
      </c>
      <c r="J226">
        <v>1324.5994873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35.771048999999998</v>
      </c>
      <c r="B227" s="1">
        <f>DATE(2010,6,5) + TIME(18,30,18)</f>
        <v>40334.771041666667</v>
      </c>
      <c r="C227">
        <v>80</v>
      </c>
      <c r="D227">
        <v>79.850631714000002</v>
      </c>
      <c r="E227">
        <v>40</v>
      </c>
      <c r="F227">
        <v>15.000494957000001</v>
      </c>
      <c r="G227">
        <v>1336.3011475000001</v>
      </c>
      <c r="H227">
        <v>1334.5157471</v>
      </c>
      <c r="I227">
        <v>1326.5382079999999</v>
      </c>
      <c r="J227">
        <v>1324.5998535000001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36.023037000000002</v>
      </c>
      <c r="B228" s="1">
        <f>DATE(2010,6,6) + TIME(0,33,10)</f>
        <v>40335.023032407407</v>
      </c>
      <c r="C228">
        <v>80</v>
      </c>
      <c r="D228">
        <v>79.850585937999995</v>
      </c>
      <c r="E228">
        <v>40</v>
      </c>
      <c r="F228">
        <v>15.000551224000001</v>
      </c>
      <c r="G228">
        <v>1336.2977295000001</v>
      </c>
      <c r="H228">
        <v>1334.5134277</v>
      </c>
      <c r="I228">
        <v>1326.5390625</v>
      </c>
      <c r="J228">
        <v>1324.6002197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36.275024000000002</v>
      </c>
      <c r="B229" s="1">
        <f>DATE(2010,6,6) + TIME(6,36,2)</f>
        <v>40335.275023148148</v>
      </c>
      <c r="C229">
        <v>80</v>
      </c>
      <c r="D229">
        <v>79.850547790999997</v>
      </c>
      <c r="E229">
        <v>40</v>
      </c>
      <c r="F229">
        <v>15.000611305</v>
      </c>
      <c r="G229">
        <v>1336.2943115</v>
      </c>
      <c r="H229">
        <v>1334.5112305</v>
      </c>
      <c r="I229">
        <v>1326.5400391000001</v>
      </c>
      <c r="J229">
        <v>1324.6005858999999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36.527011999999999</v>
      </c>
      <c r="B230" s="1">
        <f>DATE(2010,6,6) + TIME(12,38,53)</f>
        <v>40335.527002314811</v>
      </c>
      <c r="C230">
        <v>80</v>
      </c>
      <c r="D230">
        <v>79.850502014</v>
      </c>
      <c r="E230">
        <v>40</v>
      </c>
      <c r="F230">
        <v>15.000677109</v>
      </c>
      <c r="G230">
        <v>1336.2908935999999</v>
      </c>
      <c r="H230">
        <v>1334.5090332</v>
      </c>
      <c r="I230">
        <v>1326.5408935999999</v>
      </c>
      <c r="J230">
        <v>1324.6009521000001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36.778998999999999</v>
      </c>
      <c r="B231" s="1">
        <f>DATE(2010,6,6) + TIME(18,41,45)</f>
        <v>40335.778993055559</v>
      </c>
      <c r="C231">
        <v>80</v>
      </c>
      <c r="D231">
        <v>79.850463867000002</v>
      </c>
      <c r="E231">
        <v>40</v>
      </c>
      <c r="F231">
        <v>15.000748634000001</v>
      </c>
      <c r="G231">
        <v>1336.2875977000001</v>
      </c>
      <c r="H231">
        <v>1334.5068358999999</v>
      </c>
      <c r="I231">
        <v>1326.5418701000001</v>
      </c>
      <c r="J231">
        <v>1324.6013184000001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37.030987000000003</v>
      </c>
      <c r="B232" s="1">
        <f>DATE(2010,6,7) + TIME(0,44,37)</f>
        <v>40336.0309837963</v>
      </c>
      <c r="C232">
        <v>80</v>
      </c>
      <c r="D232">
        <v>79.850425720000004</v>
      </c>
      <c r="E232">
        <v>40</v>
      </c>
      <c r="F232">
        <v>15.000823974999999</v>
      </c>
      <c r="G232">
        <v>1336.2843018000001</v>
      </c>
      <c r="H232">
        <v>1334.5047606999999</v>
      </c>
      <c r="I232">
        <v>1326.5427245999999</v>
      </c>
      <c r="J232">
        <v>1324.6016846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37.282974000000003</v>
      </c>
      <c r="B233" s="1">
        <f>DATE(2010,6,7) + TIME(6,47,28)</f>
        <v>40336.282962962963</v>
      </c>
      <c r="C233">
        <v>80</v>
      </c>
      <c r="D233">
        <v>79.850387573000006</v>
      </c>
      <c r="E233">
        <v>40</v>
      </c>
      <c r="F233">
        <v>15.000906944</v>
      </c>
      <c r="G233">
        <v>1336.2810059000001</v>
      </c>
      <c r="H233">
        <v>1334.5025635</v>
      </c>
      <c r="I233">
        <v>1326.5437012</v>
      </c>
      <c r="J233">
        <v>1324.6020507999999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37.534962</v>
      </c>
      <c r="B234" s="1">
        <f>DATE(2010,6,7) + TIME(12,50,20)</f>
        <v>40336.534953703704</v>
      </c>
      <c r="C234">
        <v>80</v>
      </c>
      <c r="D234">
        <v>79.850349425999994</v>
      </c>
      <c r="E234">
        <v>40</v>
      </c>
      <c r="F234">
        <v>15.000994682</v>
      </c>
      <c r="G234">
        <v>1336.2777100000001</v>
      </c>
      <c r="H234">
        <v>1334.5004882999999</v>
      </c>
      <c r="I234">
        <v>1326.5446777</v>
      </c>
      <c r="J234">
        <v>1324.6025391000001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38.038936999999997</v>
      </c>
      <c r="B235" s="1">
        <f>DATE(2010,6,8) + TIME(0,56,4)</f>
        <v>40337.038935185185</v>
      </c>
      <c r="C235">
        <v>80</v>
      </c>
      <c r="D235">
        <v>79.850311278999996</v>
      </c>
      <c r="E235">
        <v>40</v>
      </c>
      <c r="F235">
        <v>15.001173973</v>
      </c>
      <c r="G235">
        <v>1336.2745361</v>
      </c>
      <c r="H235">
        <v>1334.4985352000001</v>
      </c>
      <c r="I235">
        <v>1326.5455322</v>
      </c>
      <c r="J235">
        <v>1324.6029053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38.543574999999997</v>
      </c>
      <c r="B236" s="1">
        <f>DATE(2010,6,8) + TIME(13,2,44)</f>
        <v>40337.543564814812</v>
      </c>
      <c r="C236">
        <v>80</v>
      </c>
      <c r="D236">
        <v>79.850265503000003</v>
      </c>
      <c r="E236">
        <v>40</v>
      </c>
      <c r="F236">
        <v>15.001380920000001</v>
      </c>
      <c r="G236">
        <v>1336.2681885</v>
      </c>
      <c r="H236">
        <v>1334.4943848</v>
      </c>
      <c r="I236">
        <v>1326.5474853999999</v>
      </c>
      <c r="J236">
        <v>1324.6036377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39.052771</v>
      </c>
      <c r="B237" s="1">
        <f>DATE(2010,6,9) + TIME(1,15,59)</f>
        <v>40338.052766203706</v>
      </c>
      <c r="C237">
        <v>80</v>
      </c>
      <c r="D237">
        <v>79.850212096999996</v>
      </c>
      <c r="E237">
        <v>40</v>
      </c>
      <c r="F237">
        <v>15.0016222</v>
      </c>
      <c r="G237">
        <v>1336.2618408000001</v>
      </c>
      <c r="H237">
        <v>1334.4903564000001</v>
      </c>
      <c r="I237">
        <v>1326.5493164</v>
      </c>
      <c r="J237">
        <v>1324.6044922000001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39.567525000000003</v>
      </c>
      <c r="B238" s="1">
        <f>DATE(2010,6,9) + TIME(13,37,14)</f>
        <v>40338.567523148151</v>
      </c>
      <c r="C238">
        <v>80</v>
      </c>
      <c r="D238">
        <v>79.850158691000004</v>
      </c>
      <c r="E238">
        <v>40</v>
      </c>
      <c r="F238">
        <v>15.001903534</v>
      </c>
      <c r="G238">
        <v>1336.2554932</v>
      </c>
      <c r="H238">
        <v>1334.4863281</v>
      </c>
      <c r="I238">
        <v>1326.5512695</v>
      </c>
      <c r="J238">
        <v>1324.6052245999999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40.088878999999999</v>
      </c>
      <c r="B239" s="1">
        <f>DATE(2010,6,10) + TIME(2,7,59)</f>
        <v>40339.088877314818</v>
      </c>
      <c r="C239">
        <v>80</v>
      </c>
      <c r="D239">
        <v>79.850097656000003</v>
      </c>
      <c r="E239">
        <v>40</v>
      </c>
      <c r="F239">
        <v>15.002231598</v>
      </c>
      <c r="G239">
        <v>1336.2492675999999</v>
      </c>
      <c r="H239">
        <v>1334.4822998</v>
      </c>
      <c r="I239">
        <v>1326.5533447</v>
      </c>
      <c r="J239">
        <v>1324.6060791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40.617925999999997</v>
      </c>
      <c r="B240" s="1">
        <f>DATE(2010,6,10) + TIME(14,49,48)</f>
        <v>40339.61791666667</v>
      </c>
      <c r="C240">
        <v>80</v>
      </c>
      <c r="D240">
        <v>79.850044249999996</v>
      </c>
      <c r="E240">
        <v>40</v>
      </c>
      <c r="F240">
        <v>15.002613068</v>
      </c>
      <c r="G240">
        <v>1336.2429199000001</v>
      </c>
      <c r="H240">
        <v>1334.4782714999999</v>
      </c>
      <c r="I240">
        <v>1326.5552978999999</v>
      </c>
      <c r="J240">
        <v>1324.6069336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41.155890999999997</v>
      </c>
      <c r="B241" s="1">
        <f>DATE(2010,6,11) + TIME(3,44,28)</f>
        <v>40340.15587962963</v>
      </c>
      <c r="C241">
        <v>80</v>
      </c>
      <c r="D241">
        <v>79.849983214999995</v>
      </c>
      <c r="E241">
        <v>40</v>
      </c>
      <c r="F241">
        <v>15.003058434</v>
      </c>
      <c r="G241">
        <v>1336.2366943</v>
      </c>
      <c r="H241">
        <v>1334.4742432</v>
      </c>
      <c r="I241">
        <v>1326.5573730000001</v>
      </c>
      <c r="J241">
        <v>1324.6077881000001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41.704177000000001</v>
      </c>
      <c r="B242" s="1">
        <f>DATE(2010,6,11) + TIME(16,54,0)</f>
        <v>40340.70416666667</v>
      </c>
      <c r="C242">
        <v>80</v>
      </c>
      <c r="D242">
        <v>79.849922179999993</v>
      </c>
      <c r="E242">
        <v>40</v>
      </c>
      <c r="F242">
        <v>15.003579139999999</v>
      </c>
      <c r="G242">
        <v>1336.2304687999999</v>
      </c>
      <c r="H242">
        <v>1334.4702147999999</v>
      </c>
      <c r="I242">
        <v>1326.5595702999999</v>
      </c>
      <c r="J242">
        <v>1324.6086425999999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42.264392000000001</v>
      </c>
      <c r="B243" s="1">
        <f>DATE(2010,6,12) + TIME(6,20,43)</f>
        <v>40341.264386574076</v>
      </c>
      <c r="C243">
        <v>80</v>
      </c>
      <c r="D243">
        <v>79.849868774000001</v>
      </c>
      <c r="E243">
        <v>40</v>
      </c>
      <c r="F243">
        <v>15.004190445000001</v>
      </c>
      <c r="G243">
        <v>1336.2241211</v>
      </c>
      <c r="H243">
        <v>1334.4661865</v>
      </c>
      <c r="I243">
        <v>1326.5617675999999</v>
      </c>
      <c r="J243">
        <v>1324.6096190999999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42.838251</v>
      </c>
      <c r="B244" s="1">
        <f>DATE(2010,6,12) + TIME(20,7,4)</f>
        <v>40341.838240740741</v>
      </c>
      <c r="C244">
        <v>80</v>
      </c>
      <c r="D244">
        <v>79.849807738999999</v>
      </c>
      <c r="E244">
        <v>40</v>
      </c>
      <c r="F244">
        <v>15.004907608</v>
      </c>
      <c r="G244">
        <v>1336.2177733999999</v>
      </c>
      <c r="H244">
        <v>1334.4621582</v>
      </c>
      <c r="I244">
        <v>1326.5640868999999</v>
      </c>
      <c r="J244">
        <v>1324.6104736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43.423839999999998</v>
      </c>
      <c r="B245" s="1">
        <f>DATE(2010,6,13) + TIME(10,10,19)</f>
        <v>40342.423831018517</v>
      </c>
      <c r="C245">
        <v>80</v>
      </c>
      <c r="D245">
        <v>79.849754333000007</v>
      </c>
      <c r="E245">
        <v>40</v>
      </c>
      <c r="F245">
        <v>15.005747795</v>
      </c>
      <c r="G245">
        <v>1336.2113036999999</v>
      </c>
      <c r="H245">
        <v>1334.4580077999999</v>
      </c>
      <c r="I245">
        <v>1326.5665283000001</v>
      </c>
      <c r="J245">
        <v>1324.6114502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43.716956000000003</v>
      </c>
      <c r="B246" s="1">
        <f>DATE(2010,6,13) + TIME(17,12,24)</f>
        <v>40342.716944444444</v>
      </c>
      <c r="C246">
        <v>80</v>
      </c>
      <c r="D246">
        <v>79.849700928000004</v>
      </c>
      <c r="E246">
        <v>40</v>
      </c>
      <c r="F246">
        <v>15.006270409000001</v>
      </c>
      <c r="G246">
        <v>1336.2048339999999</v>
      </c>
      <c r="H246">
        <v>1334.4538574000001</v>
      </c>
      <c r="I246">
        <v>1326.5689697</v>
      </c>
      <c r="J246">
        <v>1324.6124268000001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44.010071000000003</v>
      </c>
      <c r="B247" s="1">
        <f>DATE(2010,6,14) + TIME(0,14,30)</f>
        <v>40343.010069444441</v>
      </c>
      <c r="C247">
        <v>80</v>
      </c>
      <c r="D247">
        <v>79.849655150999993</v>
      </c>
      <c r="E247">
        <v>40</v>
      </c>
      <c r="F247">
        <v>15.006828307999999</v>
      </c>
      <c r="G247">
        <v>1336.2015381000001</v>
      </c>
      <c r="H247">
        <v>1334.4517822</v>
      </c>
      <c r="I247">
        <v>1326.5701904</v>
      </c>
      <c r="J247">
        <v>1324.6130370999999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44.303185999999997</v>
      </c>
      <c r="B248" s="1">
        <f>DATE(2010,6,14) + TIME(7,16,35)</f>
        <v>40343.303182870368</v>
      </c>
      <c r="C248">
        <v>80</v>
      </c>
      <c r="D248">
        <v>79.849617003999995</v>
      </c>
      <c r="E248">
        <v>40</v>
      </c>
      <c r="F248">
        <v>15.007425308</v>
      </c>
      <c r="G248">
        <v>1336.1983643000001</v>
      </c>
      <c r="H248">
        <v>1334.449707</v>
      </c>
      <c r="I248">
        <v>1326.5714111</v>
      </c>
      <c r="J248">
        <v>1324.6135254000001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44.596300999999997</v>
      </c>
      <c r="B249" s="1">
        <f>DATE(2010,6,14) + TIME(14,18,40)</f>
        <v>40343.596296296295</v>
      </c>
      <c r="C249">
        <v>80</v>
      </c>
      <c r="D249">
        <v>79.849578856999997</v>
      </c>
      <c r="E249">
        <v>40</v>
      </c>
      <c r="F249">
        <v>15.008063315999999</v>
      </c>
      <c r="G249">
        <v>1336.1953125</v>
      </c>
      <c r="H249">
        <v>1334.4477539</v>
      </c>
      <c r="I249">
        <v>1326.5727539</v>
      </c>
      <c r="J249">
        <v>1324.6140137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44.889417000000002</v>
      </c>
      <c r="B250" s="1">
        <f>DATE(2010,6,14) + TIME(21,20,45)</f>
        <v>40343.889409722222</v>
      </c>
      <c r="C250">
        <v>80</v>
      </c>
      <c r="D250">
        <v>79.849548339999998</v>
      </c>
      <c r="E250">
        <v>40</v>
      </c>
      <c r="F250">
        <v>15.008745192999999</v>
      </c>
      <c r="G250">
        <v>1336.1921387</v>
      </c>
      <c r="H250">
        <v>1334.4458007999999</v>
      </c>
      <c r="I250">
        <v>1326.5739745999999</v>
      </c>
      <c r="J250">
        <v>1324.6145019999999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45.182532000000002</v>
      </c>
      <c r="B251" s="1">
        <f>DATE(2010,6,15) + TIME(4,22,50)</f>
        <v>40344.182523148149</v>
      </c>
      <c r="C251">
        <v>80</v>
      </c>
      <c r="D251">
        <v>79.849510193</v>
      </c>
      <c r="E251">
        <v>40</v>
      </c>
      <c r="F251">
        <v>15.009473801</v>
      </c>
      <c r="G251">
        <v>1336.1889647999999</v>
      </c>
      <c r="H251">
        <v>1334.4437256000001</v>
      </c>
      <c r="I251">
        <v>1326.5753173999999</v>
      </c>
      <c r="J251">
        <v>1324.6151123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45.475647000000002</v>
      </c>
      <c r="B252" s="1">
        <f>DATE(2010,6,15) + TIME(11,24,55)</f>
        <v>40344.475636574076</v>
      </c>
      <c r="C252">
        <v>80</v>
      </c>
      <c r="D252">
        <v>79.849479674999998</v>
      </c>
      <c r="E252">
        <v>40</v>
      </c>
      <c r="F252">
        <v>15.010251998999999</v>
      </c>
      <c r="G252">
        <v>1336.1859131000001</v>
      </c>
      <c r="H252">
        <v>1334.4417725000001</v>
      </c>
      <c r="I252">
        <v>1326.5766602000001</v>
      </c>
      <c r="J252">
        <v>1324.6156006000001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45.768762000000002</v>
      </c>
      <c r="B253" s="1">
        <f>DATE(2010,6,15) + TIME(18,27,1)</f>
        <v>40344.768761574072</v>
      </c>
      <c r="C253">
        <v>80</v>
      </c>
      <c r="D253">
        <v>79.849456786999994</v>
      </c>
      <c r="E253">
        <v>40</v>
      </c>
      <c r="F253">
        <v>15.011083602999999</v>
      </c>
      <c r="G253">
        <v>1336.1828613</v>
      </c>
      <c r="H253">
        <v>1334.4398193</v>
      </c>
      <c r="I253">
        <v>1326.5778809000001</v>
      </c>
      <c r="J253">
        <v>1324.6160889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46.061878</v>
      </c>
      <c r="B254" s="1">
        <f>DATE(2010,6,16) + TIME(1,29,6)</f>
        <v>40345.061874999999</v>
      </c>
      <c r="C254">
        <v>80</v>
      </c>
      <c r="D254">
        <v>79.849426269999995</v>
      </c>
      <c r="E254">
        <v>40</v>
      </c>
      <c r="F254">
        <v>15.011971473999999</v>
      </c>
      <c r="G254">
        <v>1336.1798096</v>
      </c>
      <c r="H254">
        <v>1334.4378661999999</v>
      </c>
      <c r="I254">
        <v>1326.5792236</v>
      </c>
      <c r="J254">
        <v>1324.6166992000001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46.354993</v>
      </c>
      <c r="B255" s="1">
        <f>DATE(2010,6,16) + TIME(8,31,11)</f>
        <v>40345.354988425926</v>
      </c>
      <c r="C255">
        <v>80</v>
      </c>
      <c r="D255">
        <v>79.849395752000007</v>
      </c>
      <c r="E255">
        <v>40</v>
      </c>
      <c r="F255">
        <v>15.012918472000001</v>
      </c>
      <c r="G255">
        <v>1336.1767577999999</v>
      </c>
      <c r="H255">
        <v>1334.4360352000001</v>
      </c>
      <c r="I255">
        <v>1326.5805664</v>
      </c>
      <c r="J255">
        <v>1324.6171875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46.648108000000001</v>
      </c>
      <c r="B256" s="1">
        <f>DATE(2010,6,16) + TIME(15,33,16)</f>
        <v>40345.648101851853</v>
      </c>
      <c r="C256">
        <v>80</v>
      </c>
      <c r="D256">
        <v>79.849372864000003</v>
      </c>
      <c r="E256">
        <v>40</v>
      </c>
      <c r="F256">
        <v>15.013928413</v>
      </c>
      <c r="G256">
        <v>1336.1737060999999</v>
      </c>
      <c r="H256">
        <v>1334.434082</v>
      </c>
      <c r="I256">
        <v>1326.5819091999999</v>
      </c>
      <c r="J256">
        <v>1324.6177978999999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46.941223000000001</v>
      </c>
      <c r="B257" s="1">
        <f>DATE(2010,6,16) + TIME(22,35,21)</f>
        <v>40345.94121527778</v>
      </c>
      <c r="C257">
        <v>80</v>
      </c>
      <c r="D257">
        <v>79.849349975999999</v>
      </c>
      <c r="E257">
        <v>40</v>
      </c>
      <c r="F257">
        <v>15.015006065</v>
      </c>
      <c r="G257">
        <v>1336.1707764</v>
      </c>
      <c r="H257">
        <v>1334.4321289</v>
      </c>
      <c r="I257">
        <v>1326.5832519999999</v>
      </c>
      <c r="J257">
        <v>1324.6182861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47.234338000000001</v>
      </c>
      <c r="B258" s="1">
        <f>DATE(2010,6,17) + TIME(5,37,26)</f>
        <v>40346.2343287037</v>
      </c>
      <c r="C258">
        <v>80</v>
      </c>
      <c r="D258">
        <v>79.849327087000006</v>
      </c>
      <c r="E258">
        <v>40</v>
      </c>
      <c r="F258">
        <v>15.016154288999999</v>
      </c>
      <c r="G258">
        <v>1336.1678466999999</v>
      </c>
      <c r="H258">
        <v>1334.4302978999999</v>
      </c>
      <c r="I258">
        <v>1326.5845947</v>
      </c>
      <c r="J258">
        <v>1324.6188964999999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47.820568999999999</v>
      </c>
      <c r="B259" s="1">
        <f>DATE(2010,6,17) + TIME(19,41,37)</f>
        <v>40346.820567129631</v>
      </c>
      <c r="C259">
        <v>80</v>
      </c>
      <c r="D259">
        <v>79.849311829000001</v>
      </c>
      <c r="E259">
        <v>40</v>
      </c>
      <c r="F259">
        <v>15.018425941</v>
      </c>
      <c r="G259">
        <v>1336.1649170000001</v>
      </c>
      <c r="H259">
        <v>1334.4284668</v>
      </c>
      <c r="I259">
        <v>1326.5860596</v>
      </c>
      <c r="J259">
        <v>1324.6195068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48.409118999999997</v>
      </c>
      <c r="B260" s="1">
        <f>DATE(2010,6,18) + TIME(9,49,7)</f>
        <v>40347.409108796295</v>
      </c>
      <c r="C260">
        <v>80</v>
      </c>
      <c r="D260">
        <v>79.849288939999994</v>
      </c>
      <c r="E260">
        <v>40</v>
      </c>
      <c r="F260">
        <v>15.021027565000001</v>
      </c>
      <c r="G260">
        <v>1336.1590576000001</v>
      </c>
      <c r="H260">
        <v>1334.4248047000001</v>
      </c>
      <c r="I260">
        <v>1326.5887451000001</v>
      </c>
      <c r="J260">
        <v>1324.6206055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49.004274000000002</v>
      </c>
      <c r="B261" s="1">
        <f>DATE(2010,6,19) + TIME(0,6,9)</f>
        <v>40348.004270833335</v>
      </c>
      <c r="C261">
        <v>80</v>
      </c>
      <c r="D261">
        <v>79.849266052000004</v>
      </c>
      <c r="E261">
        <v>40</v>
      </c>
      <c r="F261">
        <v>15.024012566</v>
      </c>
      <c r="G261">
        <v>1336.1533202999999</v>
      </c>
      <c r="H261">
        <v>1334.4211425999999</v>
      </c>
      <c r="I261">
        <v>1326.5916748</v>
      </c>
      <c r="J261">
        <v>1324.6217041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49.607300000000002</v>
      </c>
      <c r="B262" s="1">
        <f>DATE(2010,6,19) + TIME(14,34,30)</f>
        <v>40348.607291666667</v>
      </c>
      <c r="C262">
        <v>80</v>
      </c>
      <c r="D262">
        <v>79.849235535000005</v>
      </c>
      <c r="E262">
        <v>40</v>
      </c>
      <c r="F262">
        <v>15.027438163999999</v>
      </c>
      <c r="G262">
        <v>1336.1474608999999</v>
      </c>
      <c r="H262">
        <v>1334.4173584</v>
      </c>
      <c r="I262">
        <v>1326.5944824000001</v>
      </c>
      <c r="J262">
        <v>1324.6229248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50.219529000000001</v>
      </c>
      <c r="B263" s="1">
        <f>DATE(2010,6,20) + TIME(5,16,7)</f>
        <v>40349.219525462962</v>
      </c>
      <c r="C263">
        <v>80</v>
      </c>
      <c r="D263">
        <v>79.849205017000003</v>
      </c>
      <c r="E263">
        <v>40</v>
      </c>
      <c r="F263">
        <v>15.031371117000001</v>
      </c>
      <c r="G263">
        <v>1336.1417236</v>
      </c>
      <c r="H263">
        <v>1334.4136963000001</v>
      </c>
      <c r="I263">
        <v>1326.5975341999999</v>
      </c>
      <c r="J263">
        <v>1324.6241454999999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50.842395000000003</v>
      </c>
      <c r="B264" s="1">
        <f>DATE(2010,6,20) + TIME(20,13,2)</f>
        <v>40349.84238425926</v>
      </c>
      <c r="C264">
        <v>80</v>
      </c>
      <c r="D264">
        <v>79.849182128999999</v>
      </c>
      <c r="E264">
        <v>40</v>
      </c>
      <c r="F264">
        <v>15.035890579</v>
      </c>
      <c r="G264">
        <v>1336.1358643000001</v>
      </c>
      <c r="H264">
        <v>1334.4100341999999</v>
      </c>
      <c r="I264">
        <v>1326.6005858999999</v>
      </c>
      <c r="J264">
        <v>1324.6254882999999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51.477421</v>
      </c>
      <c r="B265" s="1">
        <f>DATE(2010,6,21) + TIME(11,27,29)</f>
        <v>40350.477418981478</v>
      </c>
      <c r="C265">
        <v>80</v>
      </c>
      <c r="D265">
        <v>79.849151610999996</v>
      </c>
      <c r="E265">
        <v>40</v>
      </c>
      <c r="F265">
        <v>15.041090012</v>
      </c>
      <c r="G265">
        <v>1336.1301269999999</v>
      </c>
      <c r="H265">
        <v>1334.4063721</v>
      </c>
      <c r="I265">
        <v>1326.6038818</v>
      </c>
      <c r="J265">
        <v>1324.6267089999999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52.126252000000001</v>
      </c>
      <c r="B266" s="1">
        <f>DATE(2010,6,22) + TIME(3,1,48)</f>
        <v>40351.126250000001</v>
      </c>
      <c r="C266">
        <v>80</v>
      </c>
      <c r="D266">
        <v>79.849128723000007</v>
      </c>
      <c r="E266">
        <v>40</v>
      </c>
      <c r="F266">
        <v>15.047083855</v>
      </c>
      <c r="G266">
        <v>1336.1242675999999</v>
      </c>
      <c r="H266">
        <v>1334.4025879000001</v>
      </c>
      <c r="I266">
        <v>1326.6071777</v>
      </c>
      <c r="J266">
        <v>1324.6281738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52.789141999999998</v>
      </c>
      <c r="B267" s="1">
        <f>DATE(2010,6,22) + TIME(18,56,21)</f>
        <v>40351.789131944446</v>
      </c>
      <c r="C267">
        <v>80</v>
      </c>
      <c r="D267">
        <v>79.849105835000003</v>
      </c>
      <c r="E267">
        <v>40</v>
      </c>
      <c r="F267">
        <v>15.053994179</v>
      </c>
      <c r="G267">
        <v>1336.1182861</v>
      </c>
      <c r="H267">
        <v>1334.3988036999999</v>
      </c>
      <c r="I267">
        <v>1326.6105957</v>
      </c>
      <c r="J267">
        <v>1324.6295166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53.126102000000003</v>
      </c>
      <c r="B268" s="1">
        <f>DATE(2010,6,23) + TIME(3,1,35)</f>
        <v>40352.126099537039</v>
      </c>
      <c r="C268">
        <v>80</v>
      </c>
      <c r="D268">
        <v>79.849067688000005</v>
      </c>
      <c r="E268">
        <v>40</v>
      </c>
      <c r="F268">
        <v>15.05831337</v>
      </c>
      <c r="G268">
        <v>1336.1123047000001</v>
      </c>
      <c r="H268">
        <v>1334.3948975000001</v>
      </c>
      <c r="I268">
        <v>1326.6142577999999</v>
      </c>
      <c r="J268">
        <v>1324.6309814000001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53.463061000000003</v>
      </c>
      <c r="B269" s="1">
        <f>DATE(2010,6,23) + TIME(11,6,48)</f>
        <v>40352.463055555556</v>
      </c>
      <c r="C269">
        <v>80</v>
      </c>
      <c r="D269">
        <v>79.849044800000001</v>
      </c>
      <c r="E269">
        <v>40</v>
      </c>
      <c r="F269">
        <v>15.062887192</v>
      </c>
      <c r="G269">
        <v>1336.109375</v>
      </c>
      <c r="H269">
        <v>1334.3929443</v>
      </c>
      <c r="I269">
        <v>1326.6160889</v>
      </c>
      <c r="J269">
        <v>1324.6318358999999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53.800021000000001</v>
      </c>
      <c r="B270" s="1">
        <f>DATE(2010,6,23) + TIME(19,12,1)</f>
        <v>40352.800011574072</v>
      </c>
      <c r="C270">
        <v>80</v>
      </c>
      <c r="D270">
        <v>79.849021911999998</v>
      </c>
      <c r="E270">
        <v>40</v>
      </c>
      <c r="F270">
        <v>15.067730903999999</v>
      </c>
      <c r="G270">
        <v>1336.1063231999999</v>
      </c>
      <c r="H270">
        <v>1334.3909911999999</v>
      </c>
      <c r="I270">
        <v>1326.6180420000001</v>
      </c>
      <c r="J270">
        <v>1324.6325684000001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54.136980000000001</v>
      </c>
      <c r="B271" s="1">
        <f>DATE(2010,6,24) + TIME(3,17,15)</f>
        <v>40353.136979166666</v>
      </c>
      <c r="C271">
        <v>80</v>
      </c>
      <c r="D271">
        <v>79.848999023000005</v>
      </c>
      <c r="E271">
        <v>40</v>
      </c>
      <c r="F271">
        <v>15.072862625000001</v>
      </c>
      <c r="G271">
        <v>1336.1033935999999</v>
      </c>
      <c r="H271">
        <v>1334.3890381000001</v>
      </c>
      <c r="I271">
        <v>1326.6198730000001</v>
      </c>
      <c r="J271">
        <v>1324.6334228999999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54.473939000000001</v>
      </c>
      <c r="B272" s="1">
        <f>DATE(2010,6,24) + TIME(11,22,28)</f>
        <v>40353.473935185182</v>
      </c>
      <c r="C272">
        <v>80</v>
      </c>
      <c r="D272">
        <v>79.848983765</v>
      </c>
      <c r="E272">
        <v>40</v>
      </c>
      <c r="F272">
        <v>15.078297615</v>
      </c>
      <c r="G272">
        <v>1336.1004639</v>
      </c>
      <c r="H272">
        <v>1334.387207</v>
      </c>
      <c r="I272">
        <v>1326.6218262</v>
      </c>
      <c r="J272">
        <v>1324.6341553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54.810898999999999</v>
      </c>
      <c r="B273" s="1">
        <f>DATE(2010,6,24) + TIME(19,27,41)</f>
        <v>40353.810891203706</v>
      </c>
      <c r="C273">
        <v>80</v>
      </c>
      <c r="D273">
        <v>79.848968506000006</v>
      </c>
      <c r="E273">
        <v>40</v>
      </c>
      <c r="F273">
        <v>15.084053992999999</v>
      </c>
      <c r="G273">
        <v>1336.0975341999999</v>
      </c>
      <c r="H273">
        <v>1334.3852539</v>
      </c>
      <c r="I273">
        <v>1326.6237793</v>
      </c>
      <c r="J273">
        <v>1324.6350098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55.147857999999999</v>
      </c>
      <c r="B274" s="1">
        <f>DATE(2010,6,25) + TIME(3,32,54)</f>
        <v>40354.147847222222</v>
      </c>
      <c r="C274">
        <v>80</v>
      </c>
      <c r="D274">
        <v>79.848953246999997</v>
      </c>
      <c r="E274">
        <v>40</v>
      </c>
      <c r="F274">
        <v>15.090149879</v>
      </c>
      <c r="G274">
        <v>1336.0947266000001</v>
      </c>
      <c r="H274">
        <v>1334.3834228999999</v>
      </c>
      <c r="I274">
        <v>1326.6257324000001</v>
      </c>
      <c r="J274">
        <v>1324.6358643000001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55.484817999999997</v>
      </c>
      <c r="B275" s="1">
        <f>DATE(2010,6,25) + TIME(11,38,8)</f>
        <v>40354.484814814816</v>
      </c>
      <c r="C275">
        <v>80</v>
      </c>
      <c r="D275">
        <v>79.848945618000002</v>
      </c>
      <c r="E275">
        <v>40</v>
      </c>
      <c r="F275">
        <v>15.096604347</v>
      </c>
      <c r="G275">
        <v>1336.0917969</v>
      </c>
      <c r="H275">
        <v>1334.3815918</v>
      </c>
      <c r="I275">
        <v>1326.6276855000001</v>
      </c>
      <c r="J275">
        <v>1324.6367187999999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55.821776999999997</v>
      </c>
      <c r="B276" s="1">
        <f>DATE(2010,6,25) + TIME(19,43,21)</f>
        <v>40354.821770833332</v>
      </c>
      <c r="C276">
        <v>80</v>
      </c>
      <c r="D276">
        <v>79.848937988000003</v>
      </c>
      <c r="E276">
        <v>40</v>
      </c>
      <c r="F276">
        <v>15.103437423999999</v>
      </c>
      <c r="G276">
        <v>1336.0889893000001</v>
      </c>
      <c r="H276">
        <v>1334.3796387</v>
      </c>
      <c r="I276">
        <v>1326.6296387</v>
      </c>
      <c r="J276">
        <v>1324.6375731999999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56.158737000000002</v>
      </c>
      <c r="B277" s="1">
        <f>DATE(2010,6,26) + TIME(3,48,34)</f>
        <v>40355.158726851849</v>
      </c>
      <c r="C277">
        <v>80</v>
      </c>
      <c r="D277">
        <v>79.848930358999993</v>
      </c>
      <c r="E277">
        <v>40</v>
      </c>
      <c r="F277">
        <v>15.110667229000001</v>
      </c>
      <c r="G277">
        <v>1336.0861815999999</v>
      </c>
      <c r="H277">
        <v>1334.3778076000001</v>
      </c>
      <c r="I277">
        <v>1326.6317139</v>
      </c>
      <c r="J277">
        <v>1324.6384277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56.495696000000002</v>
      </c>
      <c r="B278" s="1">
        <f>DATE(2010,6,26) + TIME(11,53,48)</f>
        <v>40355.495694444442</v>
      </c>
      <c r="C278">
        <v>80</v>
      </c>
      <c r="D278">
        <v>79.848922728999995</v>
      </c>
      <c r="E278">
        <v>40</v>
      </c>
      <c r="F278">
        <v>15.118315697</v>
      </c>
      <c r="G278">
        <v>1336.0832519999999</v>
      </c>
      <c r="H278">
        <v>1334.3759766000001</v>
      </c>
      <c r="I278">
        <v>1326.6336670000001</v>
      </c>
      <c r="J278">
        <v>1324.6392822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56.832655000000003</v>
      </c>
      <c r="B279" s="1">
        <f>DATE(2010,6,26) + TIME(19,59,1)</f>
        <v>40355.832650462966</v>
      </c>
      <c r="C279">
        <v>80</v>
      </c>
      <c r="D279">
        <v>79.848915099999999</v>
      </c>
      <c r="E279">
        <v>40</v>
      </c>
      <c r="F279">
        <v>15.126404762</v>
      </c>
      <c r="G279">
        <v>1336.0804443</v>
      </c>
      <c r="H279">
        <v>1334.3741454999999</v>
      </c>
      <c r="I279">
        <v>1326.6357422000001</v>
      </c>
      <c r="J279">
        <v>1324.6402588000001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57.169615</v>
      </c>
      <c r="B280" s="1">
        <f>DATE(2010,6,27) + TIME(4,4,14)</f>
        <v>40356.169606481482</v>
      </c>
      <c r="C280">
        <v>80</v>
      </c>
      <c r="D280">
        <v>79.848915099999999</v>
      </c>
      <c r="E280">
        <v>40</v>
      </c>
      <c r="F280">
        <v>15.13495636</v>
      </c>
      <c r="G280">
        <v>1336.0777588000001</v>
      </c>
      <c r="H280">
        <v>1334.3723144999999</v>
      </c>
      <c r="I280">
        <v>1326.6378173999999</v>
      </c>
      <c r="J280">
        <v>1324.6411132999999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57.506574000000001</v>
      </c>
      <c r="B281" s="1">
        <f>DATE(2010,6,27) + TIME(12,9,28)</f>
        <v>40356.506574074076</v>
      </c>
      <c r="C281">
        <v>80</v>
      </c>
      <c r="D281">
        <v>79.848907471000004</v>
      </c>
      <c r="E281">
        <v>40</v>
      </c>
      <c r="F281">
        <v>15.143992424</v>
      </c>
      <c r="G281">
        <v>1336.0749512</v>
      </c>
      <c r="H281">
        <v>1334.3706055</v>
      </c>
      <c r="I281">
        <v>1326.6398925999999</v>
      </c>
      <c r="J281">
        <v>1324.6420897999999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58.180492999999998</v>
      </c>
      <c r="B282" s="1">
        <f>DATE(2010,6,28) + TIME(4,19,54)</f>
        <v>40357.180486111109</v>
      </c>
      <c r="C282">
        <v>80</v>
      </c>
      <c r="D282">
        <v>79.848937988000003</v>
      </c>
      <c r="E282">
        <v>40</v>
      </c>
      <c r="F282">
        <v>15.161518097</v>
      </c>
      <c r="G282">
        <v>1336.0722656</v>
      </c>
      <c r="H282">
        <v>1334.3688964999999</v>
      </c>
      <c r="I282">
        <v>1326.6418457</v>
      </c>
      <c r="J282">
        <v>1324.6430664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58.855426000000001</v>
      </c>
      <c r="B283" s="1">
        <f>DATE(2010,6,28) + TIME(20,31,48)</f>
        <v>40357.855416666665</v>
      </c>
      <c r="C283">
        <v>80</v>
      </c>
      <c r="D283">
        <v>79.848953246999997</v>
      </c>
      <c r="E283">
        <v>40</v>
      </c>
      <c r="F283">
        <v>15.181289673</v>
      </c>
      <c r="G283">
        <v>1336.0667725000001</v>
      </c>
      <c r="H283">
        <v>1334.3653564000001</v>
      </c>
      <c r="I283">
        <v>1326.6461182</v>
      </c>
      <c r="J283">
        <v>1324.6450195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59.538379999999997</v>
      </c>
      <c r="B284" s="1">
        <f>DATE(2010,6,29) + TIME(12,55,16)</f>
        <v>40358.53837962963</v>
      </c>
      <c r="C284">
        <v>80</v>
      </c>
      <c r="D284">
        <v>79.848960876000007</v>
      </c>
      <c r="E284">
        <v>40</v>
      </c>
      <c r="F284">
        <v>15.203684807</v>
      </c>
      <c r="G284">
        <v>1336.0614014</v>
      </c>
      <c r="H284">
        <v>1334.3618164</v>
      </c>
      <c r="I284">
        <v>1326.6505127</v>
      </c>
      <c r="J284">
        <v>1324.6469727000001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60.230902999999998</v>
      </c>
      <c r="B285" s="1">
        <f>DATE(2010,6,30) + TIME(5,32,30)</f>
        <v>40359.230902777781</v>
      </c>
      <c r="C285">
        <v>80</v>
      </c>
      <c r="D285">
        <v>79.848968506000006</v>
      </c>
      <c r="E285">
        <v>40</v>
      </c>
      <c r="F285">
        <v>15.229033469999999</v>
      </c>
      <c r="G285">
        <v>1336.0560303</v>
      </c>
      <c r="H285">
        <v>1334.3583983999999</v>
      </c>
      <c r="I285">
        <v>1326.6550293</v>
      </c>
      <c r="J285">
        <v>1324.6490478999999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60.934666</v>
      </c>
      <c r="B286" s="1">
        <f>DATE(2010,6,30) + TIME(22,25,55)</f>
        <v>40359.934664351851</v>
      </c>
      <c r="C286">
        <v>80</v>
      </c>
      <c r="D286">
        <v>79.848976135000001</v>
      </c>
      <c r="E286">
        <v>40</v>
      </c>
      <c r="F286">
        <v>15.257730484</v>
      </c>
      <c r="G286">
        <v>1336.0506591999999</v>
      </c>
      <c r="H286">
        <v>1334.3549805</v>
      </c>
      <c r="I286">
        <v>1326.659668</v>
      </c>
      <c r="J286">
        <v>1324.6512451000001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61</v>
      </c>
      <c r="B287" s="1">
        <f>DATE(2010,7,1) + TIME(0,0,0)</f>
        <v>40360</v>
      </c>
      <c r="C287">
        <v>80</v>
      </c>
      <c r="D287">
        <v>79.848968506000006</v>
      </c>
      <c r="E287">
        <v>40</v>
      </c>
      <c r="F287">
        <v>15.26125145</v>
      </c>
      <c r="G287">
        <v>1336.0452881000001</v>
      </c>
      <c r="H287">
        <v>1334.3514404</v>
      </c>
      <c r="I287">
        <v>1326.6651611</v>
      </c>
      <c r="J287">
        <v>1324.6531981999999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61.716768000000002</v>
      </c>
      <c r="B288" s="1">
        <f>DATE(2010,7,1) + TIME(17,12,8)</f>
        <v>40360.71675925926</v>
      </c>
      <c r="C288">
        <v>80</v>
      </c>
      <c r="D288">
        <v>79.848983765</v>
      </c>
      <c r="E288">
        <v>40</v>
      </c>
      <c r="F288">
        <v>15.294000626000001</v>
      </c>
      <c r="G288">
        <v>1336.0446777</v>
      </c>
      <c r="H288">
        <v>1334.3510742000001</v>
      </c>
      <c r="I288">
        <v>1326.6649170000001</v>
      </c>
      <c r="J288">
        <v>1324.6536865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62.449955000000003</v>
      </c>
      <c r="B289" s="1">
        <f>DATE(2010,7,2) + TIME(10,47,56)</f>
        <v>40361.449953703705</v>
      </c>
      <c r="C289">
        <v>80</v>
      </c>
      <c r="D289">
        <v>79.848991393999995</v>
      </c>
      <c r="E289">
        <v>40</v>
      </c>
      <c r="F289">
        <v>15.331226349</v>
      </c>
      <c r="G289">
        <v>1336.0393065999999</v>
      </c>
      <c r="H289">
        <v>1334.3475341999999</v>
      </c>
      <c r="I289">
        <v>1326.6699219</v>
      </c>
      <c r="J289">
        <v>1324.6561279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63.196480000000001</v>
      </c>
      <c r="B290" s="1">
        <f>DATE(2010,7,3) + TIME(4,42,55)</f>
        <v>40362.196469907409</v>
      </c>
      <c r="C290">
        <v>80</v>
      </c>
      <c r="D290">
        <v>79.849006653000004</v>
      </c>
      <c r="E290">
        <v>40</v>
      </c>
      <c r="F290">
        <v>15.373373985000001</v>
      </c>
      <c r="G290">
        <v>1336.0336914</v>
      </c>
      <c r="H290">
        <v>1334.3439940999999</v>
      </c>
      <c r="I290">
        <v>1326.6751709</v>
      </c>
      <c r="J290">
        <v>1324.6586914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63.953817000000001</v>
      </c>
      <c r="B291" s="1">
        <f>DATE(2010,7,3) + TIME(22,53,29)</f>
        <v>40362.95380787037</v>
      </c>
      <c r="C291">
        <v>80</v>
      </c>
      <c r="D291">
        <v>79.849014281999999</v>
      </c>
      <c r="E291">
        <v>40</v>
      </c>
      <c r="F291">
        <v>15.420919418</v>
      </c>
      <c r="G291">
        <v>1336.0281981999999</v>
      </c>
      <c r="H291">
        <v>1334.3404541</v>
      </c>
      <c r="I291">
        <v>1326.6805420000001</v>
      </c>
      <c r="J291">
        <v>1324.6613769999999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64.336367999999993</v>
      </c>
      <c r="B292" s="1">
        <f>DATE(2010,7,4) + TIME(8,4,22)</f>
        <v>40363.336365740739</v>
      </c>
      <c r="C292">
        <v>80</v>
      </c>
      <c r="D292">
        <v>79.848999023000005</v>
      </c>
      <c r="E292">
        <v>40</v>
      </c>
      <c r="F292">
        <v>15.450343132</v>
      </c>
      <c r="G292">
        <v>1336.0225829999999</v>
      </c>
      <c r="H292">
        <v>1334.3367920000001</v>
      </c>
      <c r="I292">
        <v>1326.6866454999999</v>
      </c>
      <c r="J292">
        <v>1324.6641846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64.718919</v>
      </c>
      <c r="B293" s="1">
        <f>DATE(2010,7,4) + TIME(17,15,14)</f>
        <v>40363.718912037039</v>
      </c>
      <c r="C293">
        <v>80</v>
      </c>
      <c r="D293">
        <v>79.848991393999995</v>
      </c>
      <c r="E293">
        <v>40</v>
      </c>
      <c r="F293">
        <v>15.481129645999999</v>
      </c>
      <c r="G293">
        <v>1336.0197754000001</v>
      </c>
      <c r="H293">
        <v>1334.3349608999999</v>
      </c>
      <c r="I293">
        <v>1326.6895752</v>
      </c>
      <c r="J293">
        <v>1324.6656493999999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65.101468999999994</v>
      </c>
      <c r="B294" s="1">
        <f>DATE(2010,7,5) + TIME(2,26,6)</f>
        <v>40364.101458333331</v>
      </c>
      <c r="C294">
        <v>80</v>
      </c>
      <c r="D294">
        <v>79.848983765</v>
      </c>
      <c r="E294">
        <v>40</v>
      </c>
      <c r="F294">
        <v>15.513358115999999</v>
      </c>
      <c r="G294">
        <v>1336.0169678</v>
      </c>
      <c r="H294">
        <v>1334.3331298999999</v>
      </c>
      <c r="I294">
        <v>1326.6925048999999</v>
      </c>
      <c r="J294">
        <v>1324.6672363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65.484020000000001</v>
      </c>
      <c r="B295" s="1">
        <f>DATE(2010,7,5) + TIME(11,36,59)</f>
        <v>40364.484016203707</v>
      </c>
      <c r="C295">
        <v>80</v>
      </c>
      <c r="D295">
        <v>79.848983765</v>
      </c>
      <c r="E295">
        <v>40</v>
      </c>
      <c r="F295">
        <v>15.547105789</v>
      </c>
      <c r="G295">
        <v>1336.0142822</v>
      </c>
      <c r="H295">
        <v>1334.3314209</v>
      </c>
      <c r="I295">
        <v>1326.6953125</v>
      </c>
      <c r="J295">
        <v>1324.6688231999999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65.866570999999993</v>
      </c>
      <c r="B296" s="1">
        <f>DATE(2010,7,5) + TIME(20,47,51)</f>
        <v>40364.866562499999</v>
      </c>
      <c r="C296">
        <v>80</v>
      </c>
      <c r="D296">
        <v>79.848983765</v>
      </c>
      <c r="E296">
        <v>40</v>
      </c>
      <c r="F296">
        <v>15.582451819999999</v>
      </c>
      <c r="G296">
        <v>1336.0114745999999</v>
      </c>
      <c r="H296">
        <v>1334.3295897999999</v>
      </c>
      <c r="I296">
        <v>1326.6983643000001</v>
      </c>
      <c r="J296">
        <v>1324.6705322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66.249122</v>
      </c>
      <c r="B297" s="1">
        <f>DATE(2010,7,6) + TIME(5,58,44)</f>
        <v>40365.249120370368</v>
      </c>
      <c r="C297">
        <v>80</v>
      </c>
      <c r="D297">
        <v>79.848983765</v>
      </c>
      <c r="E297">
        <v>40</v>
      </c>
      <c r="F297">
        <v>15.619472504000001</v>
      </c>
      <c r="G297">
        <v>1336.0087891000001</v>
      </c>
      <c r="H297">
        <v>1334.3278809000001</v>
      </c>
      <c r="I297">
        <v>1326.7012939000001</v>
      </c>
      <c r="J297">
        <v>1324.6722411999999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66.631673000000006</v>
      </c>
      <c r="B298" s="1">
        <f>DATE(2010,7,6) + TIME(15,9,36)</f>
        <v>40365.631666666668</v>
      </c>
      <c r="C298">
        <v>80</v>
      </c>
      <c r="D298">
        <v>79.848991393999995</v>
      </c>
      <c r="E298">
        <v>40</v>
      </c>
      <c r="F298">
        <v>15.658247948</v>
      </c>
      <c r="G298">
        <v>1336.0061035000001</v>
      </c>
      <c r="H298">
        <v>1334.3260498</v>
      </c>
      <c r="I298">
        <v>1326.7042236</v>
      </c>
      <c r="J298">
        <v>1324.6739502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67.014223999999999</v>
      </c>
      <c r="B299" s="1">
        <f>DATE(2010,7,7) + TIME(0,20,28)</f>
        <v>40366.01421296296</v>
      </c>
      <c r="C299">
        <v>80</v>
      </c>
      <c r="D299">
        <v>79.848999023000005</v>
      </c>
      <c r="E299">
        <v>40</v>
      </c>
      <c r="F299">
        <v>15.698857307000001</v>
      </c>
      <c r="G299">
        <v>1336.003418</v>
      </c>
      <c r="H299">
        <v>1334.3243408000001</v>
      </c>
      <c r="I299">
        <v>1326.7072754000001</v>
      </c>
      <c r="J299">
        <v>1324.6756591999999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67.396775000000005</v>
      </c>
      <c r="B300" s="1">
        <f>DATE(2010,7,7) + TIME(9,31,21)</f>
        <v>40366.396770833337</v>
      </c>
      <c r="C300">
        <v>80</v>
      </c>
      <c r="D300">
        <v>79.849006653000004</v>
      </c>
      <c r="E300">
        <v>40</v>
      </c>
      <c r="F300">
        <v>15.741378784</v>
      </c>
      <c r="G300">
        <v>1336.0007324000001</v>
      </c>
      <c r="H300">
        <v>1334.3226318</v>
      </c>
      <c r="I300">
        <v>1326.7103271000001</v>
      </c>
      <c r="J300">
        <v>1324.6774902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67.779325</v>
      </c>
      <c r="B301" s="1">
        <f>DATE(2010,7,7) + TIME(18,42,13)</f>
        <v>40366.779317129629</v>
      </c>
      <c r="C301">
        <v>80</v>
      </c>
      <c r="D301">
        <v>79.849014281999999</v>
      </c>
      <c r="E301">
        <v>40</v>
      </c>
      <c r="F301">
        <v>15.785891532999999</v>
      </c>
      <c r="G301">
        <v>1335.9980469</v>
      </c>
      <c r="H301">
        <v>1334.3208007999999</v>
      </c>
      <c r="I301">
        <v>1326.7133789</v>
      </c>
      <c r="J301">
        <v>1324.6793213000001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68.161876000000007</v>
      </c>
      <c r="B302" s="1">
        <f>DATE(2010,7,8) + TIME(3,53,6)</f>
        <v>40367.161874999998</v>
      </c>
      <c r="C302">
        <v>80</v>
      </c>
      <c r="D302">
        <v>79.849021911999998</v>
      </c>
      <c r="E302">
        <v>40</v>
      </c>
      <c r="F302">
        <v>15.832476615999999</v>
      </c>
      <c r="G302">
        <v>1335.9953613</v>
      </c>
      <c r="H302">
        <v>1334.3190918</v>
      </c>
      <c r="I302">
        <v>1326.7164307</v>
      </c>
      <c r="J302">
        <v>1324.6811522999999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68.926978000000005</v>
      </c>
      <c r="B303" s="1">
        <f>DATE(2010,7,8) + TIME(22,14,50)</f>
        <v>40367.92696759259</v>
      </c>
      <c r="C303">
        <v>80</v>
      </c>
      <c r="D303">
        <v>79.849082946999999</v>
      </c>
      <c r="E303">
        <v>40</v>
      </c>
      <c r="F303">
        <v>15.920775414</v>
      </c>
      <c r="G303">
        <v>1335.9927978999999</v>
      </c>
      <c r="H303">
        <v>1334.3173827999999</v>
      </c>
      <c r="I303">
        <v>1326.7186279</v>
      </c>
      <c r="J303">
        <v>1324.6833495999999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69.692335999999997</v>
      </c>
      <c r="B304" s="1">
        <f>DATE(2010,7,9) + TIME(16,36,57)</f>
        <v>40368.692326388889</v>
      </c>
      <c r="C304">
        <v>80</v>
      </c>
      <c r="D304">
        <v>79.849128723000007</v>
      </c>
      <c r="E304">
        <v>40</v>
      </c>
      <c r="F304">
        <v>16.018962859999998</v>
      </c>
      <c r="G304">
        <v>1335.9875488</v>
      </c>
      <c r="H304">
        <v>1334.3139647999999</v>
      </c>
      <c r="I304">
        <v>1326.7249756000001</v>
      </c>
      <c r="J304">
        <v>1324.6872559000001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70.465486999999996</v>
      </c>
      <c r="B305" s="1">
        <f>DATE(2010,7,10) + TIME(11,10,18)</f>
        <v>40369.465486111112</v>
      </c>
      <c r="C305">
        <v>80</v>
      </c>
      <c r="D305">
        <v>79.849166870000005</v>
      </c>
      <c r="E305">
        <v>40</v>
      </c>
      <c r="F305">
        <v>16.128349304</v>
      </c>
      <c r="G305">
        <v>1335.9824219</v>
      </c>
      <c r="H305">
        <v>1334.3104248</v>
      </c>
      <c r="I305">
        <v>1326.7312012</v>
      </c>
      <c r="J305">
        <v>1324.6912841999999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71.248278999999997</v>
      </c>
      <c r="B306" s="1">
        <f>DATE(2010,7,11) + TIME(5,57,31)</f>
        <v>40370.24827546296</v>
      </c>
      <c r="C306">
        <v>80</v>
      </c>
      <c r="D306">
        <v>79.849212645999998</v>
      </c>
      <c r="E306">
        <v>40</v>
      </c>
      <c r="F306">
        <v>16.249975203999998</v>
      </c>
      <c r="G306">
        <v>1335.9771728999999</v>
      </c>
      <c r="H306">
        <v>1334.3070068</v>
      </c>
      <c r="I306">
        <v>1326.7376709</v>
      </c>
      <c r="J306">
        <v>1324.6956786999999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72.042696000000007</v>
      </c>
      <c r="B307" s="1">
        <f>DATE(2010,7,12) + TIME(1,1,28)</f>
        <v>40371.042685185188</v>
      </c>
      <c r="C307">
        <v>80</v>
      </c>
      <c r="D307">
        <v>79.849250792999996</v>
      </c>
      <c r="E307">
        <v>40</v>
      </c>
      <c r="F307">
        <v>16.385066985999998</v>
      </c>
      <c r="G307">
        <v>1335.9719238</v>
      </c>
      <c r="H307">
        <v>1334.3034668</v>
      </c>
      <c r="I307">
        <v>1326.7441406</v>
      </c>
      <c r="J307">
        <v>1324.7001952999999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72.850818000000004</v>
      </c>
      <c r="B308" s="1">
        <f>DATE(2010,7,12) + TIME(20,25,10)</f>
        <v>40371.850810185184</v>
      </c>
      <c r="C308">
        <v>80</v>
      </c>
      <c r="D308">
        <v>79.849296570000007</v>
      </c>
      <c r="E308">
        <v>40</v>
      </c>
      <c r="F308">
        <v>16.535049438000001</v>
      </c>
      <c r="G308">
        <v>1335.9666748</v>
      </c>
      <c r="H308">
        <v>1334.2999268000001</v>
      </c>
      <c r="I308">
        <v>1326.7507324000001</v>
      </c>
      <c r="J308">
        <v>1324.7052002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73.671520999999998</v>
      </c>
      <c r="B309" s="1">
        <f>DATE(2010,7,13) + TIME(16,6,59)</f>
        <v>40372.671516203707</v>
      </c>
      <c r="C309">
        <v>80</v>
      </c>
      <c r="D309">
        <v>79.849342346</v>
      </c>
      <c r="E309">
        <v>40</v>
      </c>
      <c r="F309">
        <v>16.701013565</v>
      </c>
      <c r="G309">
        <v>1335.9614257999999</v>
      </c>
      <c r="H309">
        <v>1334.2963867000001</v>
      </c>
      <c r="I309">
        <v>1326.7575684000001</v>
      </c>
      <c r="J309">
        <v>1324.7103271000001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74.496548000000004</v>
      </c>
      <c r="B310" s="1">
        <f>DATE(2010,7,14) + TIME(11,55,1)</f>
        <v>40373.496539351851</v>
      </c>
      <c r="C310">
        <v>80</v>
      </c>
      <c r="D310">
        <v>79.849395752000007</v>
      </c>
      <c r="E310">
        <v>40</v>
      </c>
      <c r="F310">
        <v>16.882810592999999</v>
      </c>
      <c r="G310">
        <v>1335.9560547000001</v>
      </c>
      <c r="H310">
        <v>1334.2927245999999</v>
      </c>
      <c r="I310">
        <v>1326.7645264</v>
      </c>
      <c r="J310">
        <v>1324.7159423999999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75.326367000000005</v>
      </c>
      <c r="B311" s="1">
        <f>DATE(2010,7,15) + TIME(7,49,58)</f>
        <v>40374.326365740744</v>
      </c>
      <c r="C311">
        <v>80</v>
      </c>
      <c r="D311">
        <v>79.849441528</v>
      </c>
      <c r="E311">
        <v>40</v>
      </c>
      <c r="F311">
        <v>17.081424713000001</v>
      </c>
      <c r="G311">
        <v>1335.9508057</v>
      </c>
      <c r="H311">
        <v>1334.2891846</v>
      </c>
      <c r="I311">
        <v>1326.7714844</v>
      </c>
      <c r="J311">
        <v>1324.7218018000001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76.163131000000007</v>
      </c>
      <c r="B312" s="1">
        <f>DATE(2010,7,16) + TIME(3,54,54)</f>
        <v>40375.163124999999</v>
      </c>
      <c r="C312">
        <v>80</v>
      </c>
      <c r="D312">
        <v>79.849494934000006</v>
      </c>
      <c r="E312">
        <v>40</v>
      </c>
      <c r="F312">
        <v>17.298219680999999</v>
      </c>
      <c r="G312">
        <v>1335.9455565999999</v>
      </c>
      <c r="H312">
        <v>1334.2855225000001</v>
      </c>
      <c r="I312">
        <v>1326.7784423999999</v>
      </c>
      <c r="J312">
        <v>1324.7280272999999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77.009063999999995</v>
      </c>
      <c r="B313" s="1">
        <f>DATE(2010,7,17) + TIME(0,13,3)</f>
        <v>40376.009062500001</v>
      </c>
      <c r="C313">
        <v>80</v>
      </c>
      <c r="D313">
        <v>79.849548339999998</v>
      </c>
      <c r="E313">
        <v>40</v>
      </c>
      <c r="F313">
        <v>17.534730911</v>
      </c>
      <c r="G313">
        <v>1335.9403076000001</v>
      </c>
      <c r="H313">
        <v>1334.2818603999999</v>
      </c>
      <c r="I313">
        <v>1326.7854004000001</v>
      </c>
      <c r="J313">
        <v>1324.7346190999999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77.866373999999993</v>
      </c>
      <c r="B314" s="1">
        <f>DATE(2010,7,17) + TIME(20,47,34)</f>
        <v>40376.866365740738</v>
      </c>
      <c r="C314">
        <v>80</v>
      </c>
      <c r="D314">
        <v>79.849609375</v>
      </c>
      <c r="E314">
        <v>40</v>
      </c>
      <c r="F314">
        <v>17.79265213</v>
      </c>
      <c r="G314">
        <v>1335.9349365</v>
      </c>
      <c r="H314">
        <v>1334.2783202999999</v>
      </c>
      <c r="I314">
        <v>1326.7924805</v>
      </c>
      <c r="J314">
        <v>1324.7416992000001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78.729676999999995</v>
      </c>
      <c r="B315" s="1">
        <f>DATE(2010,7,18) + TIME(17,30,44)</f>
        <v>40377.729675925926</v>
      </c>
      <c r="C315">
        <v>80</v>
      </c>
      <c r="D315">
        <v>79.849670410000002</v>
      </c>
      <c r="E315">
        <v>40</v>
      </c>
      <c r="F315">
        <v>18.071912766000001</v>
      </c>
      <c r="G315">
        <v>1335.9296875</v>
      </c>
      <c r="H315">
        <v>1334.2746582</v>
      </c>
      <c r="I315">
        <v>1326.7995605000001</v>
      </c>
      <c r="J315">
        <v>1324.7490233999999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79.593316999999999</v>
      </c>
      <c r="B316" s="1">
        <f>DATE(2010,7,19) + TIME(14,14,22)</f>
        <v>40378.593310185184</v>
      </c>
      <c r="C316">
        <v>80</v>
      </c>
      <c r="D316">
        <v>79.849731445000003</v>
      </c>
      <c r="E316">
        <v>40</v>
      </c>
      <c r="F316">
        <v>18.371826171999999</v>
      </c>
      <c r="G316">
        <v>1335.9244385</v>
      </c>
      <c r="H316">
        <v>1334.2709961</v>
      </c>
      <c r="I316">
        <v>1326.8066406</v>
      </c>
      <c r="J316">
        <v>1324.7568358999999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80.459445000000002</v>
      </c>
      <c r="B317" s="1">
        <f>DATE(2010,7,20) + TIME(11,1,36)</f>
        <v>40379.459444444445</v>
      </c>
      <c r="C317">
        <v>80</v>
      </c>
      <c r="D317">
        <v>79.849800110000004</v>
      </c>
      <c r="E317">
        <v>40</v>
      </c>
      <c r="F317">
        <v>18.693311691000002</v>
      </c>
      <c r="G317">
        <v>1335.9191894999999</v>
      </c>
      <c r="H317">
        <v>1334.2673339999999</v>
      </c>
      <c r="I317">
        <v>1326.8135986</v>
      </c>
      <c r="J317">
        <v>1324.7651367000001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81.330138000000005</v>
      </c>
      <c r="B318" s="1">
        <f>DATE(2010,7,21) + TIME(7,55,23)</f>
        <v>40380.330127314817</v>
      </c>
      <c r="C318">
        <v>80</v>
      </c>
      <c r="D318">
        <v>79.849861145000006</v>
      </c>
      <c r="E318">
        <v>40</v>
      </c>
      <c r="F318">
        <v>19.037294387999999</v>
      </c>
      <c r="G318">
        <v>1335.9140625</v>
      </c>
      <c r="H318">
        <v>1334.2637939000001</v>
      </c>
      <c r="I318">
        <v>1326.8205565999999</v>
      </c>
      <c r="J318">
        <v>1324.7736815999999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82.207746</v>
      </c>
      <c r="B319" s="1">
        <f>DATE(2010,7,22) + TIME(4,59,9)</f>
        <v>40381.207743055558</v>
      </c>
      <c r="C319">
        <v>80</v>
      </c>
      <c r="D319">
        <v>79.849937439000001</v>
      </c>
      <c r="E319">
        <v>40</v>
      </c>
      <c r="F319">
        <v>19.4049263</v>
      </c>
      <c r="G319">
        <v>1335.9088135</v>
      </c>
      <c r="H319">
        <v>1334.2601318</v>
      </c>
      <c r="I319">
        <v>1326.8273925999999</v>
      </c>
      <c r="J319">
        <v>1324.7828368999999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83.089393000000001</v>
      </c>
      <c r="B320" s="1">
        <f>DATE(2010,7,23) + TIME(2,8,43)</f>
        <v>40382.089386574073</v>
      </c>
      <c r="C320">
        <v>80</v>
      </c>
      <c r="D320">
        <v>79.850006104000002</v>
      </c>
      <c r="E320">
        <v>40</v>
      </c>
      <c r="F320">
        <v>19.795646667</v>
      </c>
      <c r="G320">
        <v>1335.9036865</v>
      </c>
      <c r="H320">
        <v>1334.2565918</v>
      </c>
      <c r="I320">
        <v>1326.8342285000001</v>
      </c>
      <c r="J320">
        <v>1324.7922363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83.974200999999994</v>
      </c>
      <c r="B321" s="1">
        <f>DATE(2010,7,23) + TIME(23,22,50)</f>
        <v>40382.974189814813</v>
      </c>
      <c r="C321">
        <v>80</v>
      </c>
      <c r="D321">
        <v>79.850082396999994</v>
      </c>
      <c r="E321">
        <v>40</v>
      </c>
      <c r="F321">
        <v>20.209365845000001</v>
      </c>
      <c r="G321">
        <v>1335.8985596</v>
      </c>
      <c r="H321">
        <v>1334.2530518000001</v>
      </c>
      <c r="I321">
        <v>1326.8409423999999</v>
      </c>
      <c r="J321">
        <v>1324.8022461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84.864797999999993</v>
      </c>
      <c r="B322" s="1">
        <f>DATE(2010,7,24) + TIME(20,45,18)</f>
        <v>40383.864791666667</v>
      </c>
      <c r="C322">
        <v>80</v>
      </c>
      <c r="D322">
        <v>79.850151061999995</v>
      </c>
      <c r="E322">
        <v>40</v>
      </c>
      <c r="F322">
        <v>20.646860123</v>
      </c>
      <c r="G322">
        <v>1335.8935547000001</v>
      </c>
      <c r="H322">
        <v>1334.2495117000001</v>
      </c>
      <c r="I322">
        <v>1326.8475341999999</v>
      </c>
      <c r="J322">
        <v>1324.8126221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85.7637</v>
      </c>
      <c r="B323" s="1">
        <f>DATE(2010,7,25) + TIME(18,19,43)</f>
        <v>40384.763692129629</v>
      </c>
      <c r="C323">
        <v>80</v>
      </c>
      <c r="D323">
        <v>79.850234985</v>
      </c>
      <c r="E323">
        <v>40</v>
      </c>
      <c r="F323">
        <v>21.108655930000001</v>
      </c>
      <c r="G323">
        <v>1335.8884277</v>
      </c>
      <c r="H323">
        <v>1334.2458495999999</v>
      </c>
      <c r="I323">
        <v>1326.8540039</v>
      </c>
      <c r="J323">
        <v>1324.8234863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86.673564999999996</v>
      </c>
      <c r="B324" s="1">
        <f>DATE(2010,7,26) + TIME(16,9,56)</f>
        <v>40385.673564814817</v>
      </c>
      <c r="C324">
        <v>80</v>
      </c>
      <c r="D324">
        <v>79.850311278999996</v>
      </c>
      <c r="E324">
        <v>40</v>
      </c>
      <c r="F324">
        <v>21.595520019999999</v>
      </c>
      <c r="G324">
        <v>1335.8834228999999</v>
      </c>
      <c r="H324">
        <v>1334.2423096</v>
      </c>
      <c r="I324">
        <v>1326.8604736</v>
      </c>
      <c r="J324">
        <v>1324.8348389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87.597271000000006</v>
      </c>
      <c r="B325" s="1">
        <f>DATE(2010,7,27) + TIME(14,20,4)</f>
        <v>40386.597268518519</v>
      </c>
      <c r="C325">
        <v>80</v>
      </c>
      <c r="D325">
        <v>79.850402832</v>
      </c>
      <c r="E325">
        <v>40</v>
      </c>
      <c r="F325">
        <v>22.108345031999999</v>
      </c>
      <c r="G325">
        <v>1335.8782959</v>
      </c>
      <c r="H325">
        <v>1334.2387695</v>
      </c>
      <c r="I325">
        <v>1326.8668213000001</v>
      </c>
      <c r="J325">
        <v>1324.8466797000001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88.537679999999995</v>
      </c>
      <c r="B326" s="1">
        <f>DATE(2010,7,28) + TIME(12,54,15)</f>
        <v>40387.537673611114</v>
      </c>
      <c r="C326">
        <v>80</v>
      </c>
      <c r="D326">
        <v>79.850486755000006</v>
      </c>
      <c r="E326">
        <v>40</v>
      </c>
      <c r="F326">
        <v>22.648015976</v>
      </c>
      <c r="G326">
        <v>1335.8732910000001</v>
      </c>
      <c r="H326">
        <v>1334.2352295000001</v>
      </c>
      <c r="I326">
        <v>1326.8732910000001</v>
      </c>
      <c r="J326">
        <v>1324.8591309000001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89.497805</v>
      </c>
      <c r="B327" s="1">
        <f>DATE(2010,7,29) + TIME(11,56,50)</f>
        <v>40388.497800925928</v>
      </c>
      <c r="C327">
        <v>80</v>
      </c>
      <c r="D327">
        <v>79.850585937999995</v>
      </c>
      <c r="E327">
        <v>40</v>
      </c>
      <c r="F327">
        <v>23.215423584</v>
      </c>
      <c r="G327">
        <v>1335.8681641000001</v>
      </c>
      <c r="H327">
        <v>1334.2315673999999</v>
      </c>
      <c r="I327">
        <v>1326.8796387</v>
      </c>
      <c r="J327">
        <v>1324.8720702999999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89.987660000000005</v>
      </c>
      <c r="B328" s="1">
        <f>DATE(2010,7,29) + TIME(23,42,13)</f>
        <v>40388.987650462965</v>
      </c>
      <c r="C328">
        <v>80</v>
      </c>
      <c r="D328">
        <v>79.850608825999998</v>
      </c>
      <c r="E328">
        <v>40</v>
      </c>
      <c r="F328">
        <v>23.557893752999998</v>
      </c>
      <c r="G328">
        <v>1335.8630370999999</v>
      </c>
      <c r="H328">
        <v>1334.2279053</v>
      </c>
      <c r="I328">
        <v>1326.8909911999999</v>
      </c>
      <c r="J328">
        <v>1324.8839111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90.477515999999994</v>
      </c>
      <c r="B329" s="1">
        <f>DATE(2010,7,30) + TIME(11,27,37)</f>
        <v>40389.477511574078</v>
      </c>
      <c r="C329">
        <v>80</v>
      </c>
      <c r="D329">
        <v>79.850646972999996</v>
      </c>
      <c r="E329">
        <v>40</v>
      </c>
      <c r="F329">
        <v>23.898525238000001</v>
      </c>
      <c r="G329">
        <v>1335.8604736</v>
      </c>
      <c r="H329">
        <v>1334.2260742000001</v>
      </c>
      <c r="I329">
        <v>1326.8937988</v>
      </c>
      <c r="J329">
        <v>1324.8914795000001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90.966646999999995</v>
      </c>
      <c r="B330" s="1">
        <f>DATE(2010,7,30) + TIME(23,11,58)</f>
        <v>40389.966643518521</v>
      </c>
      <c r="C330">
        <v>80</v>
      </c>
      <c r="D330">
        <v>79.850685119999994</v>
      </c>
      <c r="E330">
        <v>40</v>
      </c>
      <c r="F330">
        <v>24.237390518000002</v>
      </c>
      <c r="G330">
        <v>1335.8579102000001</v>
      </c>
      <c r="H330">
        <v>1334.2242432</v>
      </c>
      <c r="I330">
        <v>1326.8967285000001</v>
      </c>
      <c r="J330">
        <v>1324.8991699000001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91.455361999999994</v>
      </c>
      <c r="B331" s="1">
        <f>DATE(2010,7,31) + TIME(10,55,43)</f>
        <v>40390.455358796295</v>
      </c>
      <c r="C331">
        <v>80</v>
      </c>
      <c r="D331">
        <v>79.850730896000002</v>
      </c>
      <c r="E331">
        <v>40</v>
      </c>
      <c r="F331">
        <v>24.575044632000001</v>
      </c>
      <c r="G331">
        <v>1335.8553466999999</v>
      </c>
      <c r="H331">
        <v>1334.2224120999999</v>
      </c>
      <c r="I331">
        <v>1326.8996582</v>
      </c>
      <c r="J331">
        <v>1324.9068603999999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92</v>
      </c>
      <c r="B332" s="1">
        <f>DATE(2010,8,1) + TIME(0,0,0)</f>
        <v>40391</v>
      </c>
      <c r="C332">
        <v>80</v>
      </c>
      <c r="D332">
        <v>79.850784301999994</v>
      </c>
      <c r="E332">
        <v>40</v>
      </c>
      <c r="F332">
        <v>24.944036484000002</v>
      </c>
      <c r="G332">
        <v>1335.8527832</v>
      </c>
      <c r="H332">
        <v>1334.2205810999999</v>
      </c>
      <c r="I332">
        <v>1326.9019774999999</v>
      </c>
      <c r="J332">
        <v>1324.9147949000001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92.977305000000001</v>
      </c>
      <c r="B333" s="1">
        <f>DATE(2010,8,1) + TIME(23,27,19)</f>
        <v>40391.977303240739</v>
      </c>
      <c r="C333">
        <v>80</v>
      </c>
      <c r="D333">
        <v>79.850906371999997</v>
      </c>
      <c r="E333">
        <v>40</v>
      </c>
      <c r="F333">
        <v>25.528350830000001</v>
      </c>
      <c r="G333">
        <v>1335.8498535000001</v>
      </c>
      <c r="H333">
        <v>1334.2185059000001</v>
      </c>
      <c r="I333">
        <v>1326.9014893000001</v>
      </c>
      <c r="J333">
        <v>1324.9249268000001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93.954892000000001</v>
      </c>
      <c r="B334" s="1">
        <f>DATE(2010,8,2) + TIME(22,55,2)</f>
        <v>40392.954884259256</v>
      </c>
      <c r="C334">
        <v>80</v>
      </c>
      <c r="D334">
        <v>79.851028442</v>
      </c>
      <c r="E334">
        <v>40</v>
      </c>
      <c r="F334">
        <v>26.135448455999999</v>
      </c>
      <c r="G334">
        <v>1335.8449707</v>
      </c>
      <c r="H334">
        <v>1334.2149658000001</v>
      </c>
      <c r="I334">
        <v>1326.9085693</v>
      </c>
      <c r="J334">
        <v>1324.9394531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94.938754000000003</v>
      </c>
      <c r="B335" s="1">
        <f>DATE(2010,8,3) + TIME(22,31,48)</f>
        <v>40393.938750000001</v>
      </c>
      <c r="C335">
        <v>80</v>
      </c>
      <c r="D335">
        <v>79.851142882999994</v>
      </c>
      <c r="E335">
        <v>40</v>
      </c>
      <c r="F335">
        <v>26.762228012000001</v>
      </c>
      <c r="G335">
        <v>1335.8399658000001</v>
      </c>
      <c r="H335">
        <v>1334.2114257999999</v>
      </c>
      <c r="I335">
        <v>1326.9155272999999</v>
      </c>
      <c r="J335">
        <v>1324.9543457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95.930181000000005</v>
      </c>
      <c r="B336" s="1">
        <f>DATE(2010,8,4) + TIME(22,19,27)</f>
        <v>40394.930173611108</v>
      </c>
      <c r="C336">
        <v>80</v>
      </c>
      <c r="D336">
        <v>79.851249695000007</v>
      </c>
      <c r="E336">
        <v>40</v>
      </c>
      <c r="F336">
        <v>27.404832840000001</v>
      </c>
      <c r="G336">
        <v>1335.8350829999999</v>
      </c>
      <c r="H336">
        <v>1334.2080077999999</v>
      </c>
      <c r="I336">
        <v>1326.9224853999999</v>
      </c>
      <c r="J336">
        <v>1324.9696045000001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96.931101999999996</v>
      </c>
      <c r="B337" s="1">
        <f>DATE(2010,8,5) + TIME(22,20,47)</f>
        <v>40395.93109953704</v>
      </c>
      <c r="C337">
        <v>80</v>
      </c>
      <c r="D337">
        <v>79.851364136000001</v>
      </c>
      <c r="E337">
        <v>40</v>
      </c>
      <c r="F337">
        <v>28.060306549</v>
      </c>
      <c r="G337">
        <v>1335.8303223</v>
      </c>
      <c r="H337">
        <v>1334.2044678</v>
      </c>
      <c r="I337">
        <v>1326.9294434000001</v>
      </c>
      <c r="J337">
        <v>1324.9853516000001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97.944522000000006</v>
      </c>
      <c r="B338" s="1">
        <f>DATE(2010,8,6) + TIME(22,40,6)</f>
        <v>40396.944513888891</v>
      </c>
      <c r="C338">
        <v>80</v>
      </c>
      <c r="D338">
        <v>79.851478576999995</v>
      </c>
      <c r="E338">
        <v>40</v>
      </c>
      <c r="F338">
        <v>28.726655959999999</v>
      </c>
      <c r="G338">
        <v>1335.8255615</v>
      </c>
      <c r="H338">
        <v>1334.2010498</v>
      </c>
      <c r="I338">
        <v>1326.9365233999999</v>
      </c>
      <c r="J338">
        <v>1325.0014647999999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98.973331000000002</v>
      </c>
      <c r="B339" s="1">
        <f>DATE(2010,8,7) + TIME(23,21,35)</f>
        <v>40397.973321759258</v>
      </c>
      <c r="C339">
        <v>80</v>
      </c>
      <c r="D339">
        <v>79.851600646999998</v>
      </c>
      <c r="E339">
        <v>40</v>
      </c>
      <c r="F339">
        <v>29.402349472000001</v>
      </c>
      <c r="G339">
        <v>1335.8206786999999</v>
      </c>
      <c r="H339">
        <v>1334.1977539</v>
      </c>
      <c r="I339">
        <v>1326.9437256000001</v>
      </c>
      <c r="J339">
        <v>1325.0180664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100.02058</v>
      </c>
      <c r="B340" s="1">
        <f>DATE(2010,8,9) + TIME(0,29,38)</f>
        <v>40399.020578703705</v>
      </c>
      <c r="C340">
        <v>80</v>
      </c>
      <c r="D340">
        <v>79.851722717000001</v>
      </c>
      <c r="E340">
        <v>40</v>
      </c>
      <c r="F340">
        <v>30.086122512999999</v>
      </c>
      <c r="G340">
        <v>1335.815918</v>
      </c>
      <c r="H340">
        <v>1334.1943358999999</v>
      </c>
      <c r="I340">
        <v>1326.9510498</v>
      </c>
      <c r="J340">
        <v>1325.0349120999999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101.08958199999999</v>
      </c>
      <c r="B341" s="1">
        <f>DATE(2010,8,10) + TIME(2,8,59)</f>
        <v>40400.089571759258</v>
      </c>
      <c r="C341">
        <v>80</v>
      </c>
      <c r="D341">
        <v>79.851844787999994</v>
      </c>
      <c r="E341">
        <v>40</v>
      </c>
      <c r="F341">
        <v>30.777164459000002</v>
      </c>
      <c r="G341">
        <v>1335.8111572</v>
      </c>
      <c r="H341">
        <v>1334.190918</v>
      </c>
      <c r="I341">
        <v>1326.9586182</v>
      </c>
      <c r="J341">
        <v>1325.0522461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102.183898</v>
      </c>
      <c r="B342" s="1">
        <f>DATE(2010,8,11) + TIME(4,24,48)</f>
        <v>40401.183888888889</v>
      </c>
      <c r="C342">
        <v>80</v>
      </c>
      <c r="D342">
        <v>79.851974487000007</v>
      </c>
      <c r="E342">
        <v>40</v>
      </c>
      <c r="F342">
        <v>31.474184036</v>
      </c>
      <c r="G342">
        <v>1335.8063964999999</v>
      </c>
      <c r="H342">
        <v>1334.1875</v>
      </c>
      <c r="I342">
        <v>1326.9664307</v>
      </c>
      <c r="J342">
        <v>1325.0700684000001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102.743876</v>
      </c>
      <c r="B343" s="1">
        <f>DATE(2010,8,11) + TIME(17,51,10)</f>
        <v>40401.74386574074</v>
      </c>
      <c r="C343">
        <v>80</v>
      </c>
      <c r="D343">
        <v>79.852020264000004</v>
      </c>
      <c r="E343">
        <v>40</v>
      </c>
      <c r="F343">
        <v>31.890989304000001</v>
      </c>
      <c r="G343">
        <v>1335.8016356999999</v>
      </c>
      <c r="H343">
        <v>1334.1842041</v>
      </c>
      <c r="I343">
        <v>1326.9792480000001</v>
      </c>
      <c r="J343">
        <v>1325.0861815999999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103.303855</v>
      </c>
      <c r="B344" s="1">
        <f>DATE(2010,8,12) + TIME(7,17,33)</f>
        <v>40402.303854166668</v>
      </c>
      <c r="C344">
        <v>80</v>
      </c>
      <c r="D344">
        <v>79.852073669000006</v>
      </c>
      <c r="E344">
        <v>40</v>
      </c>
      <c r="F344">
        <v>32.292411803999997</v>
      </c>
      <c r="G344">
        <v>1335.7993164</v>
      </c>
      <c r="H344">
        <v>1334.1824951000001</v>
      </c>
      <c r="I344">
        <v>1326.9830322</v>
      </c>
      <c r="J344">
        <v>1325.0964355000001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103.863833</v>
      </c>
      <c r="B345" s="1">
        <f>DATE(2010,8,12) + TIME(20,43,55)</f>
        <v>40402.86383101852</v>
      </c>
      <c r="C345">
        <v>80</v>
      </c>
      <c r="D345">
        <v>79.852134704999997</v>
      </c>
      <c r="E345">
        <v>40</v>
      </c>
      <c r="F345">
        <v>32.680431366000001</v>
      </c>
      <c r="G345">
        <v>1335.796875</v>
      </c>
      <c r="H345">
        <v>1334.1807861</v>
      </c>
      <c r="I345">
        <v>1326.9869385</v>
      </c>
      <c r="J345">
        <v>1325.1065673999999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104.423811</v>
      </c>
      <c r="B346" s="1">
        <f>DATE(2010,8,13) + TIME(10,10,17)</f>
        <v>40403.423807870371</v>
      </c>
      <c r="C346">
        <v>80</v>
      </c>
      <c r="D346">
        <v>79.852195739999999</v>
      </c>
      <c r="E346">
        <v>40</v>
      </c>
      <c r="F346">
        <v>33.056690216</v>
      </c>
      <c r="G346">
        <v>1335.7944336</v>
      </c>
      <c r="H346">
        <v>1334.1790771000001</v>
      </c>
      <c r="I346">
        <v>1326.9910889</v>
      </c>
      <c r="J346">
        <v>1325.1166992000001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104.98379</v>
      </c>
      <c r="B347" s="1">
        <f>DATE(2010,8,13) + TIME(23,36,39)</f>
        <v>40403.983784722222</v>
      </c>
      <c r="C347">
        <v>80</v>
      </c>
      <c r="D347">
        <v>79.852256775000001</v>
      </c>
      <c r="E347">
        <v>40</v>
      </c>
      <c r="F347">
        <v>33.422557830999999</v>
      </c>
      <c r="G347">
        <v>1335.7921143000001</v>
      </c>
      <c r="H347">
        <v>1334.1773682</v>
      </c>
      <c r="I347">
        <v>1326.9952393000001</v>
      </c>
      <c r="J347">
        <v>1325.1265868999999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105.543768</v>
      </c>
      <c r="B348" s="1">
        <f>DATE(2010,8,14) + TIME(13,3,1)</f>
        <v>40404.543761574074</v>
      </c>
      <c r="C348">
        <v>80</v>
      </c>
      <c r="D348">
        <v>79.852325438999998</v>
      </c>
      <c r="E348">
        <v>40</v>
      </c>
      <c r="F348">
        <v>33.779159546000002</v>
      </c>
      <c r="G348">
        <v>1335.7897949000001</v>
      </c>
      <c r="H348">
        <v>1334.1757812000001</v>
      </c>
      <c r="I348">
        <v>1326.9996338000001</v>
      </c>
      <c r="J348">
        <v>1325.1364745999999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106.103746</v>
      </c>
      <c r="B349" s="1">
        <f>DATE(2010,8,15) + TIME(2,29,23)</f>
        <v>40405.103738425925</v>
      </c>
      <c r="C349">
        <v>80</v>
      </c>
      <c r="D349">
        <v>79.852394103999998</v>
      </c>
      <c r="E349">
        <v>40</v>
      </c>
      <c r="F349">
        <v>34.127456664999997</v>
      </c>
      <c r="G349">
        <v>1335.7874756000001</v>
      </c>
      <c r="H349">
        <v>1334.1740723</v>
      </c>
      <c r="I349">
        <v>1327.0040283000001</v>
      </c>
      <c r="J349">
        <v>1325.1463623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106.663725</v>
      </c>
      <c r="B350" s="1">
        <f>DATE(2010,8,15) + TIME(15,55,45)</f>
        <v>40405.663715277777</v>
      </c>
      <c r="C350">
        <v>80</v>
      </c>
      <c r="D350">
        <v>79.852462768999999</v>
      </c>
      <c r="E350">
        <v>40</v>
      </c>
      <c r="F350">
        <v>34.468250275000003</v>
      </c>
      <c r="G350">
        <v>1335.7852783000001</v>
      </c>
      <c r="H350">
        <v>1334.1724853999999</v>
      </c>
      <c r="I350">
        <v>1327.0085449000001</v>
      </c>
      <c r="J350">
        <v>1325.1561279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107.223703</v>
      </c>
      <c r="B351" s="1">
        <f>DATE(2010,8,16) + TIME(5,22,7)</f>
        <v>40406.223692129628</v>
      </c>
      <c r="C351">
        <v>80</v>
      </c>
      <c r="D351">
        <v>79.852531432999996</v>
      </c>
      <c r="E351">
        <v>40</v>
      </c>
      <c r="F351">
        <v>34.801937103</v>
      </c>
      <c r="G351">
        <v>1335.7829589999999</v>
      </c>
      <c r="H351">
        <v>1334.1708983999999</v>
      </c>
      <c r="I351">
        <v>1327.0131836</v>
      </c>
      <c r="J351">
        <v>1325.1658935999999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107.783682</v>
      </c>
      <c r="B352" s="1">
        <f>DATE(2010,8,16) + TIME(18,48,30)</f>
        <v>40406.783680555556</v>
      </c>
      <c r="C352">
        <v>80</v>
      </c>
      <c r="D352">
        <v>79.852600097999996</v>
      </c>
      <c r="E352">
        <v>40</v>
      </c>
      <c r="F352">
        <v>35.129138947000001</v>
      </c>
      <c r="G352">
        <v>1335.7807617000001</v>
      </c>
      <c r="H352">
        <v>1334.1693115</v>
      </c>
      <c r="I352">
        <v>1327.0178223</v>
      </c>
      <c r="J352">
        <v>1325.1755370999999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108.34366</v>
      </c>
      <c r="B353" s="1">
        <f>DATE(2010,8,17) + TIME(8,14,52)</f>
        <v>40407.343657407408</v>
      </c>
      <c r="C353">
        <v>80</v>
      </c>
      <c r="D353">
        <v>79.852668761999993</v>
      </c>
      <c r="E353">
        <v>40</v>
      </c>
      <c r="F353">
        <v>35.450378418</v>
      </c>
      <c r="G353">
        <v>1335.7785644999999</v>
      </c>
      <c r="H353">
        <v>1334.1678466999999</v>
      </c>
      <c r="I353">
        <v>1327.0225829999999</v>
      </c>
      <c r="J353">
        <v>1325.1851807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108.903638</v>
      </c>
      <c r="B354" s="1">
        <f>DATE(2010,8,17) + TIME(21,41,14)</f>
        <v>40407.903634259259</v>
      </c>
      <c r="C354">
        <v>80</v>
      </c>
      <c r="D354">
        <v>79.852737426999994</v>
      </c>
      <c r="E354">
        <v>40</v>
      </c>
      <c r="F354">
        <v>35.766124724999997</v>
      </c>
      <c r="G354">
        <v>1335.7763672000001</v>
      </c>
      <c r="H354">
        <v>1334.1662598</v>
      </c>
      <c r="I354">
        <v>1327.0273437999999</v>
      </c>
      <c r="J354">
        <v>1325.1949463000001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109.463617</v>
      </c>
      <c r="B355" s="1">
        <f>DATE(2010,8,18) + TIME(11,7,36)</f>
        <v>40408.46361111111</v>
      </c>
      <c r="C355">
        <v>80</v>
      </c>
      <c r="D355">
        <v>79.852806091000005</v>
      </c>
      <c r="E355">
        <v>40</v>
      </c>
      <c r="F355">
        <v>36.076763153000002</v>
      </c>
      <c r="G355">
        <v>1335.7741699000001</v>
      </c>
      <c r="H355">
        <v>1334.1647949000001</v>
      </c>
      <c r="I355">
        <v>1327.0322266000001</v>
      </c>
      <c r="J355">
        <v>1325.2045897999999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110.023595</v>
      </c>
      <c r="B356" s="1">
        <f>DATE(2010,8,19) + TIME(0,33,58)</f>
        <v>40409.023587962962</v>
      </c>
      <c r="C356">
        <v>80</v>
      </c>
      <c r="D356">
        <v>79.852882385000001</v>
      </c>
      <c r="E356">
        <v>40</v>
      </c>
      <c r="F356">
        <v>36.382610321000001</v>
      </c>
      <c r="G356">
        <v>1335.7720947</v>
      </c>
      <c r="H356">
        <v>1334.1632079999999</v>
      </c>
      <c r="I356">
        <v>1327.0372314000001</v>
      </c>
      <c r="J356">
        <v>1325.2142334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110.583574</v>
      </c>
      <c r="B357" s="1">
        <f>DATE(2010,8,19) + TIME(14,0,20)</f>
        <v>40409.583564814813</v>
      </c>
      <c r="C357">
        <v>80</v>
      </c>
      <c r="D357">
        <v>79.852951050000001</v>
      </c>
      <c r="E357">
        <v>40</v>
      </c>
      <c r="F357">
        <v>36.683944701999998</v>
      </c>
      <c r="G357">
        <v>1335.7698975000001</v>
      </c>
      <c r="H357">
        <v>1334.1617432</v>
      </c>
      <c r="I357">
        <v>1327.0421143000001</v>
      </c>
      <c r="J357">
        <v>1325.2237548999999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111.70353</v>
      </c>
      <c r="B358" s="1">
        <f>DATE(2010,8,20) + TIME(16,53,5)</f>
        <v>40410.703530092593</v>
      </c>
      <c r="C358">
        <v>80</v>
      </c>
      <c r="D358">
        <v>79.853126525999997</v>
      </c>
      <c r="E358">
        <v>40</v>
      </c>
      <c r="F358">
        <v>37.177848816000001</v>
      </c>
      <c r="G358">
        <v>1335.7677002</v>
      </c>
      <c r="H358">
        <v>1334.1601562000001</v>
      </c>
      <c r="I358">
        <v>1327.0443115</v>
      </c>
      <c r="J358">
        <v>1325.2352295000001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112.823824</v>
      </c>
      <c r="B359" s="1">
        <f>DATE(2010,8,21) + TIME(19,46,18)</f>
        <v>40411.823819444442</v>
      </c>
      <c r="C359">
        <v>80</v>
      </c>
      <c r="D359">
        <v>79.853279114000003</v>
      </c>
      <c r="E359">
        <v>40</v>
      </c>
      <c r="F359">
        <v>37.691665649000001</v>
      </c>
      <c r="G359">
        <v>1335.7636719</v>
      </c>
      <c r="H359">
        <v>1334.1573486</v>
      </c>
      <c r="I359">
        <v>1327.0549315999999</v>
      </c>
      <c r="J359">
        <v>1325.2526855000001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113.962045</v>
      </c>
      <c r="B360" s="1">
        <f>DATE(2010,8,22) + TIME(23,5,20)</f>
        <v>40412.962037037039</v>
      </c>
      <c r="C360">
        <v>80</v>
      </c>
      <c r="D360">
        <v>79.853439331000004</v>
      </c>
      <c r="E360">
        <v>40</v>
      </c>
      <c r="F360">
        <v>38.220077515</v>
      </c>
      <c r="G360">
        <v>1335.7595214999999</v>
      </c>
      <c r="H360">
        <v>1334.1545410000001</v>
      </c>
      <c r="I360">
        <v>1327.0654297000001</v>
      </c>
      <c r="J360">
        <v>1325.2706298999999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115.12255500000001</v>
      </c>
      <c r="B361" s="1">
        <f>DATE(2010,8,24) + TIME(2,56,28)</f>
        <v>40414.122546296298</v>
      </c>
      <c r="C361">
        <v>80</v>
      </c>
      <c r="D361">
        <v>79.853591918999996</v>
      </c>
      <c r="E361">
        <v>40</v>
      </c>
      <c r="F361">
        <v>38.758338928000001</v>
      </c>
      <c r="G361">
        <v>1335.7554932</v>
      </c>
      <c r="H361">
        <v>1334.1517334</v>
      </c>
      <c r="I361">
        <v>1327.0760498</v>
      </c>
      <c r="J361">
        <v>1325.2893065999999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116.308836</v>
      </c>
      <c r="B362" s="1">
        <f>DATE(2010,8,25) + TIME(7,24,43)</f>
        <v>40415.308831018519</v>
      </c>
      <c r="C362">
        <v>80</v>
      </c>
      <c r="D362">
        <v>79.853752135999997</v>
      </c>
      <c r="E362">
        <v>40</v>
      </c>
      <c r="F362">
        <v>39.303436279000003</v>
      </c>
      <c r="G362">
        <v>1335.7514647999999</v>
      </c>
      <c r="H362">
        <v>1334.1489257999999</v>
      </c>
      <c r="I362">
        <v>1327.0869141000001</v>
      </c>
      <c r="J362">
        <v>1325.3083495999999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117.5247</v>
      </c>
      <c r="B363" s="1">
        <f>DATE(2010,8,26) + TIME(12,35,34)</f>
        <v>40416.524699074071</v>
      </c>
      <c r="C363">
        <v>80</v>
      </c>
      <c r="D363">
        <v>79.853912354000002</v>
      </c>
      <c r="E363">
        <v>40</v>
      </c>
      <c r="F363">
        <v>39.853664397999999</v>
      </c>
      <c r="G363">
        <v>1335.7474365</v>
      </c>
      <c r="H363">
        <v>1334.1461182</v>
      </c>
      <c r="I363">
        <v>1327.0981445</v>
      </c>
      <c r="J363">
        <v>1325.328125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118.774412</v>
      </c>
      <c r="B364" s="1">
        <f>DATE(2010,8,27) + TIME(18,35,9)</f>
        <v>40417.774409722224</v>
      </c>
      <c r="C364">
        <v>80</v>
      </c>
      <c r="D364">
        <v>79.854080199999999</v>
      </c>
      <c r="E364">
        <v>40</v>
      </c>
      <c r="F364">
        <v>40.408340453999998</v>
      </c>
      <c r="G364">
        <v>1335.7434082</v>
      </c>
      <c r="H364">
        <v>1334.1434326000001</v>
      </c>
      <c r="I364">
        <v>1327.1096190999999</v>
      </c>
      <c r="J364">
        <v>1325.3482666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120.062682</v>
      </c>
      <c r="B365" s="1">
        <f>DATE(2010,8,29) + TIME(1,30,15)</f>
        <v>40419.062673611108</v>
      </c>
      <c r="C365">
        <v>80</v>
      </c>
      <c r="D365">
        <v>79.854255675999994</v>
      </c>
      <c r="E365">
        <v>40</v>
      </c>
      <c r="F365">
        <v>40.967243195000002</v>
      </c>
      <c r="G365">
        <v>1335.7392577999999</v>
      </c>
      <c r="H365">
        <v>1334.140625</v>
      </c>
      <c r="I365">
        <v>1327.1213379000001</v>
      </c>
      <c r="J365">
        <v>1325.3690185999999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120.7111</v>
      </c>
      <c r="B366" s="1">
        <f>DATE(2010,8,29) + TIME(17,3,59)</f>
        <v>40419.711099537039</v>
      </c>
      <c r="C366">
        <v>80</v>
      </c>
      <c r="D366">
        <v>79.854324340999995</v>
      </c>
      <c r="E366">
        <v>40</v>
      </c>
      <c r="F366">
        <v>41.309803008999999</v>
      </c>
      <c r="G366">
        <v>1335.7352295000001</v>
      </c>
      <c r="H366">
        <v>1334.1379394999999</v>
      </c>
      <c r="I366">
        <v>1327.1363524999999</v>
      </c>
      <c r="J366">
        <v>1325.3881836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121.35776</v>
      </c>
      <c r="B367" s="1">
        <f>DATE(2010,8,30) + TIME(8,35,10)</f>
        <v>40420.357754629629</v>
      </c>
      <c r="C367">
        <v>80</v>
      </c>
      <c r="D367">
        <v>79.854393005000006</v>
      </c>
      <c r="E367">
        <v>40</v>
      </c>
      <c r="F367">
        <v>41.633598327999998</v>
      </c>
      <c r="G367">
        <v>1335.7332764</v>
      </c>
      <c r="H367">
        <v>1334.1364745999999</v>
      </c>
      <c r="I367">
        <v>1327.1424560999999</v>
      </c>
      <c r="J367">
        <v>1325.4002685999999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122.004125</v>
      </c>
      <c r="B368" s="1">
        <f>DATE(2010,8,31) + TIME(0,5,56)</f>
        <v>40421.004120370373</v>
      </c>
      <c r="C368">
        <v>80</v>
      </c>
      <c r="D368">
        <v>79.854476929</v>
      </c>
      <c r="E368">
        <v>40</v>
      </c>
      <c r="F368">
        <v>41.942623138000002</v>
      </c>
      <c r="G368">
        <v>1335.7312012</v>
      </c>
      <c r="H368">
        <v>1334.1351318</v>
      </c>
      <c r="I368">
        <v>1327.1485596</v>
      </c>
      <c r="J368">
        <v>1325.4119873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123</v>
      </c>
      <c r="B369" s="1">
        <f>DATE(2010,9,1) + TIME(0,0,0)</f>
        <v>40422</v>
      </c>
      <c r="C369">
        <v>80</v>
      </c>
      <c r="D369">
        <v>79.854614257999998</v>
      </c>
      <c r="E369">
        <v>40</v>
      </c>
      <c r="F369">
        <v>42.348205565999997</v>
      </c>
      <c r="G369">
        <v>1335.7292480000001</v>
      </c>
      <c r="H369">
        <v>1334.1337891000001</v>
      </c>
      <c r="I369">
        <v>1327.1533202999999</v>
      </c>
      <c r="J369">
        <v>1325.4245605000001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123.646365</v>
      </c>
      <c r="B370" s="1">
        <f>DATE(2010,9,1) + TIME(15,30,45)</f>
        <v>40422.646354166667</v>
      </c>
      <c r="C370">
        <v>80</v>
      </c>
      <c r="D370">
        <v>79.854690551999994</v>
      </c>
      <c r="E370">
        <v>40</v>
      </c>
      <c r="F370">
        <v>42.641921996999997</v>
      </c>
      <c r="G370">
        <v>1335.7263184000001</v>
      </c>
      <c r="H370">
        <v>1334.1318358999999</v>
      </c>
      <c r="I370">
        <v>1327.1641846</v>
      </c>
      <c r="J370">
        <v>1325.4396973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124.29273000000001</v>
      </c>
      <c r="B371" s="1">
        <f>DATE(2010,9,2) + TIME(7,1,31)</f>
        <v>40423.292719907404</v>
      </c>
      <c r="C371">
        <v>80</v>
      </c>
      <c r="D371">
        <v>79.854774474999999</v>
      </c>
      <c r="E371">
        <v>40</v>
      </c>
      <c r="F371">
        <v>42.925075530999997</v>
      </c>
      <c r="G371">
        <v>1335.7243652</v>
      </c>
      <c r="H371">
        <v>1334.1304932</v>
      </c>
      <c r="I371">
        <v>1327.1704102000001</v>
      </c>
      <c r="J371">
        <v>1325.4509277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124.93909499999999</v>
      </c>
      <c r="B372" s="1">
        <f>DATE(2010,9,2) + TIME(22,32,17)</f>
        <v>40423.939085648148</v>
      </c>
      <c r="C372">
        <v>80</v>
      </c>
      <c r="D372">
        <v>79.854858398000005</v>
      </c>
      <c r="E372">
        <v>40</v>
      </c>
      <c r="F372">
        <v>43.199340820000003</v>
      </c>
      <c r="G372">
        <v>1335.7224120999999</v>
      </c>
      <c r="H372">
        <v>1334.1292725000001</v>
      </c>
      <c r="I372">
        <v>1327.1765137</v>
      </c>
      <c r="J372">
        <v>1325.4620361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126.231825</v>
      </c>
      <c r="B373" s="1">
        <f>DATE(2010,9,4) + TIME(5,33,49)</f>
        <v>40425.231817129628</v>
      </c>
      <c r="C373">
        <v>80</v>
      </c>
      <c r="D373">
        <v>79.855064392000003</v>
      </c>
      <c r="E373">
        <v>40</v>
      </c>
      <c r="F373">
        <v>43.629909515000001</v>
      </c>
      <c r="G373">
        <v>1335.7204589999999</v>
      </c>
      <c r="H373">
        <v>1334.1279297000001</v>
      </c>
      <c r="I373">
        <v>1327.1807861</v>
      </c>
      <c r="J373">
        <v>1325.4747314000001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127.526033</v>
      </c>
      <c r="B374" s="1">
        <f>DATE(2010,9,5) + TIME(12,37,29)</f>
        <v>40426.526030092595</v>
      </c>
      <c r="C374">
        <v>80</v>
      </c>
      <c r="D374">
        <v>79.855255127000007</v>
      </c>
      <c r="E374">
        <v>40</v>
      </c>
      <c r="F374">
        <v>44.078559875000003</v>
      </c>
      <c r="G374">
        <v>1335.7167969</v>
      </c>
      <c r="H374">
        <v>1334.1254882999999</v>
      </c>
      <c r="I374">
        <v>1327.1929932</v>
      </c>
      <c r="J374">
        <v>1325.4937743999999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128.832942</v>
      </c>
      <c r="B375" s="1">
        <f>DATE(2010,9,6) + TIME(19,59,26)</f>
        <v>40427.832939814813</v>
      </c>
      <c r="C375">
        <v>80</v>
      </c>
      <c r="D375">
        <v>79.855438231999997</v>
      </c>
      <c r="E375">
        <v>40</v>
      </c>
      <c r="F375">
        <v>44.535964966000002</v>
      </c>
      <c r="G375">
        <v>1335.7132568</v>
      </c>
      <c r="H375">
        <v>1334.1230469</v>
      </c>
      <c r="I375">
        <v>1327.2052002</v>
      </c>
      <c r="J375">
        <v>1325.5133057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130.15620699999999</v>
      </c>
      <c r="B376" s="1">
        <f>DATE(2010,9,8) + TIME(3,44,56)</f>
        <v>40429.1562037037</v>
      </c>
      <c r="C376">
        <v>80</v>
      </c>
      <c r="D376">
        <v>79.855628967000001</v>
      </c>
      <c r="E376">
        <v>40</v>
      </c>
      <c r="F376">
        <v>44.996269226000003</v>
      </c>
      <c r="G376">
        <v>1335.7097168</v>
      </c>
      <c r="H376">
        <v>1334.1207274999999</v>
      </c>
      <c r="I376">
        <v>1327.2174072</v>
      </c>
      <c r="J376">
        <v>1325.5330810999999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131.500021</v>
      </c>
      <c r="B377" s="1">
        <f>DATE(2010,9,9) + TIME(12,0,1)</f>
        <v>40430.500011574077</v>
      </c>
      <c r="C377">
        <v>80</v>
      </c>
      <c r="D377">
        <v>79.855812072999996</v>
      </c>
      <c r="E377">
        <v>40</v>
      </c>
      <c r="F377">
        <v>45.456329345999997</v>
      </c>
      <c r="G377">
        <v>1335.7061768000001</v>
      </c>
      <c r="H377">
        <v>1334.1184082</v>
      </c>
      <c r="I377">
        <v>1327.2296143000001</v>
      </c>
      <c r="J377">
        <v>1325.5531006000001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132.86861099999999</v>
      </c>
      <c r="B378" s="1">
        <f>DATE(2010,9,10) + TIME(20,50,47)</f>
        <v>40431.86859953704</v>
      </c>
      <c r="C378">
        <v>80</v>
      </c>
      <c r="D378">
        <v>79.856010436999995</v>
      </c>
      <c r="E378">
        <v>40</v>
      </c>
      <c r="F378">
        <v>45.914592743</v>
      </c>
      <c r="G378">
        <v>1335.7026367000001</v>
      </c>
      <c r="H378">
        <v>1334.1160889</v>
      </c>
      <c r="I378">
        <v>1327.2420654</v>
      </c>
      <c r="J378">
        <v>1325.5732422000001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134.26649900000001</v>
      </c>
      <c r="B379" s="1">
        <f>DATE(2010,9,12) + TIME(6,23,45)</f>
        <v>40433.266493055555</v>
      </c>
      <c r="C379">
        <v>80</v>
      </c>
      <c r="D379">
        <v>79.856201171999999</v>
      </c>
      <c r="E379">
        <v>40</v>
      </c>
      <c r="F379">
        <v>46.370536803999997</v>
      </c>
      <c r="G379">
        <v>1335.6992187999999</v>
      </c>
      <c r="H379">
        <v>1334.1138916</v>
      </c>
      <c r="I379">
        <v>1327.2545166</v>
      </c>
      <c r="J379">
        <v>1325.5935059000001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135.69376399999999</v>
      </c>
      <c r="B380" s="1">
        <f>DATE(2010,9,13) + TIME(16,39,1)</f>
        <v>40434.693761574075</v>
      </c>
      <c r="C380">
        <v>80</v>
      </c>
      <c r="D380">
        <v>79.856407165999997</v>
      </c>
      <c r="E380">
        <v>40</v>
      </c>
      <c r="F380">
        <v>46.823322296000001</v>
      </c>
      <c r="G380">
        <v>1335.6958007999999</v>
      </c>
      <c r="H380">
        <v>1334.1115723</v>
      </c>
      <c r="I380">
        <v>1327.2672118999999</v>
      </c>
      <c r="J380">
        <v>1325.6140137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137.146737</v>
      </c>
      <c r="B381" s="1">
        <f>DATE(2010,9,15) + TIME(3,31,18)</f>
        <v>40436.146736111114</v>
      </c>
      <c r="C381">
        <v>80</v>
      </c>
      <c r="D381">
        <v>79.856613159000005</v>
      </c>
      <c r="E381">
        <v>40</v>
      </c>
      <c r="F381">
        <v>47.271736144999998</v>
      </c>
      <c r="G381">
        <v>1335.6922606999999</v>
      </c>
      <c r="H381">
        <v>1334.109375</v>
      </c>
      <c r="I381">
        <v>1327.2800293</v>
      </c>
      <c r="J381">
        <v>1325.6346435999999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138.62633500000001</v>
      </c>
      <c r="B382" s="1">
        <f>DATE(2010,9,16) + TIME(15,1,55)</f>
        <v>40437.626331018517</v>
      </c>
      <c r="C382">
        <v>80</v>
      </c>
      <c r="D382">
        <v>79.856819153000004</v>
      </c>
      <c r="E382">
        <v>40</v>
      </c>
      <c r="F382">
        <v>47.715122223000002</v>
      </c>
      <c r="G382">
        <v>1335.6889647999999</v>
      </c>
      <c r="H382">
        <v>1334.1071777</v>
      </c>
      <c r="I382">
        <v>1327.2929687999999</v>
      </c>
      <c r="J382">
        <v>1325.6553954999999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139.377982</v>
      </c>
      <c r="B383" s="1">
        <f>DATE(2010,9,17) + TIME(9,4,17)</f>
        <v>40438.377974537034</v>
      </c>
      <c r="C383">
        <v>80</v>
      </c>
      <c r="D383">
        <v>79.856903075999995</v>
      </c>
      <c r="E383">
        <v>40</v>
      </c>
      <c r="F383">
        <v>47.993793488000001</v>
      </c>
      <c r="G383">
        <v>1335.6855469</v>
      </c>
      <c r="H383">
        <v>1334.1051024999999</v>
      </c>
      <c r="I383">
        <v>1327.3076172000001</v>
      </c>
      <c r="J383">
        <v>1325.6744385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140.12570400000001</v>
      </c>
      <c r="B384" s="1">
        <f>DATE(2010,9,18) + TIME(3,1,0)</f>
        <v>40439.125694444447</v>
      </c>
      <c r="C384">
        <v>80</v>
      </c>
      <c r="D384">
        <v>79.856994628999999</v>
      </c>
      <c r="E384">
        <v>40</v>
      </c>
      <c r="F384">
        <v>48.251918793000002</v>
      </c>
      <c r="G384">
        <v>1335.6839600000001</v>
      </c>
      <c r="H384">
        <v>1334.104126</v>
      </c>
      <c r="I384">
        <v>1327.3143310999999</v>
      </c>
      <c r="J384">
        <v>1325.6864014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140.872681</v>
      </c>
      <c r="B385" s="1">
        <f>DATE(2010,9,18) + TIME(20,56,39)</f>
        <v>40439.872673611113</v>
      </c>
      <c r="C385">
        <v>80</v>
      </c>
      <c r="D385">
        <v>79.857093810999999</v>
      </c>
      <c r="E385">
        <v>40</v>
      </c>
      <c r="F385">
        <v>48.494762420999997</v>
      </c>
      <c r="G385">
        <v>1335.682251</v>
      </c>
      <c r="H385">
        <v>1334.1030272999999</v>
      </c>
      <c r="I385">
        <v>1327.3210449000001</v>
      </c>
      <c r="J385">
        <v>1325.697876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141.619586</v>
      </c>
      <c r="B386" s="1">
        <f>DATE(2010,9,19) + TIME(14,52,12)</f>
        <v>40440.619583333333</v>
      </c>
      <c r="C386">
        <v>80</v>
      </c>
      <c r="D386">
        <v>79.857192992999998</v>
      </c>
      <c r="E386">
        <v>40</v>
      </c>
      <c r="F386">
        <v>48.725719452</v>
      </c>
      <c r="G386">
        <v>1335.6806641000001</v>
      </c>
      <c r="H386">
        <v>1334.1020507999999</v>
      </c>
      <c r="I386">
        <v>1327.3277588000001</v>
      </c>
      <c r="J386">
        <v>1325.7091064000001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142.366491</v>
      </c>
      <c r="B387" s="1">
        <f>DATE(2010,9,20) + TIME(8,47,44)</f>
        <v>40441.366481481484</v>
      </c>
      <c r="C387">
        <v>80</v>
      </c>
      <c r="D387">
        <v>79.857292174999998</v>
      </c>
      <c r="E387">
        <v>40</v>
      </c>
      <c r="F387">
        <v>48.947170258</v>
      </c>
      <c r="G387">
        <v>1335.6790771000001</v>
      </c>
      <c r="H387">
        <v>1334.1010742000001</v>
      </c>
      <c r="I387">
        <v>1327.3343506000001</v>
      </c>
      <c r="J387">
        <v>1325.7199707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143.11339599999999</v>
      </c>
      <c r="B388" s="1">
        <f>DATE(2010,9,21) + TIME(2,43,17)</f>
        <v>40442.113391203704</v>
      </c>
      <c r="C388">
        <v>80</v>
      </c>
      <c r="D388">
        <v>79.857398986999996</v>
      </c>
      <c r="E388">
        <v>40</v>
      </c>
      <c r="F388">
        <v>49.160858154000003</v>
      </c>
      <c r="G388">
        <v>1335.6774902</v>
      </c>
      <c r="H388">
        <v>1334.0999756000001</v>
      </c>
      <c r="I388">
        <v>1327.3409423999999</v>
      </c>
      <c r="J388">
        <v>1325.7305908000001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143.86030099999999</v>
      </c>
      <c r="B389" s="1">
        <f>DATE(2010,9,21) + TIME(20,38,49)</f>
        <v>40442.860289351855</v>
      </c>
      <c r="C389">
        <v>80</v>
      </c>
      <c r="D389">
        <v>79.857505798000005</v>
      </c>
      <c r="E389">
        <v>40</v>
      </c>
      <c r="F389">
        <v>49.368064879999999</v>
      </c>
      <c r="G389">
        <v>1335.6759033000001</v>
      </c>
      <c r="H389">
        <v>1334.098999</v>
      </c>
      <c r="I389">
        <v>1327.3474120999999</v>
      </c>
      <c r="J389">
        <v>1325.7410889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144.60720499999999</v>
      </c>
      <c r="B390" s="1">
        <f>DATE(2010,9,22) + TIME(14,34,22)</f>
        <v>40443.607199074075</v>
      </c>
      <c r="C390">
        <v>80</v>
      </c>
      <c r="D390">
        <v>79.857612610000004</v>
      </c>
      <c r="E390">
        <v>40</v>
      </c>
      <c r="F390">
        <v>49.569747925000001</v>
      </c>
      <c r="G390">
        <v>1335.6743164</v>
      </c>
      <c r="H390">
        <v>1334.0981445</v>
      </c>
      <c r="I390">
        <v>1327.3538818</v>
      </c>
      <c r="J390">
        <v>1325.7513428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146.10101499999999</v>
      </c>
      <c r="B391" s="1">
        <f>DATE(2010,9,24) + TIME(2,25,27)</f>
        <v>40445.101006944446</v>
      </c>
      <c r="C391">
        <v>80</v>
      </c>
      <c r="D391">
        <v>79.857849121000001</v>
      </c>
      <c r="E391">
        <v>40</v>
      </c>
      <c r="F391">
        <v>49.878669739000003</v>
      </c>
      <c r="G391">
        <v>1335.6727295000001</v>
      </c>
      <c r="H391">
        <v>1334.0970459</v>
      </c>
      <c r="I391">
        <v>1327.359375</v>
      </c>
      <c r="J391">
        <v>1325.7629394999999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147.59517</v>
      </c>
      <c r="B392" s="1">
        <f>DATE(2010,9,25) + TIME(14,17,2)</f>
        <v>40446.59516203704</v>
      </c>
      <c r="C392">
        <v>80</v>
      </c>
      <c r="D392">
        <v>79.858078003000003</v>
      </c>
      <c r="E392">
        <v>40</v>
      </c>
      <c r="F392">
        <v>50.209949493000003</v>
      </c>
      <c r="G392">
        <v>1335.6697998</v>
      </c>
      <c r="H392">
        <v>1334.0952147999999</v>
      </c>
      <c r="I392">
        <v>1327.371582</v>
      </c>
      <c r="J392">
        <v>1325.7803954999999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149.10571200000001</v>
      </c>
      <c r="B393" s="1">
        <f>DATE(2010,9,27) + TIME(2,32,13)</f>
        <v>40448.105706018519</v>
      </c>
      <c r="C393">
        <v>80</v>
      </c>
      <c r="D393">
        <v>79.858299255000006</v>
      </c>
      <c r="E393">
        <v>40</v>
      </c>
      <c r="F393">
        <v>50.551395415999998</v>
      </c>
      <c r="G393">
        <v>1335.6668701000001</v>
      </c>
      <c r="H393">
        <v>1334.0935059000001</v>
      </c>
      <c r="I393">
        <v>1327.3837891000001</v>
      </c>
      <c r="J393">
        <v>1325.7984618999999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150.63716099999999</v>
      </c>
      <c r="B394" s="1">
        <f>DATE(2010,9,28) + TIME(15,17,30)</f>
        <v>40449.637152777781</v>
      </c>
      <c r="C394">
        <v>80</v>
      </c>
      <c r="D394">
        <v>79.858520507999998</v>
      </c>
      <c r="E394">
        <v>40</v>
      </c>
      <c r="F394">
        <v>50.896358489999997</v>
      </c>
      <c r="G394">
        <v>1335.6639404</v>
      </c>
      <c r="H394">
        <v>1334.0916748</v>
      </c>
      <c r="I394">
        <v>1327.3959961</v>
      </c>
      <c r="J394">
        <v>1325.8170166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152.194445</v>
      </c>
      <c r="B395" s="1">
        <f>DATE(2010,9,30) + TIME(4,40,0)</f>
        <v>40451.194444444445</v>
      </c>
      <c r="C395">
        <v>80</v>
      </c>
      <c r="D395">
        <v>79.858741760000001</v>
      </c>
      <c r="E395">
        <v>40</v>
      </c>
      <c r="F395">
        <v>51.241439819</v>
      </c>
      <c r="G395">
        <v>1335.6610106999999</v>
      </c>
      <c r="H395">
        <v>1334.0899658000001</v>
      </c>
      <c r="I395">
        <v>1327.4084473</v>
      </c>
      <c r="J395">
        <v>1325.8356934000001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153</v>
      </c>
      <c r="B396" s="1">
        <f>DATE(2010,10,1) + TIME(0,0,0)</f>
        <v>40452</v>
      </c>
      <c r="C396">
        <v>80</v>
      </c>
      <c r="D396">
        <v>79.858840942</v>
      </c>
      <c r="E396">
        <v>40</v>
      </c>
      <c r="F396">
        <v>51.465263366999999</v>
      </c>
      <c r="G396">
        <v>1335.6583252</v>
      </c>
      <c r="H396">
        <v>1334.0883789</v>
      </c>
      <c r="I396">
        <v>1327.421875</v>
      </c>
      <c r="J396">
        <v>1325.8531493999999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154.588583</v>
      </c>
      <c r="B397" s="1">
        <f>DATE(2010,10,2) + TIME(14,7,33)</f>
        <v>40453.588576388887</v>
      </c>
      <c r="C397">
        <v>80</v>
      </c>
      <c r="D397">
        <v>79.859077454000001</v>
      </c>
      <c r="E397">
        <v>40</v>
      </c>
      <c r="F397">
        <v>51.784053802000003</v>
      </c>
      <c r="G397">
        <v>1335.6567382999999</v>
      </c>
      <c r="H397">
        <v>1334.0874022999999</v>
      </c>
      <c r="I397">
        <v>1327.4277344</v>
      </c>
      <c r="J397">
        <v>1325.8657227000001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156.233282</v>
      </c>
      <c r="B398" s="1">
        <f>DATE(2010,10,4) + TIME(5,35,55)</f>
        <v>40455.233275462961</v>
      </c>
      <c r="C398">
        <v>80</v>
      </c>
      <c r="D398">
        <v>79.859321593999994</v>
      </c>
      <c r="E398">
        <v>40</v>
      </c>
      <c r="F398">
        <v>52.111686706999997</v>
      </c>
      <c r="G398">
        <v>1335.6539307</v>
      </c>
      <c r="H398">
        <v>1334.0858154</v>
      </c>
      <c r="I398">
        <v>1327.4401855000001</v>
      </c>
      <c r="J398">
        <v>1325.8841553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157.913791</v>
      </c>
      <c r="B399" s="1">
        <f>DATE(2010,10,5) + TIME(21,55,51)</f>
        <v>40456.913784722223</v>
      </c>
      <c r="C399">
        <v>80</v>
      </c>
      <c r="D399">
        <v>79.859565735000004</v>
      </c>
      <c r="E399">
        <v>40</v>
      </c>
      <c r="F399">
        <v>52.442390441999997</v>
      </c>
      <c r="G399">
        <v>1335.6511230000001</v>
      </c>
      <c r="H399">
        <v>1334.0841064000001</v>
      </c>
      <c r="I399">
        <v>1327.4528809000001</v>
      </c>
      <c r="J399">
        <v>1325.9030762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159.628524</v>
      </c>
      <c r="B400" s="1">
        <f>DATE(2010,10,7) + TIME(15,5,4)</f>
        <v>40458.628518518519</v>
      </c>
      <c r="C400">
        <v>80</v>
      </c>
      <c r="D400">
        <v>79.859809874999996</v>
      </c>
      <c r="E400">
        <v>40</v>
      </c>
      <c r="F400">
        <v>52.772914886000002</v>
      </c>
      <c r="G400">
        <v>1335.6484375</v>
      </c>
      <c r="H400">
        <v>1334.0825195</v>
      </c>
      <c r="I400">
        <v>1327.4658202999999</v>
      </c>
      <c r="J400">
        <v>1325.9222411999999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160.49967799999999</v>
      </c>
      <c r="B401" s="1">
        <f>DATE(2010,10,8) + TIME(11,59,32)</f>
        <v>40459.499675925923</v>
      </c>
      <c r="C401">
        <v>80</v>
      </c>
      <c r="D401">
        <v>79.859916686999995</v>
      </c>
      <c r="E401">
        <v>40</v>
      </c>
      <c r="F401">
        <v>52.987606049</v>
      </c>
      <c r="G401">
        <v>1335.6456298999999</v>
      </c>
      <c r="H401">
        <v>1334.0809326000001</v>
      </c>
      <c r="I401">
        <v>1327.4796143000001</v>
      </c>
      <c r="J401">
        <v>1325.9400635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161.37083200000001</v>
      </c>
      <c r="B402" s="1">
        <f>DATE(2010,10,9) + TIME(8,53,59)</f>
        <v>40460.370821759258</v>
      </c>
      <c r="C402">
        <v>80</v>
      </c>
      <c r="D402">
        <v>79.860031128000003</v>
      </c>
      <c r="E402">
        <v>40</v>
      </c>
      <c r="F402">
        <v>53.184661865000002</v>
      </c>
      <c r="G402">
        <v>1335.6442870999999</v>
      </c>
      <c r="H402">
        <v>1334.0802002</v>
      </c>
      <c r="I402">
        <v>1327.4865723</v>
      </c>
      <c r="J402">
        <v>1325.9514160000001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162.240309</v>
      </c>
      <c r="B403" s="1">
        <f>DATE(2010,10,10) + TIME(5,46,2)</f>
        <v>40461.240300925929</v>
      </c>
      <c r="C403">
        <v>80</v>
      </c>
      <c r="D403">
        <v>79.860145568999997</v>
      </c>
      <c r="E403">
        <v>40</v>
      </c>
      <c r="F403">
        <v>53.368377686000002</v>
      </c>
      <c r="G403">
        <v>1335.6429443</v>
      </c>
      <c r="H403">
        <v>1334.0794678</v>
      </c>
      <c r="I403">
        <v>1327.4934082</v>
      </c>
      <c r="J403">
        <v>1325.9622803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163.10879</v>
      </c>
      <c r="B404" s="1">
        <f>DATE(2010,10,11) + TIME(2,36,39)</f>
        <v>40462.108784722222</v>
      </c>
      <c r="C404">
        <v>80</v>
      </c>
      <c r="D404">
        <v>79.860267639</v>
      </c>
      <c r="E404">
        <v>40</v>
      </c>
      <c r="F404">
        <v>53.541873932000001</v>
      </c>
      <c r="G404">
        <v>1335.6416016000001</v>
      </c>
      <c r="H404">
        <v>1334.0787353999999</v>
      </c>
      <c r="I404">
        <v>1327.5001221</v>
      </c>
      <c r="J404">
        <v>1325.9726562000001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163.97707199999999</v>
      </c>
      <c r="B405" s="1">
        <f>DATE(2010,10,11) + TIME(23,26,59)</f>
        <v>40462.977071759262</v>
      </c>
      <c r="C405">
        <v>80</v>
      </c>
      <c r="D405">
        <v>79.860389709000003</v>
      </c>
      <c r="E405">
        <v>40</v>
      </c>
      <c r="F405">
        <v>53.707317351999997</v>
      </c>
      <c r="G405">
        <v>1335.6402588000001</v>
      </c>
      <c r="H405">
        <v>1334.0778809000001</v>
      </c>
      <c r="I405">
        <v>1327.5067139</v>
      </c>
      <c r="J405">
        <v>1325.9827881000001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164.84535500000001</v>
      </c>
      <c r="B406" s="1">
        <f>DATE(2010,10,12) + TIME(20,17,18)</f>
        <v>40463.845347222225</v>
      </c>
      <c r="C406">
        <v>80</v>
      </c>
      <c r="D406">
        <v>79.860511779999996</v>
      </c>
      <c r="E406">
        <v>40</v>
      </c>
      <c r="F406">
        <v>53.866222381999997</v>
      </c>
      <c r="G406">
        <v>1335.6390381000001</v>
      </c>
      <c r="H406">
        <v>1334.0772704999999</v>
      </c>
      <c r="I406">
        <v>1327.5131836</v>
      </c>
      <c r="J406">
        <v>1325.9926757999999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165.71363700000001</v>
      </c>
      <c r="B407" s="1">
        <f>DATE(2010,10,13) + TIME(17,7,38)</f>
        <v>40464.713634259257</v>
      </c>
      <c r="C407">
        <v>80</v>
      </c>
      <c r="D407">
        <v>79.860633849999999</v>
      </c>
      <c r="E407">
        <v>40</v>
      </c>
      <c r="F407">
        <v>54.019653320000003</v>
      </c>
      <c r="G407">
        <v>1335.6376952999999</v>
      </c>
      <c r="H407">
        <v>1334.0765381000001</v>
      </c>
      <c r="I407">
        <v>1327.5195312000001</v>
      </c>
      <c r="J407">
        <v>1326.0023193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166.58192</v>
      </c>
      <c r="B408" s="1">
        <f>DATE(2010,10,14) + TIME(13,57,57)</f>
        <v>40465.581909722219</v>
      </c>
      <c r="C408">
        <v>80</v>
      </c>
      <c r="D408">
        <v>79.860755920000003</v>
      </c>
      <c r="E408">
        <v>40</v>
      </c>
      <c r="F408">
        <v>54.168395996000001</v>
      </c>
      <c r="G408">
        <v>1335.6364745999999</v>
      </c>
      <c r="H408">
        <v>1334.0758057</v>
      </c>
      <c r="I408">
        <v>1327.5258789</v>
      </c>
      <c r="J408">
        <v>1326.0117187999999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168.31848500000001</v>
      </c>
      <c r="B409" s="1">
        <f>DATE(2010,10,16) + TIME(7,38,37)</f>
        <v>40467.318483796298</v>
      </c>
      <c r="C409">
        <v>80</v>
      </c>
      <c r="D409">
        <v>79.861038207999997</v>
      </c>
      <c r="E409">
        <v>40</v>
      </c>
      <c r="F409">
        <v>54.389431000000002</v>
      </c>
      <c r="G409">
        <v>1335.6351318</v>
      </c>
      <c r="H409">
        <v>1334.0750731999999</v>
      </c>
      <c r="I409">
        <v>1327.5317382999999</v>
      </c>
      <c r="J409">
        <v>1326.0220947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170.058391</v>
      </c>
      <c r="B410" s="1">
        <f>DATE(2010,10,18) + TIME(1,24,4)</f>
        <v>40469.058379629627</v>
      </c>
      <c r="C410">
        <v>80</v>
      </c>
      <c r="D410">
        <v>79.861297606999997</v>
      </c>
      <c r="E410">
        <v>40</v>
      </c>
      <c r="F410">
        <v>54.630947112999998</v>
      </c>
      <c r="G410">
        <v>1335.6326904</v>
      </c>
      <c r="H410">
        <v>1334.0737305</v>
      </c>
      <c r="I410">
        <v>1327.5432129000001</v>
      </c>
      <c r="J410">
        <v>1326.0378418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171.82077699999999</v>
      </c>
      <c r="B411" s="1">
        <f>DATE(2010,10,19) + TIME(19,41,55)</f>
        <v>40470.820775462962</v>
      </c>
      <c r="C411">
        <v>80</v>
      </c>
      <c r="D411">
        <v>79.861557007000002</v>
      </c>
      <c r="E411">
        <v>40</v>
      </c>
      <c r="F411">
        <v>54.880329132</v>
      </c>
      <c r="G411">
        <v>1335.630249</v>
      </c>
      <c r="H411">
        <v>1334.0723877</v>
      </c>
      <c r="I411">
        <v>1327.5548096</v>
      </c>
      <c r="J411">
        <v>1326.0540771000001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173.61159699999999</v>
      </c>
      <c r="B412" s="1">
        <f>DATE(2010,10,21) + TIME(14,40,41)</f>
        <v>40472.611585648148</v>
      </c>
      <c r="C412">
        <v>80</v>
      </c>
      <c r="D412">
        <v>79.861816406000003</v>
      </c>
      <c r="E412">
        <v>40</v>
      </c>
      <c r="F412">
        <v>55.131416321000003</v>
      </c>
      <c r="G412">
        <v>1335.6279297000001</v>
      </c>
      <c r="H412">
        <v>1334.0711670000001</v>
      </c>
      <c r="I412">
        <v>1327.5666504000001</v>
      </c>
      <c r="J412">
        <v>1326.0708007999999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175.43686500000001</v>
      </c>
      <c r="B413" s="1">
        <f>DATE(2010,10,23) + TIME(10,29,5)</f>
        <v>40474.436863425923</v>
      </c>
      <c r="C413">
        <v>80</v>
      </c>
      <c r="D413">
        <v>79.862075806000007</v>
      </c>
      <c r="E413">
        <v>40</v>
      </c>
      <c r="F413">
        <v>55.381332397000001</v>
      </c>
      <c r="G413">
        <v>1335.6256103999999</v>
      </c>
      <c r="H413">
        <v>1334.0699463000001</v>
      </c>
      <c r="I413">
        <v>1327.5784911999999</v>
      </c>
      <c r="J413">
        <v>1326.0876464999999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177.303718</v>
      </c>
      <c r="B414" s="1">
        <f>DATE(2010,10,25) + TIME(7,17,21)</f>
        <v>40476.303715277776</v>
      </c>
      <c r="C414">
        <v>80</v>
      </c>
      <c r="D414">
        <v>79.862342834000003</v>
      </c>
      <c r="E414">
        <v>40</v>
      </c>
      <c r="F414">
        <v>55.629001617</v>
      </c>
      <c r="G414">
        <v>1335.6232910000001</v>
      </c>
      <c r="H414">
        <v>1334.0687256000001</v>
      </c>
      <c r="I414">
        <v>1327.5904541</v>
      </c>
      <c r="J414">
        <v>1326.1046143000001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179.20894899999999</v>
      </c>
      <c r="B415" s="1">
        <f>DATE(2010,10,27) + TIME(5,0,53)</f>
        <v>40478.20894675926</v>
      </c>
      <c r="C415">
        <v>80</v>
      </c>
      <c r="D415">
        <v>79.862617493000002</v>
      </c>
      <c r="E415">
        <v>40</v>
      </c>
      <c r="F415">
        <v>55.873546599999997</v>
      </c>
      <c r="G415">
        <v>1335.6209716999999</v>
      </c>
      <c r="H415">
        <v>1334.0675048999999</v>
      </c>
      <c r="I415">
        <v>1327.6024170000001</v>
      </c>
      <c r="J415">
        <v>1326.1217041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181.149944</v>
      </c>
      <c r="B416" s="1">
        <f>DATE(2010,10,29) + TIME(3,35,55)</f>
        <v>40480.149942129632</v>
      </c>
      <c r="C416">
        <v>80</v>
      </c>
      <c r="D416">
        <v>79.862892150999997</v>
      </c>
      <c r="E416">
        <v>40</v>
      </c>
      <c r="F416">
        <v>56.114299774000003</v>
      </c>
      <c r="G416">
        <v>1335.6186522999999</v>
      </c>
      <c r="H416">
        <v>1334.0662841999999</v>
      </c>
      <c r="I416">
        <v>1327.614624</v>
      </c>
      <c r="J416">
        <v>1326.1387939000001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183.134501</v>
      </c>
      <c r="B417" s="1">
        <f>DATE(2010,10,31) + TIME(3,13,40)</f>
        <v>40482.13449074074</v>
      </c>
      <c r="C417">
        <v>80</v>
      </c>
      <c r="D417">
        <v>79.863174438000001</v>
      </c>
      <c r="E417">
        <v>40</v>
      </c>
      <c r="F417">
        <v>56.350727081000002</v>
      </c>
      <c r="G417">
        <v>1335.6163329999999</v>
      </c>
      <c r="H417">
        <v>1334.0651855000001</v>
      </c>
      <c r="I417">
        <v>1327.6267089999999</v>
      </c>
      <c r="J417">
        <v>1326.1558838000001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184</v>
      </c>
      <c r="B418" s="1">
        <f>DATE(2010,11,1) + TIME(0,0,0)</f>
        <v>40483</v>
      </c>
      <c r="C418">
        <v>80</v>
      </c>
      <c r="D418">
        <v>79.863273621000005</v>
      </c>
      <c r="E418">
        <v>40</v>
      </c>
      <c r="F418">
        <v>56.490844727000002</v>
      </c>
      <c r="G418">
        <v>1335.6142577999999</v>
      </c>
      <c r="H418">
        <v>1334.0640868999999</v>
      </c>
      <c r="I418">
        <v>1327.6394043</v>
      </c>
      <c r="J418">
        <v>1326.1716309000001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184.000001</v>
      </c>
      <c r="B419" s="1">
        <f>DATE(2010,11,1) + TIME(0,0,0)</f>
        <v>40483</v>
      </c>
      <c r="C419">
        <v>80</v>
      </c>
      <c r="D419">
        <v>79.863243103000002</v>
      </c>
      <c r="E419">
        <v>40</v>
      </c>
      <c r="F419">
        <v>56.490875244000001</v>
      </c>
      <c r="G419">
        <v>1333.8472899999999</v>
      </c>
      <c r="H419">
        <v>1333.9274902</v>
      </c>
      <c r="I419">
        <v>1329.2824707</v>
      </c>
      <c r="J419">
        <v>1327.9472656</v>
      </c>
      <c r="K419">
        <v>0</v>
      </c>
      <c r="L419">
        <v>550</v>
      </c>
      <c r="M419">
        <v>550</v>
      </c>
      <c r="N419">
        <v>0</v>
      </c>
    </row>
    <row r="420" spans="1:14" x14ac:dyDescent="0.25">
      <c r="A420">
        <v>184.00000399999999</v>
      </c>
      <c r="B420" s="1">
        <f>DATE(2010,11,1) + TIME(0,0,0)</f>
        <v>40483</v>
      </c>
      <c r="C420">
        <v>80</v>
      </c>
      <c r="D420">
        <v>79.863189696999996</v>
      </c>
      <c r="E420">
        <v>40</v>
      </c>
      <c r="F420">
        <v>56.490928650000001</v>
      </c>
      <c r="G420">
        <v>1333.4772949000001</v>
      </c>
      <c r="H420">
        <v>1333.5908202999999</v>
      </c>
      <c r="I420">
        <v>1329.7122803</v>
      </c>
      <c r="J420">
        <v>1328.5058594</v>
      </c>
      <c r="K420">
        <v>0</v>
      </c>
      <c r="L420">
        <v>550</v>
      </c>
      <c r="M420">
        <v>550</v>
      </c>
      <c r="N420">
        <v>0</v>
      </c>
    </row>
    <row r="421" spans="1:14" x14ac:dyDescent="0.25">
      <c r="A421">
        <v>184.000013</v>
      </c>
      <c r="B421" s="1">
        <f>DATE(2010,11,1) + TIME(0,0,1)</f>
        <v>40483.000011574077</v>
      </c>
      <c r="C421">
        <v>80</v>
      </c>
      <c r="D421">
        <v>79.863128661999994</v>
      </c>
      <c r="E421">
        <v>40</v>
      </c>
      <c r="F421">
        <v>56.490962981999999</v>
      </c>
      <c r="G421">
        <v>1333.0255127</v>
      </c>
      <c r="H421">
        <v>1333.1246338000001</v>
      </c>
      <c r="I421">
        <v>1330.4000243999999</v>
      </c>
      <c r="J421">
        <v>1329.2362060999999</v>
      </c>
      <c r="K421">
        <v>0</v>
      </c>
      <c r="L421">
        <v>550</v>
      </c>
      <c r="M421">
        <v>550</v>
      </c>
      <c r="N421">
        <v>0</v>
      </c>
    </row>
    <row r="422" spans="1:14" x14ac:dyDescent="0.25">
      <c r="A422">
        <v>184.00004000000001</v>
      </c>
      <c r="B422" s="1">
        <f>DATE(2010,11,1) + TIME(0,0,3)</f>
        <v>40483.000034722223</v>
      </c>
      <c r="C422">
        <v>80</v>
      </c>
      <c r="D422">
        <v>79.863059997999997</v>
      </c>
      <c r="E422">
        <v>40</v>
      </c>
      <c r="F422">
        <v>56.490882874</v>
      </c>
      <c r="G422">
        <v>1332.5665283000001</v>
      </c>
      <c r="H422">
        <v>1332.5992432</v>
      </c>
      <c r="I422">
        <v>1331.237793</v>
      </c>
      <c r="J422">
        <v>1330.057251</v>
      </c>
      <c r="K422">
        <v>0</v>
      </c>
      <c r="L422">
        <v>550</v>
      </c>
      <c r="M422">
        <v>550</v>
      </c>
      <c r="N422">
        <v>0</v>
      </c>
    </row>
    <row r="423" spans="1:14" x14ac:dyDescent="0.25">
      <c r="A423">
        <v>184.00012100000001</v>
      </c>
      <c r="B423" s="1">
        <f>DATE(2010,11,1) + TIME(0,0,10)</f>
        <v>40483.000115740739</v>
      </c>
      <c r="C423">
        <v>80</v>
      </c>
      <c r="D423">
        <v>79.862976074000002</v>
      </c>
      <c r="E423">
        <v>40</v>
      </c>
      <c r="F423">
        <v>56.490425109999997</v>
      </c>
      <c r="G423">
        <v>1332.0823975000001</v>
      </c>
      <c r="H423">
        <v>1332.0528564000001</v>
      </c>
      <c r="I423">
        <v>1332.1008300999999</v>
      </c>
      <c r="J423">
        <v>1330.8988036999999</v>
      </c>
      <c r="K423">
        <v>0</v>
      </c>
      <c r="L423">
        <v>550</v>
      </c>
      <c r="M423">
        <v>550</v>
      </c>
      <c r="N423">
        <v>0</v>
      </c>
    </row>
    <row r="424" spans="1:14" x14ac:dyDescent="0.25">
      <c r="A424">
        <v>184.00036399999999</v>
      </c>
      <c r="B424" s="1">
        <f>DATE(2010,11,1) + TIME(0,0,31)</f>
        <v>40483.000358796293</v>
      </c>
      <c r="C424">
        <v>80</v>
      </c>
      <c r="D424">
        <v>79.862884520999998</v>
      </c>
      <c r="E424">
        <v>40</v>
      </c>
      <c r="F424">
        <v>56.488769531000003</v>
      </c>
      <c r="G424">
        <v>1331.5892334</v>
      </c>
      <c r="H424">
        <v>1331.5135498</v>
      </c>
      <c r="I424">
        <v>1332.9055175999999</v>
      </c>
      <c r="J424">
        <v>1331.6674805</v>
      </c>
      <c r="K424">
        <v>0</v>
      </c>
      <c r="L424">
        <v>550</v>
      </c>
      <c r="M424">
        <v>550</v>
      </c>
      <c r="N424">
        <v>0</v>
      </c>
    </row>
    <row r="425" spans="1:14" x14ac:dyDescent="0.25">
      <c r="A425">
        <v>184.001093</v>
      </c>
      <c r="B425" s="1">
        <f>DATE(2010,11,1) + TIME(0,1,34)</f>
        <v>40483.001087962963</v>
      </c>
      <c r="C425">
        <v>80</v>
      </c>
      <c r="D425">
        <v>79.862739563000005</v>
      </c>
      <c r="E425">
        <v>40</v>
      </c>
      <c r="F425">
        <v>56.483371734999999</v>
      </c>
      <c r="G425">
        <v>1331.1749268000001</v>
      </c>
      <c r="H425">
        <v>1331.0667725000001</v>
      </c>
      <c r="I425">
        <v>1333.5279541</v>
      </c>
      <c r="J425">
        <v>1332.2402344</v>
      </c>
      <c r="K425">
        <v>0</v>
      </c>
      <c r="L425">
        <v>550</v>
      </c>
      <c r="M425">
        <v>550</v>
      </c>
      <c r="N425">
        <v>0</v>
      </c>
    </row>
    <row r="426" spans="1:14" x14ac:dyDescent="0.25">
      <c r="A426">
        <v>184.00327999999999</v>
      </c>
      <c r="B426" s="1">
        <f>DATE(2010,11,1) + TIME(0,4,43)</f>
        <v>40483.003275462965</v>
      </c>
      <c r="C426">
        <v>80</v>
      </c>
      <c r="D426">
        <v>79.862426757999998</v>
      </c>
      <c r="E426">
        <v>40</v>
      </c>
      <c r="F426">
        <v>56.466541290000002</v>
      </c>
      <c r="G426">
        <v>1330.9027100000001</v>
      </c>
      <c r="H426">
        <v>1330.7814940999999</v>
      </c>
      <c r="I426">
        <v>1333.8889160000001</v>
      </c>
      <c r="J426">
        <v>1332.5632324000001</v>
      </c>
      <c r="K426">
        <v>0</v>
      </c>
      <c r="L426">
        <v>550</v>
      </c>
      <c r="M426">
        <v>550</v>
      </c>
      <c r="N426">
        <v>0</v>
      </c>
    </row>
    <row r="427" spans="1:14" x14ac:dyDescent="0.25">
      <c r="A427">
        <v>184.00984099999999</v>
      </c>
      <c r="B427" s="1">
        <f>DATE(2010,11,1) + TIME(0,14,10)</f>
        <v>40483.009837962964</v>
      </c>
      <c r="C427">
        <v>80</v>
      </c>
      <c r="D427">
        <v>79.861602782999995</v>
      </c>
      <c r="E427">
        <v>40</v>
      </c>
      <c r="F427">
        <v>56.415493011000002</v>
      </c>
      <c r="G427">
        <v>1330.7640381000001</v>
      </c>
      <c r="H427">
        <v>1330.6390381000001</v>
      </c>
      <c r="I427">
        <v>1334.0385742000001</v>
      </c>
      <c r="J427">
        <v>1332.6955565999999</v>
      </c>
      <c r="K427">
        <v>0</v>
      </c>
      <c r="L427">
        <v>550</v>
      </c>
      <c r="M427">
        <v>550</v>
      </c>
      <c r="N427">
        <v>0</v>
      </c>
    </row>
    <row r="428" spans="1:14" x14ac:dyDescent="0.25">
      <c r="A428">
        <v>184.02952400000001</v>
      </c>
      <c r="B428" s="1">
        <f>DATE(2010,11,1) + TIME(0,42,30)</f>
        <v>40483.029513888891</v>
      </c>
      <c r="C428">
        <v>80</v>
      </c>
      <c r="D428">
        <v>79.859161377000007</v>
      </c>
      <c r="E428">
        <v>40</v>
      </c>
      <c r="F428">
        <v>56.263549804999997</v>
      </c>
      <c r="G428">
        <v>1330.7121582</v>
      </c>
      <c r="H428">
        <v>1330.5860596</v>
      </c>
      <c r="I428">
        <v>1334.0711670000001</v>
      </c>
      <c r="J428">
        <v>1332.7235106999999</v>
      </c>
      <c r="K428">
        <v>0</v>
      </c>
      <c r="L428">
        <v>550</v>
      </c>
      <c r="M428">
        <v>550</v>
      </c>
      <c r="N428">
        <v>0</v>
      </c>
    </row>
    <row r="429" spans="1:14" x14ac:dyDescent="0.25">
      <c r="A429">
        <v>184.088573</v>
      </c>
      <c r="B429" s="1">
        <f>DATE(2010,11,1) + TIME(2,7,32)</f>
        <v>40483.088564814818</v>
      </c>
      <c r="C429">
        <v>80</v>
      </c>
      <c r="D429">
        <v>79.851860045999999</v>
      </c>
      <c r="E429">
        <v>40</v>
      </c>
      <c r="F429">
        <v>55.822971344000003</v>
      </c>
      <c r="G429">
        <v>1330.6984863</v>
      </c>
      <c r="H429">
        <v>1330.5711670000001</v>
      </c>
      <c r="I429">
        <v>1334.0639647999999</v>
      </c>
      <c r="J429">
        <v>1332.7160644999999</v>
      </c>
      <c r="K429">
        <v>0</v>
      </c>
      <c r="L429">
        <v>550</v>
      </c>
      <c r="M429">
        <v>550</v>
      </c>
      <c r="N429">
        <v>0</v>
      </c>
    </row>
    <row r="430" spans="1:14" x14ac:dyDescent="0.25">
      <c r="A430">
        <v>184.18632700000001</v>
      </c>
      <c r="B430" s="1">
        <f>DATE(2010,11,1) + TIME(4,28,18)</f>
        <v>40483.186319444445</v>
      </c>
      <c r="C430">
        <v>80</v>
      </c>
      <c r="D430">
        <v>79.839790343999994</v>
      </c>
      <c r="E430">
        <v>40</v>
      </c>
      <c r="F430">
        <v>55.133018493999998</v>
      </c>
      <c r="G430">
        <v>1330.6907959</v>
      </c>
      <c r="H430">
        <v>1330.5603027</v>
      </c>
      <c r="I430">
        <v>1334.050293</v>
      </c>
      <c r="J430">
        <v>1332.7026367000001</v>
      </c>
      <c r="K430">
        <v>0</v>
      </c>
      <c r="L430">
        <v>550</v>
      </c>
      <c r="M430">
        <v>550</v>
      </c>
      <c r="N430">
        <v>0</v>
      </c>
    </row>
    <row r="431" spans="1:14" x14ac:dyDescent="0.25">
      <c r="A431">
        <v>184.28878399999999</v>
      </c>
      <c r="B431" s="1">
        <f>DATE(2010,11,1) + TIME(6,55,50)</f>
        <v>40483.288773148146</v>
      </c>
      <c r="C431">
        <v>80</v>
      </c>
      <c r="D431">
        <v>79.827117920000006</v>
      </c>
      <c r="E431">
        <v>40</v>
      </c>
      <c r="F431">
        <v>54.449825287000003</v>
      </c>
      <c r="G431">
        <v>1330.6810303</v>
      </c>
      <c r="H431">
        <v>1330.5461425999999</v>
      </c>
      <c r="I431">
        <v>1334.0385742000001</v>
      </c>
      <c r="J431">
        <v>1332.6906738</v>
      </c>
      <c r="K431">
        <v>0</v>
      </c>
      <c r="L431">
        <v>550</v>
      </c>
      <c r="M431">
        <v>550</v>
      </c>
      <c r="N431">
        <v>0</v>
      </c>
    </row>
    <row r="432" spans="1:14" x14ac:dyDescent="0.25">
      <c r="A432">
        <v>184.39609300000001</v>
      </c>
      <c r="B432" s="1">
        <f>DATE(2010,11,1) + TIME(9,30,22)</f>
        <v>40483.396087962959</v>
      </c>
      <c r="C432">
        <v>80</v>
      </c>
      <c r="D432">
        <v>79.813812256000006</v>
      </c>
      <c r="E432">
        <v>40</v>
      </c>
      <c r="F432">
        <v>53.774829865000001</v>
      </c>
      <c r="G432">
        <v>1330.6712646000001</v>
      </c>
      <c r="H432">
        <v>1330.5317382999999</v>
      </c>
      <c r="I432">
        <v>1334.0274658000001</v>
      </c>
      <c r="J432">
        <v>1332.6790771000001</v>
      </c>
      <c r="K432">
        <v>0</v>
      </c>
      <c r="L432">
        <v>550</v>
      </c>
      <c r="M432">
        <v>550</v>
      </c>
      <c r="N432">
        <v>0</v>
      </c>
    </row>
    <row r="433" spans="1:14" x14ac:dyDescent="0.25">
      <c r="A433">
        <v>184.50866099999999</v>
      </c>
      <c r="B433" s="1">
        <f>DATE(2010,11,1) + TIME(12,12,28)</f>
        <v>40483.508657407408</v>
      </c>
      <c r="C433">
        <v>80</v>
      </c>
      <c r="D433">
        <v>79.799804687999995</v>
      </c>
      <c r="E433">
        <v>40</v>
      </c>
      <c r="F433">
        <v>53.107959747000002</v>
      </c>
      <c r="G433">
        <v>1330.6612548999999</v>
      </c>
      <c r="H433">
        <v>1330.5172118999999</v>
      </c>
      <c r="I433">
        <v>1334.0168457</v>
      </c>
      <c r="J433">
        <v>1332.6678466999999</v>
      </c>
      <c r="K433">
        <v>0</v>
      </c>
      <c r="L433">
        <v>550</v>
      </c>
      <c r="M433">
        <v>550</v>
      </c>
      <c r="N433">
        <v>0</v>
      </c>
    </row>
    <row r="434" spans="1:14" x14ac:dyDescent="0.25">
      <c r="A434">
        <v>184.626925</v>
      </c>
      <c r="B434" s="1">
        <f>DATE(2010,11,1) + TIME(15,2,46)</f>
        <v>40483.626921296294</v>
      </c>
      <c r="C434">
        <v>80</v>
      </c>
      <c r="D434">
        <v>79.785026549999998</v>
      </c>
      <c r="E434">
        <v>40</v>
      </c>
      <c r="F434">
        <v>52.449260711999997</v>
      </c>
      <c r="G434">
        <v>1330.6512451000001</v>
      </c>
      <c r="H434">
        <v>1330.5025635</v>
      </c>
      <c r="I434">
        <v>1334.0068358999999</v>
      </c>
      <c r="J434">
        <v>1332.6571045000001</v>
      </c>
      <c r="K434">
        <v>0</v>
      </c>
      <c r="L434">
        <v>550</v>
      </c>
      <c r="M434">
        <v>550</v>
      </c>
      <c r="N434">
        <v>0</v>
      </c>
    </row>
    <row r="435" spans="1:14" x14ac:dyDescent="0.25">
      <c r="A435">
        <v>184.751349</v>
      </c>
      <c r="B435" s="1">
        <f>DATE(2010,11,1) + TIME(18,1,56)</f>
        <v>40483.751342592594</v>
      </c>
      <c r="C435">
        <v>80</v>
      </c>
      <c r="D435">
        <v>79.769416809000006</v>
      </c>
      <c r="E435">
        <v>40</v>
      </c>
      <c r="F435">
        <v>51.798946381</v>
      </c>
      <c r="G435">
        <v>1330.6409911999999</v>
      </c>
      <c r="H435">
        <v>1330.4875488</v>
      </c>
      <c r="I435">
        <v>1333.9975586</v>
      </c>
      <c r="J435">
        <v>1332.6468506000001</v>
      </c>
      <c r="K435">
        <v>0</v>
      </c>
      <c r="L435">
        <v>550</v>
      </c>
      <c r="M435">
        <v>550</v>
      </c>
      <c r="N435">
        <v>0</v>
      </c>
    </row>
    <row r="436" spans="1:14" x14ac:dyDescent="0.25">
      <c r="A436">
        <v>184.882452</v>
      </c>
      <c r="B436" s="1">
        <f>DATE(2010,11,1) + TIME(21,10,43)</f>
        <v>40483.88244212963</v>
      </c>
      <c r="C436">
        <v>80</v>
      </c>
      <c r="D436">
        <v>79.752914429</v>
      </c>
      <c r="E436">
        <v>40</v>
      </c>
      <c r="F436">
        <v>51.157249450999998</v>
      </c>
      <c r="G436">
        <v>1330.6306152</v>
      </c>
      <c r="H436">
        <v>1330.4722899999999</v>
      </c>
      <c r="I436">
        <v>1333.9888916</v>
      </c>
      <c r="J436">
        <v>1332.6370850000001</v>
      </c>
      <c r="K436">
        <v>0</v>
      </c>
      <c r="L436">
        <v>550</v>
      </c>
      <c r="M436">
        <v>550</v>
      </c>
      <c r="N436">
        <v>0</v>
      </c>
    </row>
    <row r="437" spans="1:14" x14ac:dyDescent="0.25">
      <c r="A437">
        <v>185.02081100000001</v>
      </c>
      <c r="B437" s="1">
        <f>DATE(2010,11,2) + TIME(0,29,58)</f>
        <v>40484.020810185182</v>
      </c>
      <c r="C437">
        <v>80</v>
      </c>
      <c r="D437">
        <v>79.735435486</v>
      </c>
      <c r="E437">
        <v>40</v>
      </c>
      <c r="F437">
        <v>50.524456024000003</v>
      </c>
      <c r="G437">
        <v>1330.6199951000001</v>
      </c>
      <c r="H437">
        <v>1330.4567870999999</v>
      </c>
      <c r="I437">
        <v>1333.980957</v>
      </c>
      <c r="J437">
        <v>1332.6278076000001</v>
      </c>
      <c r="K437">
        <v>0</v>
      </c>
      <c r="L437">
        <v>550</v>
      </c>
      <c r="M437">
        <v>550</v>
      </c>
      <c r="N437">
        <v>0</v>
      </c>
    </row>
    <row r="438" spans="1:14" x14ac:dyDescent="0.25">
      <c r="A438">
        <v>185.16707299999999</v>
      </c>
      <c r="B438" s="1">
        <f>DATE(2010,11,2) + TIME(4,0,35)</f>
        <v>40484.167071759257</v>
      </c>
      <c r="C438">
        <v>80</v>
      </c>
      <c r="D438">
        <v>79.716903686999999</v>
      </c>
      <c r="E438">
        <v>40</v>
      </c>
      <c r="F438">
        <v>49.900848388999997</v>
      </c>
      <c r="G438">
        <v>1330.6092529</v>
      </c>
      <c r="H438">
        <v>1330.4410399999999</v>
      </c>
      <c r="I438">
        <v>1333.9738769999999</v>
      </c>
      <c r="J438">
        <v>1332.6191406</v>
      </c>
      <c r="K438">
        <v>0</v>
      </c>
      <c r="L438">
        <v>550</v>
      </c>
      <c r="M438">
        <v>550</v>
      </c>
      <c r="N438">
        <v>0</v>
      </c>
    </row>
    <row r="439" spans="1:14" x14ac:dyDescent="0.25">
      <c r="A439">
        <v>185.32196500000001</v>
      </c>
      <c r="B439" s="1">
        <f>DATE(2010,11,2) + TIME(7,43,37)</f>
        <v>40484.321956018517</v>
      </c>
      <c r="C439">
        <v>80</v>
      </c>
      <c r="D439">
        <v>79.697212218999994</v>
      </c>
      <c r="E439">
        <v>40</v>
      </c>
      <c r="F439">
        <v>49.286609650000003</v>
      </c>
      <c r="G439">
        <v>1330.5982666</v>
      </c>
      <c r="H439">
        <v>1330.4249268000001</v>
      </c>
      <c r="I439">
        <v>1333.9676514</v>
      </c>
      <c r="J439">
        <v>1332.6110839999999</v>
      </c>
      <c r="K439">
        <v>0</v>
      </c>
      <c r="L439">
        <v>550</v>
      </c>
      <c r="M439">
        <v>550</v>
      </c>
      <c r="N439">
        <v>0</v>
      </c>
    </row>
    <row r="440" spans="1:14" x14ac:dyDescent="0.25">
      <c r="A440">
        <v>185.48630399999999</v>
      </c>
      <c r="B440" s="1">
        <f>DATE(2010,11,2) + TIME(11,40,16)</f>
        <v>40484.486296296294</v>
      </c>
      <c r="C440">
        <v>80</v>
      </c>
      <c r="D440">
        <v>79.676269531000003</v>
      </c>
      <c r="E440">
        <v>40</v>
      </c>
      <c r="F440">
        <v>48.682430267000001</v>
      </c>
      <c r="G440">
        <v>1330.5870361</v>
      </c>
      <c r="H440">
        <v>1330.4084473</v>
      </c>
      <c r="I440">
        <v>1333.9622803</v>
      </c>
      <c r="J440">
        <v>1332.6036377</v>
      </c>
      <c r="K440">
        <v>0</v>
      </c>
      <c r="L440">
        <v>550</v>
      </c>
      <c r="M440">
        <v>550</v>
      </c>
      <c r="N440">
        <v>0</v>
      </c>
    </row>
    <row r="441" spans="1:14" x14ac:dyDescent="0.25">
      <c r="A441">
        <v>185.66101800000001</v>
      </c>
      <c r="B441" s="1">
        <f>DATE(2010,11,2) + TIME(15,51,51)</f>
        <v>40484.661006944443</v>
      </c>
      <c r="C441">
        <v>80</v>
      </c>
      <c r="D441">
        <v>79.653961182000003</v>
      </c>
      <c r="E441">
        <v>40</v>
      </c>
      <c r="F441">
        <v>48.088825225999997</v>
      </c>
      <c r="G441">
        <v>1330.5755615</v>
      </c>
      <c r="H441">
        <v>1330.3916016000001</v>
      </c>
      <c r="I441">
        <v>1333.9580077999999</v>
      </c>
      <c r="J441">
        <v>1332.5969238</v>
      </c>
      <c r="K441">
        <v>0</v>
      </c>
      <c r="L441">
        <v>550</v>
      </c>
      <c r="M441">
        <v>550</v>
      </c>
      <c r="N441">
        <v>0</v>
      </c>
    </row>
    <row r="442" spans="1:14" x14ac:dyDescent="0.25">
      <c r="A442">
        <v>185.847139</v>
      </c>
      <c r="B442" s="1">
        <f>DATE(2010,11,2) + TIME(20,19,52)</f>
        <v>40484.847129629627</v>
      </c>
      <c r="C442">
        <v>80</v>
      </c>
      <c r="D442">
        <v>79.630142211999996</v>
      </c>
      <c r="E442">
        <v>40</v>
      </c>
      <c r="F442">
        <v>47.506443023999999</v>
      </c>
      <c r="G442">
        <v>1330.5638428</v>
      </c>
      <c r="H442">
        <v>1330.3742675999999</v>
      </c>
      <c r="I442">
        <v>1333.9545897999999</v>
      </c>
      <c r="J442">
        <v>1332.5909423999999</v>
      </c>
      <c r="K442">
        <v>0</v>
      </c>
      <c r="L442">
        <v>550</v>
      </c>
      <c r="M442">
        <v>550</v>
      </c>
      <c r="N442">
        <v>0</v>
      </c>
    </row>
    <row r="443" spans="1:14" x14ac:dyDescent="0.25">
      <c r="A443">
        <v>186.04579799999999</v>
      </c>
      <c r="B443" s="1">
        <f>DATE(2010,11,3) + TIME(1,5,56)</f>
        <v>40485.045787037037</v>
      </c>
      <c r="C443">
        <v>80</v>
      </c>
      <c r="D443">
        <v>79.604675293</v>
      </c>
      <c r="E443">
        <v>40</v>
      </c>
      <c r="F443">
        <v>46.936141968000001</v>
      </c>
      <c r="G443">
        <v>1330.5517577999999</v>
      </c>
      <c r="H443">
        <v>1330.3565673999999</v>
      </c>
      <c r="I443">
        <v>1333.9523925999999</v>
      </c>
      <c r="J443">
        <v>1332.5856934000001</v>
      </c>
      <c r="K443">
        <v>0</v>
      </c>
      <c r="L443">
        <v>550</v>
      </c>
      <c r="M443">
        <v>550</v>
      </c>
      <c r="N443">
        <v>0</v>
      </c>
    </row>
    <row r="444" spans="1:14" x14ac:dyDescent="0.25">
      <c r="A444">
        <v>186.25842499999999</v>
      </c>
      <c r="B444" s="1">
        <f>DATE(2010,11,3) + TIME(6,12,7)</f>
        <v>40485.258414351854</v>
      </c>
      <c r="C444">
        <v>80</v>
      </c>
      <c r="D444">
        <v>79.577400208</v>
      </c>
      <c r="E444">
        <v>40</v>
      </c>
      <c r="F444">
        <v>46.378513335999997</v>
      </c>
      <c r="G444">
        <v>1330.5394286999999</v>
      </c>
      <c r="H444">
        <v>1330.3383789</v>
      </c>
      <c r="I444">
        <v>1333.9512939000001</v>
      </c>
      <c r="J444">
        <v>1332.5811768000001</v>
      </c>
      <c r="K444">
        <v>0</v>
      </c>
      <c r="L444">
        <v>550</v>
      </c>
      <c r="M444">
        <v>550</v>
      </c>
      <c r="N444">
        <v>0</v>
      </c>
    </row>
    <row r="445" spans="1:14" x14ac:dyDescent="0.25">
      <c r="A445">
        <v>186.48658499999999</v>
      </c>
      <c r="B445" s="1">
        <f>DATE(2010,11,3) + TIME(11,40,40)</f>
        <v>40485.486574074072</v>
      </c>
      <c r="C445">
        <v>80</v>
      </c>
      <c r="D445">
        <v>79.548110961999996</v>
      </c>
      <c r="E445">
        <v>40</v>
      </c>
      <c r="F445">
        <v>45.834465027</v>
      </c>
      <c r="G445">
        <v>1330.5266113</v>
      </c>
      <c r="H445">
        <v>1330.3195800999999</v>
      </c>
      <c r="I445">
        <v>1333.9514160000001</v>
      </c>
      <c r="J445">
        <v>1332.5775146000001</v>
      </c>
      <c r="K445">
        <v>0</v>
      </c>
      <c r="L445">
        <v>550</v>
      </c>
      <c r="M445">
        <v>550</v>
      </c>
      <c r="N445">
        <v>0</v>
      </c>
    </row>
    <row r="446" spans="1:14" x14ac:dyDescent="0.25">
      <c r="A446">
        <v>186.73208199999999</v>
      </c>
      <c r="B446" s="1">
        <f>DATE(2010,11,3) + TIME(17,34,11)</f>
        <v>40485.732071759259</v>
      </c>
      <c r="C446">
        <v>80</v>
      </c>
      <c r="D446">
        <v>79.516601562000005</v>
      </c>
      <c r="E446">
        <v>40</v>
      </c>
      <c r="F446">
        <v>45.305034636999999</v>
      </c>
      <c r="G446">
        <v>1330.5134277</v>
      </c>
      <c r="H446">
        <v>1330.3001709</v>
      </c>
      <c r="I446">
        <v>1333.9527588000001</v>
      </c>
      <c r="J446">
        <v>1332.574707</v>
      </c>
      <c r="K446">
        <v>0</v>
      </c>
      <c r="L446">
        <v>550</v>
      </c>
      <c r="M446">
        <v>550</v>
      </c>
      <c r="N446">
        <v>0</v>
      </c>
    </row>
    <row r="447" spans="1:14" x14ac:dyDescent="0.25">
      <c r="A447">
        <v>186.99700200000001</v>
      </c>
      <c r="B447" s="1">
        <f>DATE(2010,11,3) + TIME(23,55,41)</f>
        <v>40485.997002314813</v>
      </c>
      <c r="C447">
        <v>80</v>
      </c>
      <c r="D447">
        <v>79.482620238999999</v>
      </c>
      <c r="E447">
        <v>40</v>
      </c>
      <c r="F447">
        <v>44.791404724000003</v>
      </c>
      <c r="G447">
        <v>1330.4997559000001</v>
      </c>
      <c r="H447">
        <v>1330.2800293</v>
      </c>
      <c r="I447">
        <v>1333.9553223</v>
      </c>
      <c r="J447">
        <v>1332.5727539</v>
      </c>
      <c r="K447">
        <v>0</v>
      </c>
      <c r="L447">
        <v>550</v>
      </c>
      <c r="M447">
        <v>550</v>
      </c>
      <c r="N447">
        <v>0</v>
      </c>
    </row>
    <row r="448" spans="1:14" x14ac:dyDescent="0.25">
      <c r="A448">
        <v>187.28376800000001</v>
      </c>
      <c r="B448" s="1">
        <f>DATE(2010,11,4) + TIME(6,48,37)</f>
        <v>40486.283761574072</v>
      </c>
      <c r="C448">
        <v>80</v>
      </c>
      <c r="D448">
        <v>79.445899963000002</v>
      </c>
      <c r="E448">
        <v>40</v>
      </c>
      <c r="F448">
        <v>44.294898987000003</v>
      </c>
      <c r="G448">
        <v>1330.4854736</v>
      </c>
      <c r="H448">
        <v>1330.2591553</v>
      </c>
      <c r="I448">
        <v>1333.9592285000001</v>
      </c>
      <c r="J448">
        <v>1332.5717772999999</v>
      </c>
      <c r="K448">
        <v>0</v>
      </c>
      <c r="L448">
        <v>550</v>
      </c>
      <c r="M448">
        <v>550</v>
      </c>
      <c r="N448">
        <v>0</v>
      </c>
    </row>
    <row r="449" spans="1:14" x14ac:dyDescent="0.25">
      <c r="A449">
        <v>187.59520499999999</v>
      </c>
      <c r="B449" s="1">
        <f>DATE(2010,11,4) + TIME(14,17,5)</f>
        <v>40486.595196759263</v>
      </c>
      <c r="C449">
        <v>80</v>
      </c>
      <c r="D449">
        <v>79.406112671000002</v>
      </c>
      <c r="E449">
        <v>40</v>
      </c>
      <c r="F449">
        <v>43.817001343000001</v>
      </c>
      <c r="G449">
        <v>1330.4707031</v>
      </c>
      <c r="H449">
        <v>1330.2375488</v>
      </c>
      <c r="I449">
        <v>1333.9644774999999</v>
      </c>
      <c r="J449">
        <v>1332.5715332</v>
      </c>
      <c r="K449">
        <v>0</v>
      </c>
      <c r="L449">
        <v>550</v>
      </c>
      <c r="M449">
        <v>550</v>
      </c>
      <c r="N449">
        <v>0</v>
      </c>
    </row>
    <row r="450" spans="1:14" x14ac:dyDescent="0.25">
      <c r="A450">
        <v>187.93462500000001</v>
      </c>
      <c r="B450" s="1">
        <f>DATE(2010,11,4) + TIME(22,25,51)</f>
        <v>40486.934618055559</v>
      </c>
      <c r="C450">
        <v>80</v>
      </c>
      <c r="D450">
        <v>79.362907410000005</v>
      </c>
      <c r="E450">
        <v>40</v>
      </c>
      <c r="F450">
        <v>43.359355927000003</v>
      </c>
      <c r="G450">
        <v>1330.4552002</v>
      </c>
      <c r="H450">
        <v>1330.2148437999999</v>
      </c>
      <c r="I450">
        <v>1333.9709473</v>
      </c>
      <c r="J450">
        <v>1332.5722656</v>
      </c>
      <c r="K450">
        <v>0</v>
      </c>
      <c r="L450">
        <v>550</v>
      </c>
      <c r="M450">
        <v>550</v>
      </c>
      <c r="N450">
        <v>0</v>
      </c>
    </row>
    <row r="451" spans="1:14" x14ac:dyDescent="0.25">
      <c r="A451">
        <v>188.30591999999999</v>
      </c>
      <c r="B451" s="1">
        <f>DATE(2010,11,5) + TIME(7,20,31)</f>
        <v>40487.305914351855</v>
      </c>
      <c r="C451">
        <v>80</v>
      </c>
      <c r="D451">
        <v>79.315856933999996</v>
      </c>
      <c r="E451">
        <v>40</v>
      </c>
      <c r="F451">
        <v>42.923778534</v>
      </c>
      <c r="G451">
        <v>1330.4389647999999</v>
      </c>
      <c r="H451">
        <v>1330.1910399999999</v>
      </c>
      <c r="I451">
        <v>1333.9786377</v>
      </c>
      <c r="J451">
        <v>1332.5739745999999</v>
      </c>
      <c r="K451">
        <v>0</v>
      </c>
      <c r="L451">
        <v>550</v>
      </c>
      <c r="M451">
        <v>550</v>
      </c>
      <c r="N451">
        <v>0</v>
      </c>
    </row>
    <row r="452" spans="1:14" x14ac:dyDescent="0.25">
      <c r="A452">
        <v>188.713686</v>
      </c>
      <c r="B452" s="1">
        <f>DATE(2010,11,5) + TIME(17,7,42)</f>
        <v>40487.713680555556</v>
      </c>
      <c r="C452">
        <v>80</v>
      </c>
      <c r="D452">
        <v>79.264488220000004</v>
      </c>
      <c r="E452">
        <v>40</v>
      </c>
      <c r="F452">
        <v>42.512210846000002</v>
      </c>
      <c r="G452">
        <v>1330.421875</v>
      </c>
      <c r="H452">
        <v>1330.1660156</v>
      </c>
      <c r="I452">
        <v>1333.9875488</v>
      </c>
      <c r="J452">
        <v>1332.5764160000001</v>
      </c>
      <c r="K452">
        <v>0</v>
      </c>
      <c r="L452">
        <v>550</v>
      </c>
      <c r="M452">
        <v>550</v>
      </c>
      <c r="N452">
        <v>0</v>
      </c>
    </row>
    <row r="453" spans="1:14" x14ac:dyDescent="0.25">
      <c r="A453">
        <v>189.16340700000001</v>
      </c>
      <c r="B453" s="1">
        <f>DATE(2010,11,6) + TIME(3,55,18)</f>
        <v>40488.163402777776</v>
      </c>
      <c r="C453">
        <v>80</v>
      </c>
      <c r="D453">
        <v>79.208259583</v>
      </c>
      <c r="E453">
        <v>40</v>
      </c>
      <c r="F453">
        <v>42.126670836999999</v>
      </c>
      <c r="G453">
        <v>1330.4036865</v>
      </c>
      <c r="H453">
        <v>1330.1396483999999</v>
      </c>
      <c r="I453">
        <v>1333.9976807</v>
      </c>
      <c r="J453">
        <v>1332.5795897999999</v>
      </c>
      <c r="K453">
        <v>0</v>
      </c>
      <c r="L453">
        <v>550</v>
      </c>
      <c r="M453">
        <v>550</v>
      </c>
      <c r="N453">
        <v>0</v>
      </c>
    </row>
    <row r="454" spans="1:14" x14ac:dyDescent="0.25">
      <c r="A454">
        <v>189.65498199999999</v>
      </c>
      <c r="B454" s="1">
        <f>DATE(2010,11,6) + TIME(15,43,10)</f>
        <v>40488.654976851853</v>
      </c>
      <c r="C454">
        <v>80</v>
      </c>
      <c r="D454">
        <v>79.147308350000003</v>
      </c>
      <c r="E454">
        <v>40</v>
      </c>
      <c r="F454">
        <v>41.773200989000003</v>
      </c>
      <c r="G454">
        <v>1330.3845214999999</v>
      </c>
      <c r="H454">
        <v>1330.1118164</v>
      </c>
      <c r="I454">
        <v>1334.0087891000001</v>
      </c>
      <c r="J454">
        <v>1332.5837402</v>
      </c>
      <c r="K454">
        <v>0</v>
      </c>
      <c r="L454">
        <v>550</v>
      </c>
      <c r="M454">
        <v>550</v>
      </c>
      <c r="N454">
        <v>0</v>
      </c>
    </row>
    <row r="455" spans="1:14" x14ac:dyDescent="0.25">
      <c r="A455">
        <v>190.161565</v>
      </c>
      <c r="B455" s="1">
        <f>DATE(2010,11,7) + TIME(3,52,39)</f>
        <v>40489.161562499998</v>
      </c>
      <c r="C455">
        <v>80</v>
      </c>
      <c r="D455">
        <v>79.084861755000006</v>
      </c>
      <c r="E455">
        <v>40</v>
      </c>
      <c r="F455">
        <v>41.468730927000003</v>
      </c>
      <c r="G455">
        <v>1330.3643798999999</v>
      </c>
      <c r="H455">
        <v>1330.0827637</v>
      </c>
      <c r="I455">
        <v>1334.0213623</v>
      </c>
      <c r="J455">
        <v>1332.5889893000001</v>
      </c>
      <c r="K455">
        <v>0</v>
      </c>
      <c r="L455">
        <v>550</v>
      </c>
      <c r="M455">
        <v>550</v>
      </c>
      <c r="N455">
        <v>0</v>
      </c>
    </row>
    <row r="456" spans="1:14" x14ac:dyDescent="0.25">
      <c r="A456">
        <v>190.685226</v>
      </c>
      <c r="B456" s="1">
        <f>DATE(2010,11,7) + TIME(16,26,43)</f>
        <v>40489.685219907406</v>
      </c>
      <c r="C456">
        <v>80</v>
      </c>
      <c r="D456">
        <v>79.020751953000001</v>
      </c>
      <c r="E456">
        <v>40</v>
      </c>
      <c r="F456">
        <v>41.206928253000001</v>
      </c>
      <c r="G456">
        <v>1330.3442382999999</v>
      </c>
      <c r="H456">
        <v>1330.0535889</v>
      </c>
      <c r="I456">
        <v>1334.0333252</v>
      </c>
      <c r="J456">
        <v>1332.5941161999999</v>
      </c>
      <c r="K456">
        <v>0</v>
      </c>
      <c r="L456">
        <v>550</v>
      </c>
      <c r="M456">
        <v>550</v>
      </c>
      <c r="N456">
        <v>0</v>
      </c>
    </row>
    <row r="457" spans="1:14" x14ac:dyDescent="0.25">
      <c r="A457">
        <v>191.22727599999999</v>
      </c>
      <c r="B457" s="1">
        <f>DATE(2010,11,8) + TIME(5,27,16)</f>
        <v>40490.227268518516</v>
      </c>
      <c r="C457">
        <v>80</v>
      </c>
      <c r="D457">
        <v>78.954887389999996</v>
      </c>
      <c r="E457">
        <v>40</v>
      </c>
      <c r="F457">
        <v>40.982723235999998</v>
      </c>
      <c r="G457">
        <v>1330.3238524999999</v>
      </c>
      <c r="H457">
        <v>1330.0244141000001</v>
      </c>
      <c r="I457">
        <v>1334.0447998</v>
      </c>
      <c r="J457">
        <v>1332.5991211</v>
      </c>
      <c r="K457">
        <v>0</v>
      </c>
      <c r="L457">
        <v>550</v>
      </c>
      <c r="M457">
        <v>550</v>
      </c>
      <c r="N457">
        <v>0</v>
      </c>
    </row>
    <row r="458" spans="1:14" x14ac:dyDescent="0.25">
      <c r="A458">
        <v>191.78914599999999</v>
      </c>
      <c r="B458" s="1">
        <f>DATE(2010,11,8) + TIME(18,56,22)</f>
        <v>40490.789143518516</v>
      </c>
      <c r="C458">
        <v>80</v>
      </c>
      <c r="D458">
        <v>78.887153624999996</v>
      </c>
      <c r="E458">
        <v>40</v>
      </c>
      <c r="F458">
        <v>40.791576384999999</v>
      </c>
      <c r="G458">
        <v>1330.3033447</v>
      </c>
      <c r="H458">
        <v>1329.9948730000001</v>
      </c>
      <c r="I458">
        <v>1334.0554199000001</v>
      </c>
      <c r="J458">
        <v>1332.6038818</v>
      </c>
      <c r="K458">
        <v>0</v>
      </c>
      <c r="L458">
        <v>550</v>
      </c>
      <c r="M458">
        <v>550</v>
      </c>
      <c r="N458">
        <v>0</v>
      </c>
    </row>
    <row r="459" spans="1:14" x14ac:dyDescent="0.25">
      <c r="A459">
        <v>192.372377</v>
      </c>
      <c r="B459" s="1">
        <f>DATE(2010,11,9) + TIME(8,56,13)</f>
        <v>40491.372372685182</v>
      </c>
      <c r="C459">
        <v>80</v>
      </c>
      <c r="D459">
        <v>78.817459106000001</v>
      </c>
      <c r="E459">
        <v>40</v>
      </c>
      <c r="F459">
        <v>40.629428863999998</v>
      </c>
      <c r="G459">
        <v>1330.2824707</v>
      </c>
      <c r="H459">
        <v>1329.9650879000001</v>
      </c>
      <c r="I459">
        <v>1334.0651855000001</v>
      </c>
      <c r="J459">
        <v>1332.6081543</v>
      </c>
      <c r="K459">
        <v>0</v>
      </c>
      <c r="L459">
        <v>550</v>
      </c>
      <c r="M459">
        <v>550</v>
      </c>
      <c r="N459">
        <v>0</v>
      </c>
    </row>
    <row r="460" spans="1:14" x14ac:dyDescent="0.25">
      <c r="A460">
        <v>192.978635</v>
      </c>
      <c r="B460" s="1">
        <f>DATE(2010,11,9) + TIME(23,29,14)</f>
        <v>40491.978634259256</v>
      </c>
      <c r="C460">
        <v>80</v>
      </c>
      <c r="D460">
        <v>78.745674132999994</v>
      </c>
      <c r="E460">
        <v>40</v>
      </c>
      <c r="F460">
        <v>40.492637633999998</v>
      </c>
      <c r="G460">
        <v>1330.2612305</v>
      </c>
      <c r="H460">
        <v>1329.9349365</v>
      </c>
      <c r="I460">
        <v>1334.0739745999999</v>
      </c>
      <c r="J460">
        <v>1332.6120605000001</v>
      </c>
      <c r="K460">
        <v>0</v>
      </c>
      <c r="L460">
        <v>550</v>
      </c>
      <c r="M460">
        <v>550</v>
      </c>
      <c r="N460">
        <v>0</v>
      </c>
    </row>
    <row r="461" spans="1:14" x14ac:dyDescent="0.25">
      <c r="A461">
        <v>193.60973300000001</v>
      </c>
      <c r="B461" s="1">
        <f>DATE(2010,11,10) + TIME(14,38,0)</f>
        <v>40492.609722222223</v>
      </c>
      <c r="C461">
        <v>80</v>
      </c>
      <c r="D461">
        <v>78.671653747999997</v>
      </c>
      <c r="E461">
        <v>40</v>
      </c>
      <c r="F461">
        <v>40.377929688000002</v>
      </c>
      <c r="G461">
        <v>1330.2397461</v>
      </c>
      <c r="H461">
        <v>1329.9042969</v>
      </c>
      <c r="I461">
        <v>1334.0817870999999</v>
      </c>
      <c r="J461">
        <v>1332.6154785000001</v>
      </c>
      <c r="K461">
        <v>0</v>
      </c>
      <c r="L461">
        <v>550</v>
      </c>
      <c r="M461">
        <v>550</v>
      </c>
      <c r="N461">
        <v>0</v>
      </c>
    </row>
    <row r="462" spans="1:14" x14ac:dyDescent="0.25">
      <c r="A462">
        <v>194.26765</v>
      </c>
      <c r="B462" s="1">
        <f>DATE(2010,11,11) + TIME(6,25,24)</f>
        <v>40493.267638888887</v>
      </c>
      <c r="C462">
        <v>80</v>
      </c>
      <c r="D462">
        <v>78.595245360999996</v>
      </c>
      <c r="E462">
        <v>40</v>
      </c>
      <c r="F462">
        <v>40.282367706000002</v>
      </c>
      <c r="G462">
        <v>1330.2177733999999</v>
      </c>
      <c r="H462">
        <v>1329.8731689000001</v>
      </c>
      <c r="I462">
        <v>1334.088501</v>
      </c>
      <c r="J462">
        <v>1332.6182861</v>
      </c>
      <c r="K462">
        <v>0</v>
      </c>
      <c r="L462">
        <v>550</v>
      </c>
      <c r="M462">
        <v>550</v>
      </c>
      <c r="N462">
        <v>0</v>
      </c>
    </row>
    <row r="463" spans="1:14" x14ac:dyDescent="0.25">
      <c r="A463">
        <v>194.95455000000001</v>
      </c>
      <c r="B463" s="1">
        <f>DATE(2010,11,11) + TIME(22,54,33)</f>
        <v>40493.954548611109</v>
      </c>
      <c r="C463">
        <v>80</v>
      </c>
      <c r="D463">
        <v>78.516265868999994</v>
      </c>
      <c r="E463">
        <v>40</v>
      </c>
      <c r="F463">
        <v>40.203304291000002</v>
      </c>
      <c r="G463">
        <v>1330.1953125</v>
      </c>
      <c r="H463">
        <v>1329.8414307</v>
      </c>
      <c r="I463">
        <v>1334.0943603999999</v>
      </c>
      <c r="J463">
        <v>1332.6206055</v>
      </c>
      <c r="K463">
        <v>0</v>
      </c>
      <c r="L463">
        <v>550</v>
      </c>
      <c r="M463">
        <v>550</v>
      </c>
      <c r="N463">
        <v>0</v>
      </c>
    </row>
    <row r="464" spans="1:14" x14ac:dyDescent="0.25">
      <c r="A464">
        <v>195.66998899999999</v>
      </c>
      <c r="B464" s="1">
        <f>DATE(2010,11,12) + TIME(16,4,47)</f>
        <v>40494.669988425929</v>
      </c>
      <c r="C464">
        <v>80</v>
      </c>
      <c r="D464">
        <v>78.434806824000006</v>
      </c>
      <c r="E464">
        <v>40</v>
      </c>
      <c r="F464">
        <v>40.138587952000002</v>
      </c>
      <c r="G464">
        <v>1330.1722411999999</v>
      </c>
      <c r="H464">
        <v>1329.809082</v>
      </c>
      <c r="I464">
        <v>1334.0991211</v>
      </c>
      <c r="J464">
        <v>1332.6224365</v>
      </c>
      <c r="K464">
        <v>0</v>
      </c>
      <c r="L464">
        <v>550</v>
      </c>
      <c r="M464">
        <v>550</v>
      </c>
      <c r="N464">
        <v>0</v>
      </c>
    </row>
    <row r="465" spans="1:14" x14ac:dyDescent="0.25">
      <c r="A465">
        <v>196.414051</v>
      </c>
      <c r="B465" s="1">
        <f>DATE(2010,11,13) + TIME(9,56,13)</f>
        <v>40495.414039351854</v>
      </c>
      <c r="C465">
        <v>80</v>
      </c>
      <c r="D465">
        <v>78.350883483999993</v>
      </c>
      <c r="E465">
        <v>40</v>
      </c>
      <c r="F465">
        <v>40.086109161000003</v>
      </c>
      <c r="G465">
        <v>1330.1488036999999</v>
      </c>
      <c r="H465">
        <v>1329.7761230000001</v>
      </c>
      <c r="I465">
        <v>1334.1030272999999</v>
      </c>
      <c r="J465">
        <v>1332.6236572</v>
      </c>
      <c r="K465">
        <v>0</v>
      </c>
      <c r="L465">
        <v>550</v>
      </c>
      <c r="M465">
        <v>550</v>
      </c>
      <c r="N465">
        <v>0</v>
      </c>
    </row>
    <row r="466" spans="1:14" x14ac:dyDescent="0.25">
      <c r="A466">
        <v>197.188558</v>
      </c>
      <c r="B466" s="1">
        <f>DATE(2010,11,14) + TIME(4,31,31)</f>
        <v>40496.18855324074</v>
      </c>
      <c r="C466">
        <v>80</v>
      </c>
      <c r="D466">
        <v>78.264312743999994</v>
      </c>
      <c r="E466">
        <v>40</v>
      </c>
      <c r="F466">
        <v>40.043869018999999</v>
      </c>
      <c r="G466">
        <v>1330.1247559000001</v>
      </c>
      <c r="H466">
        <v>1329.7426757999999</v>
      </c>
      <c r="I466">
        <v>1334.105957</v>
      </c>
      <c r="J466">
        <v>1332.6243896000001</v>
      </c>
      <c r="K466">
        <v>0</v>
      </c>
      <c r="L466">
        <v>550</v>
      </c>
      <c r="M466">
        <v>550</v>
      </c>
      <c r="N466">
        <v>0</v>
      </c>
    </row>
    <row r="467" spans="1:14" x14ac:dyDescent="0.25">
      <c r="A467">
        <v>197.99591100000001</v>
      </c>
      <c r="B467" s="1">
        <f>DATE(2010,11,14) + TIME(23,54,6)</f>
        <v>40496.99590277778</v>
      </c>
      <c r="C467">
        <v>80</v>
      </c>
      <c r="D467">
        <v>78.174873352000006</v>
      </c>
      <c r="E467">
        <v>40</v>
      </c>
      <c r="F467">
        <v>40.010120391999997</v>
      </c>
      <c r="G467">
        <v>1330.1003418</v>
      </c>
      <c r="H467">
        <v>1329.7084961</v>
      </c>
      <c r="I467">
        <v>1334.1081543</v>
      </c>
      <c r="J467">
        <v>1332.6246338000001</v>
      </c>
      <c r="K467">
        <v>0</v>
      </c>
      <c r="L467">
        <v>550</v>
      </c>
      <c r="M467">
        <v>550</v>
      </c>
      <c r="N467">
        <v>0</v>
      </c>
    </row>
    <row r="468" spans="1:14" x14ac:dyDescent="0.25">
      <c r="A468">
        <v>198.83875499999999</v>
      </c>
      <c r="B468" s="1">
        <f>DATE(2010,11,15) + TIME(20,7,48)</f>
        <v>40497.838750000003</v>
      </c>
      <c r="C468">
        <v>80</v>
      </c>
      <c r="D468">
        <v>78.082290649000001</v>
      </c>
      <c r="E468">
        <v>40</v>
      </c>
      <c r="F468">
        <v>39.983360290999997</v>
      </c>
      <c r="G468">
        <v>1330.0751952999999</v>
      </c>
      <c r="H468">
        <v>1329.6735839999999</v>
      </c>
      <c r="I468">
        <v>1334.109375</v>
      </c>
      <c r="J468">
        <v>1332.6243896000001</v>
      </c>
      <c r="K468">
        <v>0</v>
      </c>
      <c r="L468">
        <v>550</v>
      </c>
      <c r="M468">
        <v>550</v>
      </c>
      <c r="N468">
        <v>0</v>
      </c>
    </row>
    <row r="469" spans="1:14" x14ac:dyDescent="0.25">
      <c r="A469">
        <v>199.71994599999999</v>
      </c>
      <c r="B469" s="1">
        <f>DATE(2010,11,16) + TIME(17,16,43)</f>
        <v>40498.719942129632</v>
      </c>
      <c r="C469">
        <v>80</v>
      </c>
      <c r="D469">
        <v>77.986259459999999</v>
      </c>
      <c r="E469">
        <v>40</v>
      </c>
      <c r="F469">
        <v>39.962306976000001</v>
      </c>
      <c r="G469">
        <v>1330.0495605000001</v>
      </c>
      <c r="H469">
        <v>1329.6378173999999</v>
      </c>
      <c r="I469">
        <v>1334.1099853999999</v>
      </c>
      <c r="J469">
        <v>1332.6237793</v>
      </c>
      <c r="K469">
        <v>0</v>
      </c>
      <c r="L469">
        <v>550</v>
      </c>
      <c r="M469">
        <v>550</v>
      </c>
      <c r="N469">
        <v>0</v>
      </c>
    </row>
    <row r="470" spans="1:14" x14ac:dyDescent="0.25">
      <c r="A470">
        <v>200.64257599999999</v>
      </c>
      <c r="B470" s="1">
        <f>DATE(2010,11,17) + TIME(15,25,18)</f>
        <v>40499.642569444448</v>
      </c>
      <c r="C470">
        <v>80</v>
      </c>
      <c r="D470">
        <v>77.886428832999997</v>
      </c>
      <c r="E470">
        <v>40</v>
      </c>
      <c r="F470">
        <v>39.945884704999997</v>
      </c>
      <c r="G470">
        <v>1330.0231934000001</v>
      </c>
      <c r="H470">
        <v>1329.6013184000001</v>
      </c>
      <c r="I470">
        <v>1334.1098632999999</v>
      </c>
      <c r="J470">
        <v>1332.6226807</v>
      </c>
      <c r="K470">
        <v>0</v>
      </c>
      <c r="L470">
        <v>550</v>
      </c>
      <c r="M470">
        <v>550</v>
      </c>
      <c r="N470">
        <v>0</v>
      </c>
    </row>
    <row r="471" spans="1:14" x14ac:dyDescent="0.25">
      <c r="A471">
        <v>201.60999100000001</v>
      </c>
      <c r="B471" s="1">
        <f>DATE(2010,11,18) + TIME(14,38,23)</f>
        <v>40500.609988425924</v>
      </c>
      <c r="C471">
        <v>80</v>
      </c>
      <c r="D471">
        <v>77.782432556000003</v>
      </c>
      <c r="E471">
        <v>40</v>
      </c>
      <c r="F471">
        <v>39.933181763</v>
      </c>
      <c r="G471">
        <v>1329.9960937999999</v>
      </c>
      <c r="H471">
        <v>1329.5638428</v>
      </c>
      <c r="I471">
        <v>1334.1092529</v>
      </c>
      <c r="J471">
        <v>1332.6213379000001</v>
      </c>
      <c r="K471">
        <v>0</v>
      </c>
      <c r="L471">
        <v>550</v>
      </c>
      <c r="M471">
        <v>550</v>
      </c>
      <c r="N471">
        <v>0</v>
      </c>
    </row>
    <row r="472" spans="1:14" x14ac:dyDescent="0.25">
      <c r="A472">
        <v>202.62533500000001</v>
      </c>
      <c r="B472" s="1">
        <f>DATE(2010,11,19) + TIME(15,0,28)</f>
        <v>40501.625324074077</v>
      </c>
      <c r="C472">
        <v>80</v>
      </c>
      <c r="D472">
        <v>77.673873900999993</v>
      </c>
      <c r="E472">
        <v>40</v>
      </c>
      <c r="F472">
        <v>39.923442841000004</v>
      </c>
      <c r="G472">
        <v>1329.9681396000001</v>
      </c>
      <c r="H472">
        <v>1329.5253906</v>
      </c>
      <c r="I472">
        <v>1334.1080322</v>
      </c>
      <c r="J472">
        <v>1332.6196289</v>
      </c>
      <c r="K472">
        <v>0</v>
      </c>
      <c r="L472">
        <v>550</v>
      </c>
      <c r="M472">
        <v>550</v>
      </c>
      <c r="N472">
        <v>0</v>
      </c>
    </row>
    <row r="473" spans="1:14" x14ac:dyDescent="0.25">
      <c r="A473">
        <v>203.69296</v>
      </c>
      <c r="B473" s="1">
        <f>DATE(2010,11,20) + TIME(16,37,51)</f>
        <v>40502.69295138889</v>
      </c>
      <c r="C473">
        <v>80</v>
      </c>
      <c r="D473">
        <v>77.560226439999994</v>
      </c>
      <c r="E473">
        <v>40</v>
      </c>
      <c r="F473">
        <v>39.916046143000003</v>
      </c>
      <c r="G473">
        <v>1329.9394531</v>
      </c>
      <c r="H473">
        <v>1329.4858397999999</v>
      </c>
      <c r="I473">
        <v>1334.1063231999999</v>
      </c>
      <c r="J473">
        <v>1332.6176757999999</v>
      </c>
      <c r="K473">
        <v>0</v>
      </c>
      <c r="L473">
        <v>550</v>
      </c>
      <c r="M473">
        <v>550</v>
      </c>
      <c r="N473">
        <v>0</v>
      </c>
    </row>
    <row r="474" spans="1:14" x14ac:dyDescent="0.25">
      <c r="A474">
        <v>204.81749199999999</v>
      </c>
      <c r="B474" s="1">
        <f>DATE(2010,11,21) + TIME(19,37,11)</f>
        <v>40503.817488425928</v>
      </c>
      <c r="C474">
        <v>80</v>
      </c>
      <c r="D474">
        <v>77.440925598000007</v>
      </c>
      <c r="E474">
        <v>40</v>
      </c>
      <c r="F474">
        <v>39.91047287</v>
      </c>
      <c r="G474">
        <v>1329.9099120999999</v>
      </c>
      <c r="H474">
        <v>1329.4451904</v>
      </c>
      <c r="I474">
        <v>1334.1042480000001</v>
      </c>
      <c r="J474">
        <v>1332.6153564000001</v>
      </c>
      <c r="K474">
        <v>0</v>
      </c>
      <c r="L474">
        <v>550</v>
      </c>
      <c r="M474">
        <v>550</v>
      </c>
      <c r="N474">
        <v>0</v>
      </c>
    </row>
    <row r="475" spans="1:14" x14ac:dyDescent="0.25">
      <c r="A475">
        <v>206.00401400000001</v>
      </c>
      <c r="B475" s="1">
        <f>DATE(2010,11,23) + TIME(0,5,46)</f>
        <v>40505.004004629627</v>
      </c>
      <c r="C475">
        <v>80</v>
      </c>
      <c r="D475">
        <v>77.315315247000001</v>
      </c>
      <c r="E475">
        <v>40</v>
      </c>
      <c r="F475">
        <v>39.906322479000004</v>
      </c>
      <c r="G475">
        <v>1329.8793945</v>
      </c>
      <c r="H475">
        <v>1329.4031981999999</v>
      </c>
      <c r="I475">
        <v>1334.1018065999999</v>
      </c>
      <c r="J475">
        <v>1332.6129149999999</v>
      </c>
      <c r="K475">
        <v>0</v>
      </c>
      <c r="L475">
        <v>550</v>
      </c>
      <c r="M475">
        <v>550</v>
      </c>
      <c r="N475">
        <v>0</v>
      </c>
    </row>
    <row r="476" spans="1:14" x14ac:dyDescent="0.25">
      <c r="A476">
        <v>207.25811899999999</v>
      </c>
      <c r="B476" s="1">
        <f>DATE(2010,11,24) + TIME(6,11,41)</f>
        <v>40506.258113425924</v>
      </c>
      <c r="C476">
        <v>80</v>
      </c>
      <c r="D476">
        <v>77.182655334000003</v>
      </c>
      <c r="E476">
        <v>40</v>
      </c>
      <c r="F476">
        <v>39.903255463000001</v>
      </c>
      <c r="G476">
        <v>1329.8477783000001</v>
      </c>
      <c r="H476">
        <v>1329.3598632999999</v>
      </c>
      <c r="I476">
        <v>1334.098999</v>
      </c>
      <c r="J476">
        <v>1332.6102295000001</v>
      </c>
      <c r="K476">
        <v>0</v>
      </c>
      <c r="L476">
        <v>550</v>
      </c>
      <c r="M476">
        <v>550</v>
      </c>
      <c r="N476">
        <v>0</v>
      </c>
    </row>
    <row r="477" spans="1:14" x14ac:dyDescent="0.25">
      <c r="A477">
        <v>208.586073</v>
      </c>
      <c r="B477" s="1">
        <f>DATE(2010,11,25) + TIME(14,3,56)</f>
        <v>40507.586064814815</v>
      </c>
      <c r="C477">
        <v>80</v>
      </c>
      <c r="D477">
        <v>77.042106627999999</v>
      </c>
      <c r="E477">
        <v>40</v>
      </c>
      <c r="F477">
        <v>39.901023864999999</v>
      </c>
      <c r="G477">
        <v>1329.8150635</v>
      </c>
      <c r="H477">
        <v>1329.3151855000001</v>
      </c>
      <c r="I477">
        <v>1334.0959473</v>
      </c>
      <c r="J477">
        <v>1332.6072998</v>
      </c>
      <c r="K477">
        <v>0</v>
      </c>
      <c r="L477">
        <v>550</v>
      </c>
      <c r="M477">
        <v>550</v>
      </c>
      <c r="N477">
        <v>0</v>
      </c>
    </row>
    <row r="478" spans="1:14" x14ac:dyDescent="0.25">
      <c r="A478">
        <v>209.97886299999999</v>
      </c>
      <c r="B478" s="1">
        <f>DATE(2010,11,26) + TIME(23,29,33)</f>
        <v>40508.978854166664</v>
      </c>
      <c r="C478">
        <v>80</v>
      </c>
      <c r="D478">
        <v>76.893981933999996</v>
      </c>
      <c r="E478">
        <v>40</v>
      </c>
      <c r="F478">
        <v>39.899429321</v>
      </c>
      <c r="G478">
        <v>1329.78125</v>
      </c>
      <c r="H478">
        <v>1329.2689209</v>
      </c>
      <c r="I478">
        <v>1334.0926514</v>
      </c>
      <c r="J478">
        <v>1332.6043701000001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211.40642299999999</v>
      </c>
      <c r="B479" s="1">
        <f>DATE(2010,11,28) + TIME(9,45,14)</f>
        <v>40510.406412037039</v>
      </c>
      <c r="C479">
        <v>80</v>
      </c>
      <c r="D479">
        <v>76.740325928000004</v>
      </c>
      <c r="E479">
        <v>40</v>
      </c>
      <c r="F479">
        <v>39.898330688000001</v>
      </c>
      <c r="G479">
        <v>1329.7464600000001</v>
      </c>
      <c r="H479">
        <v>1329.2215576000001</v>
      </c>
      <c r="I479">
        <v>1334.0891113</v>
      </c>
      <c r="J479">
        <v>1332.6011963000001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212.872826</v>
      </c>
      <c r="B480" s="1">
        <f>DATE(2010,11,29) + TIME(20,56,52)</f>
        <v>40511.872824074075</v>
      </c>
      <c r="C480">
        <v>80</v>
      </c>
      <c r="D480">
        <v>76.580665588000002</v>
      </c>
      <c r="E480">
        <v>40</v>
      </c>
      <c r="F480">
        <v>39.897583007999998</v>
      </c>
      <c r="G480">
        <v>1329.7114257999999</v>
      </c>
      <c r="H480">
        <v>1329.1737060999999</v>
      </c>
      <c r="I480">
        <v>1334.0855713000001</v>
      </c>
      <c r="J480">
        <v>1332.5981445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214</v>
      </c>
      <c r="B481" s="1">
        <f>DATE(2010,12,1) + TIME(0,0,0)</f>
        <v>40513</v>
      </c>
      <c r="C481">
        <v>80</v>
      </c>
      <c r="D481">
        <v>76.447425842000001</v>
      </c>
      <c r="E481">
        <v>40</v>
      </c>
      <c r="F481">
        <v>39.897178650000001</v>
      </c>
      <c r="G481">
        <v>1329.6765137</v>
      </c>
      <c r="H481">
        <v>1329.1264647999999</v>
      </c>
      <c r="I481">
        <v>1334.0820312000001</v>
      </c>
      <c r="J481">
        <v>1332.5950928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215.50871100000001</v>
      </c>
      <c r="B482" s="1">
        <f>DATE(2010,12,2) + TIME(12,12,32)</f>
        <v>40514.508703703701</v>
      </c>
      <c r="C482">
        <v>80</v>
      </c>
      <c r="D482">
        <v>76.281326293999996</v>
      </c>
      <c r="E482">
        <v>40</v>
      </c>
      <c r="F482">
        <v>39.896839141999997</v>
      </c>
      <c r="G482">
        <v>1329.6477050999999</v>
      </c>
      <c r="H482">
        <v>1329.0864257999999</v>
      </c>
      <c r="I482">
        <v>1334.0793457</v>
      </c>
      <c r="J482">
        <v>1332.5927733999999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217.09985699999999</v>
      </c>
      <c r="B483" s="1">
        <f>DATE(2010,12,4) + TIME(2,23,47)</f>
        <v>40516.099849537037</v>
      </c>
      <c r="C483">
        <v>80</v>
      </c>
      <c r="D483">
        <v>76.104873656999999</v>
      </c>
      <c r="E483">
        <v>40</v>
      </c>
      <c r="F483">
        <v>39.896636962999999</v>
      </c>
      <c r="G483">
        <v>1329.612793</v>
      </c>
      <c r="H483">
        <v>1329.0389404</v>
      </c>
      <c r="I483">
        <v>1334.0758057</v>
      </c>
      <c r="J483">
        <v>1332.5898437999999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218.743886</v>
      </c>
      <c r="B484" s="1">
        <f>DATE(2010,12,5) + TIME(17,51,11)</f>
        <v>40517.743877314817</v>
      </c>
      <c r="C484">
        <v>80</v>
      </c>
      <c r="D484">
        <v>75.919792174999998</v>
      </c>
      <c r="E484">
        <v>40</v>
      </c>
      <c r="F484">
        <v>39.896537780999999</v>
      </c>
      <c r="G484">
        <v>1329.5769043</v>
      </c>
      <c r="H484">
        <v>1328.9902344</v>
      </c>
      <c r="I484">
        <v>1334.0722656</v>
      </c>
      <c r="J484">
        <v>1332.5869141000001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220.44669200000001</v>
      </c>
      <c r="B485" s="1">
        <f>DATE(2010,12,7) + TIME(10,43,14)</f>
        <v>40519.446689814817</v>
      </c>
      <c r="C485">
        <v>80</v>
      </c>
      <c r="D485">
        <v>75.725395203000005</v>
      </c>
      <c r="E485">
        <v>40</v>
      </c>
      <c r="F485">
        <v>39.896518706999998</v>
      </c>
      <c r="G485">
        <v>1329.5405272999999</v>
      </c>
      <c r="H485">
        <v>1328.9406738</v>
      </c>
      <c r="I485">
        <v>1334.0686035000001</v>
      </c>
      <c r="J485">
        <v>1332.5839844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222.213527</v>
      </c>
      <c r="B486" s="1">
        <f>DATE(2010,12,9) + TIME(5,7,28)</f>
        <v>40521.213518518518</v>
      </c>
      <c r="C486">
        <v>80</v>
      </c>
      <c r="D486">
        <v>75.520980835000003</v>
      </c>
      <c r="E486">
        <v>40</v>
      </c>
      <c r="F486">
        <v>39.896560669000003</v>
      </c>
      <c r="G486">
        <v>1329.5035399999999</v>
      </c>
      <c r="H486">
        <v>1328.8905029</v>
      </c>
      <c r="I486">
        <v>1334.0650635</v>
      </c>
      <c r="J486">
        <v>1332.5811768000001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224.050197</v>
      </c>
      <c r="B487" s="1">
        <f>DATE(2010,12,11) + TIME(1,12,17)</f>
        <v>40523.050196759257</v>
      </c>
      <c r="C487">
        <v>80</v>
      </c>
      <c r="D487">
        <v>75.305740356000001</v>
      </c>
      <c r="E487">
        <v>40</v>
      </c>
      <c r="F487">
        <v>39.896648407000001</v>
      </c>
      <c r="G487">
        <v>1329.4659423999999</v>
      </c>
      <c r="H487">
        <v>1328.8394774999999</v>
      </c>
      <c r="I487">
        <v>1334.0615233999999</v>
      </c>
      <c r="J487">
        <v>1332.5783690999999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225.96270000000001</v>
      </c>
      <c r="B488" s="1">
        <f>DATE(2010,12,12) + TIME(23,6,17)</f>
        <v>40524.962696759256</v>
      </c>
      <c r="C488">
        <v>80</v>
      </c>
      <c r="D488">
        <v>75.078781128000003</v>
      </c>
      <c r="E488">
        <v>40</v>
      </c>
      <c r="F488">
        <v>39.896774292000003</v>
      </c>
      <c r="G488">
        <v>1329.4277344</v>
      </c>
      <c r="H488">
        <v>1328.7877197</v>
      </c>
      <c r="I488">
        <v>1334.0578613</v>
      </c>
      <c r="J488">
        <v>1332.5756836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227.958068</v>
      </c>
      <c r="B489" s="1">
        <f>DATE(2010,12,14) + TIME(22,59,37)</f>
        <v>40526.958067129628</v>
      </c>
      <c r="C489">
        <v>80</v>
      </c>
      <c r="D489">
        <v>74.838928222999996</v>
      </c>
      <c r="E489">
        <v>40</v>
      </c>
      <c r="F489">
        <v>39.896934508999998</v>
      </c>
      <c r="G489">
        <v>1329.3890381000001</v>
      </c>
      <c r="H489">
        <v>1328.7352295000001</v>
      </c>
      <c r="I489">
        <v>1334.0543213000001</v>
      </c>
      <c r="J489">
        <v>1332.5729980000001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230.04460599999999</v>
      </c>
      <c r="B490" s="1">
        <f>DATE(2010,12,17) + TIME(1,4,13)</f>
        <v>40529.044594907406</v>
      </c>
      <c r="C490">
        <v>80</v>
      </c>
      <c r="D490">
        <v>74.585006714000002</v>
      </c>
      <c r="E490">
        <v>40</v>
      </c>
      <c r="F490">
        <v>39.8971138</v>
      </c>
      <c r="G490">
        <v>1329.3496094</v>
      </c>
      <c r="H490">
        <v>1328.6817627</v>
      </c>
      <c r="I490">
        <v>1334.0507812000001</v>
      </c>
      <c r="J490">
        <v>1332.5704346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232.22242900000001</v>
      </c>
      <c r="B491" s="1">
        <f>DATE(2010,12,19) + TIME(5,20,17)</f>
        <v>40531.222418981481</v>
      </c>
      <c r="C491">
        <v>80</v>
      </c>
      <c r="D491">
        <v>74.316421508999994</v>
      </c>
      <c r="E491">
        <v>40</v>
      </c>
      <c r="F491">
        <v>39.897319793999998</v>
      </c>
      <c r="G491">
        <v>1329.3094481999999</v>
      </c>
      <c r="H491">
        <v>1328.6274414</v>
      </c>
      <c r="I491">
        <v>1334.0472411999999</v>
      </c>
      <c r="J491">
        <v>1332.5679932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234.491883</v>
      </c>
      <c r="B492" s="1">
        <f>DATE(2010,12,21) + TIME(11,48,18)</f>
        <v>40533.491875</v>
      </c>
      <c r="C492">
        <v>80</v>
      </c>
      <c r="D492">
        <v>74.032592773000005</v>
      </c>
      <c r="E492">
        <v>40</v>
      </c>
      <c r="F492">
        <v>39.897537231000001</v>
      </c>
      <c r="G492">
        <v>1329.2686768000001</v>
      </c>
      <c r="H492">
        <v>1328.5721435999999</v>
      </c>
      <c r="I492">
        <v>1334.0438231999999</v>
      </c>
      <c r="J492">
        <v>1332.5655518000001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236.850818</v>
      </c>
      <c r="B493" s="1">
        <f>DATE(2010,12,23) + TIME(20,25,10)</f>
        <v>40535.850810185184</v>
      </c>
      <c r="C493">
        <v>80</v>
      </c>
      <c r="D493">
        <v>73.733230590999995</v>
      </c>
      <c r="E493">
        <v>40</v>
      </c>
      <c r="F493">
        <v>39.897769928000002</v>
      </c>
      <c r="G493">
        <v>1329.2272949000001</v>
      </c>
      <c r="H493">
        <v>1328.5161132999999</v>
      </c>
      <c r="I493">
        <v>1334.0402832</v>
      </c>
      <c r="J493">
        <v>1332.5631103999999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239.24474900000001</v>
      </c>
      <c r="B494" s="1">
        <f>DATE(2010,12,26) + TIME(5,52,26)</f>
        <v>40538.244745370372</v>
      </c>
      <c r="C494">
        <v>80</v>
      </c>
      <c r="D494">
        <v>73.422019958000007</v>
      </c>
      <c r="E494">
        <v>40</v>
      </c>
      <c r="F494">
        <v>39.898006439</v>
      </c>
      <c r="G494">
        <v>1329.1854248</v>
      </c>
      <c r="H494">
        <v>1328.4594727000001</v>
      </c>
      <c r="I494">
        <v>1334.0367432</v>
      </c>
      <c r="J494">
        <v>1332.5609131000001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241.687332</v>
      </c>
      <c r="B495" s="1">
        <f>DATE(2010,12,28) + TIME(16,29,45)</f>
        <v>40540.687326388892</v>
      </c>
      <c r="C495">
        <v>80</v>
      </c>
      <c r="D495">
        <v>73.099266052000004</v>
      </c>
      <c r="E495">
        <v>40</v>
      </c>
      <c r="F495">
        <v>39.898246765000003</v>
      </c>
      <c r="G495">
        <v>1329.1437988</v>
      </c>
      <c r="H495">
        <v>1328.4030762</v>
      </c>
      <c r="I495">
        <v>1334.0333252</v>
      </c>
      <c r="J495">
        <v>1332.5588379000001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244.193071</v>
      </c>
      <c r="B496" s="1">
        <f>DATE(2010,12,31) + TIME(4,38,1)</f>
        <v>40543.193067129629</v>
      </c>
      <c r="C496">
        <v>80</v>
      </c>
      <c r="D496">
        <v>72.764381408999995</v>
      </c>
      <c r="E496">
        <v>40</v>
      </c>
      <c r="F496">
        <v>39.898494720000002</v>
      </c>
      <c r="G496">
        <v>1329.1024170000001</v>
      </c>
      <c r="H496">
        <v>1328.3469238</v>
      </c>
      <c r="I496">
        <v>1334.0300293</v>
      </c>
      <c r="J496">
        <v>1332.5567627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245</v>
      </c>
      <c r="B497" s="1">
        <f>DATE(2011,1,1) + TIME(0,0,0)</f>
        <v>40544</v>
      </c>
      <c r="C497">
        <v>80</v>
      </c>
      <c r="D497">
        <v>72.604537964000002</v>
      </c>
      <c r="E497">
        <v>40</v>
      </c>
      <c r="F497">
        <v>39.898559570000003</v>
      </c>
      <c r="G497">
        <v>1329.0625</v>
      </c>
      <c r="H497">
        <v>1328.2946777</v>
      </c>
      <c r="I497">
        <v>1334.0267334</v>
      </c>
      <c r="J497">
        <v>1332.5548096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247.585002</v>
      </c>
      <c r="B498" s="1">
        <f>DATE(2011,1,3) + TIME(14,2,24)</f>
        <v>40546.584999999999</v>
      </c>
      <c r="C498">
        <v>80</v>
      </c>
      <c r="D498">
        <v>72.277320861999996</v>
      </c>
      <c r="E498">
        <v>40</v>
      </c>
      <c r="F498">
        <v>39.898822783999996</v>
      </c>
      <c r="G498">
        <v>1329.0446777</v>
      </c>
      <c r="H498">
        <v>1328.2668457</v>
      </c>
      <c r="I498">
        <v>1334.0258789</v>
      </c>
      <c r="J498">
        <v>1332.5543213000001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250.302042</v>
      </c>
      <c r="B499" s="1">
        <f>DATE(2011,1,6) + TIME(7,14,56)</f>
        <v>40549.302037037036</v>
      </c>
      <c r="C499">
        <v>80</v>
      </c>
      <c r="D499">
        <v>71.922447204999997</v>
      </c>
      <c r="E499">
        <v>40</v>
      </c>
      <c r="F499">
        <v>39.899085999</v>
      </c>
      <c r="G499">
        <v>1329.005249</v>
      </c>
      <c r="H499">
        <v>1328.2142334</v>
      </c>
      <c r="I499">
        <v>1334.0227050999999</v>
      </c>
      <c r="J499">
        <v>1332.5526123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253.12660299999999</v>
      </c>
      <c r="B500" s="1">
        <f>DATE(2011,1,9) + TIME(3,2,18)</f>
        <v>40552.126597222225</v>
      </c>
      <c r="C500">
        <v>80</v>
      </c>
      <c r="D500">
        <v>71.544067382999998</v>
      </c>
      <c r="E500">
        <v>40</v>
      </c>
      <c r="F500">
        <v>39.899356842000003</v>
      </c>
      <c r="G500">
        <v>1328.9645995999999</v>
      </c>
      <c r="H500">
        <v>1328.1595459</v>
      </c>
      <c r="I500">
        <v>1334.0194091999999</v>
      </c>
      <c r="J500">
        <v>1332.5509033000001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256.03373299999998</v>
      </c>
      <c r="B501" s="1">
        <f>DATE(2011,1,12) + TIME(0,48,34)</f>
        <v>40555.033726851849</v>
      </c>
      <c r="C501">
        <v>80</v>
      </c>
      <c r="D501">
        <v>71.146286011000001</v>
      </c>
      <c r="E501">
        <v>40</v>
      </c>
      <c r="F501">
        <v>39.899627686000002</v>
      </c>
      <c r="G501">
        <v>1328.9232178</v>
      </c>
      <c r="H501">
        <v>1328.1036377</v>
      </c>
      <c r="I501">
        <v>1334.0162353999999</v>
      </c>
      <c r="J501">
        <v>1332.5494385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258.99276300000002</v>
      </c>
      <c r="B502" s="1">
        <f>DATE(2011,1,14) + TIME(23,49,34)</f>
        <v>40557.992754629631</v>
      </c>
      <c r="C502">
        <v>80</v>
      </c>
      <c r="D502">
        <v>70.733543396000002</v>
      </c>
      <c r="E502">
        <v>40</v>
      </c>
      <c r="F502">
        <v>39.899898528999998</v>
      </c>
      <c r="G502">
        <v>1328.8815918</v>
      </c>
      <c r="H502">
        <v>1328.0472411999999</v>
      </c>
      <c r="I502">
        <v>1334.0130615</v>
      </c>
      <c r="J502">
        <v>1332.5478516000001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261.98517299999997</v>
      </c>
      <c r="B503" s="1">
        <f>DATE(2011,1,17) + TIME(23,38,38)</f>
        <v>40560.985162037039</v>
      </c>
      <c r="C503">
        <v>80</v>
      </c>
      <c r="D503">
        <v>70.309768676999994</v>
      </c>
      <c r="E503">
        <v>40</v>
      </c>
      <c r="F503">
        <v>39.900165557999998</v>
      </c>
      <c r="G503">
        <v>1328.840332</v>
      </c>
      <c r="H503">
        <v>1327.9909668</v>
      </c>
      <c r="I503">
        <v>1334.0100098</v>
      </c>
      <c r="J503">
        <v>1332.5465088000001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265.02740799999998</v>
      </c>
      <c r="B504" s="1">
        <f>DATE(2011,1,21) + TIME(0,39,28)</f>
        <v>40564.027407407404</v>
      </c>
      <c r="C504">
        <v>80</v>
      </c>
      <c r="D504">
        <v>69.875938415999997</v>
      </c>
      <c r="E504">
        <v>40</v>
      </c>
      <c r="F504">
        <v>39.900432586999997</v>
      </c>
      <c r="G504">
        <v>1328.7995605000001</v>
      </c>
      <c r="H504">
        <v>1327.9354248</v>
      </c>
      <c r="I504">
        <v>1334.0069579999999</v>
      </c>
      <c r="J504">
        <v>1332.5452881000001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268.13734899999997</v>
      </c>
      <c r="B505" s="1">
        <f>DATE(2011,1,24) + TIME(3,17,46)</f>
        <v>40567.137337962966</v>
      </c>
      <c r="C505">
        <v>80</v>
      </c>
      <c r="D505">
        <v>69.431221007999994</v>
      </c>
      <c r="E505">
        <v>40</v>
      </c>
      <c r="F505">
        <v>39.90070343</v>
      </c>
      <c r="G505">
        <v>1328.7592772999999</v>
      </c>
      <c r="H505">
        <v>1327.8806152</v>
      </c>
      <c r="I505">
        <v>1334.0039062000001</v>
      </c>
      <c r="J505">
        <v>1332.5440673999999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271.334836</v>
      </c>
      <c r="B506" s="1">
        <f>DATE(2011,1,27) + TIME(8,2,9)</f>
        <v>40570.334826388891</v>
      </c>
      <c r="C506">
        <v>80</v>
      </c>
      <c r="D506">
        <v>68.974342346</v>
      </c>
      <c r="E506">
        <v>40</v>
      </c>
      <c r="F506">
        <v>39.900974273999999</v>
      </c>
      <c r="G506">
        <v>1328.7194824000001</v>
      </c>
      <c r="H506">
        <v>1327.8262939000001</v>
      </c>
      <c r="I506">
        <v>1334.0009766000001</v>
      </c>
      <c r="J506">
        <v>1332.5429687999999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274.64241600000003</v>
      </c>
      <c r="B507" s="1">
        <f>DATE(2011,1,30) + TIME(15,25,4)</f>
        <v>40573.642407407409</v>
      </c>
      <c r="C507">
        <v>80</v>
      </c>
      <c r="D507">
        <v>68.503105164000004</v>
      </c>
      <c r="E507">
        <v>40</v>
      </c>
      <c r="F507">
        <v>39.901252747000001</v>
      </c>
      <c r="G507">
        <v>1328.6800536999999</v>
      </c>
      <c r="H507">
        <v>1327.7722168</v>
      </c>
      <c r="I507">
        <v>1333.9980469</v>
      </c>
      <c r="J507">
        <v>1332.5419922000001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276</v>
      </c>
      <c r="B508" s="1">
        <f>DATE(2011,2,1) + TIME(0,0,0)</f>
        <v>40575</v>
      </c>
      <c r="C508">
        <v>80</v>
      </c>
      <c r="D508">
        <v>68.209075928000004</v>
      </c>
      <c r="E508">
        <v>40</v>
      </c>
      <c r="F508">
        <v>39.901340484999999</v>
      </c>
      <c r="G508">
        <v>1328.6409911999999</v>
      </c>
      <c r="H508">
        <v>1327.7211914</v>
      </c>
      <c r="I508">
        <v>1333.9949951000001</v>
      </c>
      <c r="J508">
        <v>1332.5408935999999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279.44291500000003</v>
      </c>
      <c r="B509" s="1">
        <f>DATE(2011,2,4) + TIME(10,37,47)</f>
        <v>40578.44290509259</v>
      </c>
      <c r="C509">
        <v>80</v>
      </c>
      <c r="D509">
        <v>67.773719787999994</v>
      </c>
      <c r="E509">
        <v>40</v>
      </c>
      <c r="F509">
        <v>39.901641845999997</v>
      </c>
      <c r="G509">
        <v>1328.6206055</v>
      </c>
      <c r="H509">
        <v>1327.6887207</v>
      </c>
      <c r="I509">
        <v>1333.9938964999999</v>
      </c>
      <c r="J509">
        <v>1332.5406493999999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282.96838700000001</v>
      </c>
      <c r="B510" s="1">
        <f>DATE(2011,2,7) + TIME(23,14,28)</f>
        <v>40581.96837962963</v>
      </c>
      <c r="C510">
        <v>80</v>
      </c>
      <c r="D510">
        <v>67.292388915999993</v>
      </c>
      <c r="E510">
        <v>40</v>
      </c>
      <c r="F510">
        <v>39.901935577000003</v>
      </c>
      <c r="G510">
        <v>1328.5836182</v>
      </c>
      <c r="H510">
        <v>1327.6394043</v>
      </c>
      <c r="I510">
        <v>1333.9909668</v>
      </c>
      <c r="J510">
        <v>1332.5397949000001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286.54193199999997</v>
      </c>
      <c r="B511" s="1">
        <f>DATE(2011,2,11) + TIME(13,0,22)</f>
        <v>40585.541921296295</v>
      </c>
      <c r="C511">
        <v>80</v>
      </c>
      <c r="D511">
        <v>66.786651610999996</v>
      </c>
      <c r="E511">
        <v>40</v>
      </c>
      <c r="F511">
        <v>39.902221679999997</v>
      </c>
      <c r="G511">
        <v>1328.5457764</v>
      </c>
      <c r="H511">
        <v>1327.5881348</v>
      </c>
      <c r="I511">
        <v>1333.9879149999999</v>
      </c>
      <c r="J511">
        <v>1332.5389404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290.18292600000001</v>
      </c>
      <c r="B512" s="1">
        <f>DATE(2011,2,15) + TIME(4,23,24)</f>
        <v>40589.182916666665</v>
      </c>
      <c r="C512">
        <v>80</v>
      </c>
      <c r="D512">
        <v>66.265792847</v>
      </c>
      <c r="E512">
        <v>40</v>
      </c>
      <c r="F512">
        <v>39.902507782000001</v>
      </c>
      <c r="G512">
        <v>1328.5080565999999</v>
      </c>
      <c r="H512">
        <v>1327.536499</v>
      </c>
      <c r="I512">
        <v>1333.9849853999999</v>
      </c>
      <c r="J512">
        <v>1332.5382079999999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293.91320300000001</v>
      </c>
      <c r="B513" s="1">
        <f>DATE(2011,2,18) + TIME(21,55,0)</f>
        <v>40592.913194444445</v>
      </c>
      <c r="C513">
        <v>80</v>
      </c>
      <c r="D513">
        <v>65.732154846</v>
      </c>
      <c r="E513">
        <v>40</v>
      </c>
      <c r="F513">
        <v>39.902797698999997</v>
      </c>
      <c r="G513">
        <v>1328.4707031</v>
      </c>
      <c r="H513">
        <v>1327.4851074000001</v>
      </c>
      <c r="I513">
        <v>1333.9821777</v>
      </c>
      <c r="J513">
        <v>1332.5375977000001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297.75764400000003</v>
      </c>
      <c r="B514" s="1">
        <f>DATE(2011,2,22) + TIME(18,11,0)</f>
        <v>40596.757638888892</v>
      </c>
      <c r="C514">
        <v>80</v>
      </c>
      <c r="D514">
        <v>65.184982300000001</v>
      </c>
      <c r="E514">
        <v>40</v>
      </c>
      <c r="F514">
        <v>39.903095245000003</v>
      </c>
      <c r="G514">
        <v>1328.4337158000001</v>
      </c>
      <c r="H514">
        <v>1327.434082</v>
      </c>
      <c r="I514">
        <v>1333.9792480000001</v>
      </c>
      <c r="J514">
        <v>1332.5368652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301.74392799999998</v>
      </c>
      <c r="B515" s="1">
        <f>DATE(2011,2,26) + TIME(17,51,15)</f>
        <v>40600.743923611109</v>
      </c>
      <c r="C515">
        <v>80</v>
      </c>
      <c r="D515">
        <v>64.622123717999997</v>
      </c>
      <c r="E515">
        <v>40</v>
      </c>
      <c r="F515">
        <v>39.903396606000001</v>
      </c>
      <c r="G515">
        <v>1328.3969727000001</v>
      </c>
      <c r="H515">
        <v>1327.3833007999999</v>
      </c>
      <c r="I515">
        <v>1333.9763184000001</v>
      </c>
      <c r="J515">
        <v>1332.5362548999999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304</v>
      </c>
      <c r="B516" s="1">
        <f>DATE(2011,3,1) + TIME(0,0,0)</f>
        <v>40603</v>
      </c>
      <c r="C516">
        <v>80</v>
      </c>
      <c r="D516">
        <v>64.179313660000005</v>
      </c>
      <c r="E516">
        <v>40</v>
      </c>
      <c r="F516">
        <v>39.903533936000002</v>
      </c>
      <c r="G516">
        <v>1328.3604736</v>
      </c>
      <c r="H516">
        <v>1327.3345947</v>
      </c>
      <c r="I516">
        <v>1333.9732666</v>
      </c>
      <c r="J516">
        <v>1332.5356445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308.07597700000002</v>
      </c>
      <c r="B517" s="1">
        <f>DATE(2011,3,5) + TIME(1,49,24)</f>
        <v>40607.075972222221</v>
      </c>
      <c r="C517">
        <v>80</v>
      </c>
      <c r="D517">
        <v>63.673706054999997</v>
      </c>
      <c r="E517">
        <v>40</v>
      </c>
      <c r="F517">
        <v>39.903858184999997</v>
      </c>
      <c r="G517">
        <v>1328.3366699000001</v>
      </c>
      <c r="H517">
        <v>1327.2976074000001</v>
      </c>
      <c r="I517">
        <v>1333.9716797000001</v>
      </c>
      <c r="J517">
        <v>1332.5352783000001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312.26198199999999</v>
      </c>
      <c r="B518" s="1">
        <f>DATE(2011,3,9) + TIME(6,17,15)</f>
        <v>40611.261979166666</v>
      </c>
      <c r="C518">
        <v>80</v>
      </c>
      <c r="D518">
        <v>63.110809326000002</v>
      </c>
      <c r="E518">
        <v>40</v>
      </c>
      <c r="F518">
        <v>39.904170989999997</v>
      </c>
      <c r="G518">
        <v>1328.3033447</v>
      </c>
      <c r="H518">
        <v>1327.2525635</v>
      </c>
      <c r="I518">
        <v>1333.9686279</v>
      </c>
      <c r="J518">
        <v>1332.5347899999999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316.55155000000002</v>
      </c>
      <c r="B519" s="1">
        <f>DATE(2011,3,13) + TIME(13,14,13)</f>
        <v>40615.551539351851</v>
      </c>
      <c r="C519">
        <v>80</v>
      </c>
      <c r="D519">
        <v>62.519115448000001</v>
      </c>
      <c r="E519">
        <v>40</v>
      </c>
      <c r="F519">
        <v>39.904487609999997</v>
      </c>
      <c r="G519">
        <v>1328.2692870999999</v>
      </c>
      <c r="H519">
        <v>1327.2058105000001</v>
      </c>
      <c r="I519">
        <v>1333.9655762</v>
      </c>
      <c r="J519">
        <v>1332.5343018000001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320.97235799999999</v>
      </c>
      <c r="B520" s="1">
        <f>DATE(2011,3,17) + TIME(23,20,11)</f>
        <v>40619.972349537034</v>
      </c>
      <c r="C520">
        <v>80</v>
      </c>
      <c r="D520">
        <v>61.908519745</v>
      </c>
      <c r="E520">
        <v>40</v>
      </c>
      <c r="F520">
        <v>39.904804230000003</v>
      </c>
      <c r="G520">
        <v>1328.2353516000001</v>
      </c>
      <c r="H520">
        <v>1327.1585693</v>
      </c>
      <c r="I520">
        <v>1333.9626464999999</v>
      </c>
      <c r="J520">
        <v>1332.5338135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325.55597899999998</v>
      </c>
      <c r="B521" s="1">
        <f>DATE(2011,3,22) + TIME(13,20,36)</f>
        <v>40624.555972222224</v>
      </c>
      <c r="C521">
        <v>80</v>
      </c>
      <c r="D521">
        <v>61.280555724999999</v>
      </c>
      <c r="E521">
        <v>40</v>
      </c>
      <c r="F521">
        <v>39.905132293999998</v>
      </c>
      <c r="G521">
        <v>1328.2016602000001</v>
      </c>
      <c r="H521">
        <v>1327.1115723</v>
      </c>
      <c r="I521">
        <v>1333.9594727000001</v>
      </c>
      <c r="J521">
        <v>1332.5333252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330.239576</v>
      </c>
      <c r="B522" s="1">
        <f>DATE(2011,3,27) + TIME(5,44,59)</f>
        <v>40629.239571759259</v>
      </c>
      <c r="C522">
        <v>80</v>
      </c>
      <c r="D522">
        <v>60.637783051</v>
      </c>
      <c r="E522">
        <v>40</v>
      </c>
      <c r="F522">
        <v>39.905460357999999</v>
      </c>
      <c r="G522">
        <v>1328.1683350000001</v>
      </c>
      <c r="H522">
        <v>1327.0649414</v>
      </c>
      <c r="I522">
        <v>1333.9562988</v>
      </c>
      <c r="J522">
        <v>1332.5327147999999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335</v>
      </c>
      <c r="B523" s="1">
        <f>DATE(2011,4,1) + TIME(0,0,0)</f>
        <v>40634</v>
      </c>
      <c r="C523">
        <v>80</v>
      </c>
      <c r="D523">
        <v>59.985416411999999</v>
      </c>
      <c r="E523">
        <v>40</v>
      </c>
      <c r="F523">
        <v>39.905788422000001</v>
      </c>
      <c r="G523">
        <v>1328.1356201000001</v>
      </c>
      <c r="H523">
        <v>1327.019043</v>
      </c>
      <c r="I523">
        <v>1333.953125</v>
      </c>
      <c r="J523">
        <v>1332.5322266000001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339.78774800000002</v>
      </c>
      <c r="B524" s="1">
        <f>DATE(2011,4,5) + TIME(18,54,21)</f>
        <v>40638.787743055553</v>
      </c>
      <c r="C524">
        <v>80</v>
      </c>
      <c r="D524">
        <v>59.328369141000003</v>
      </c>
      <c r="E524">
        <v>40</v>
      </c>
      <c r="F524">
        <v>39.906112671000002</v>
      </c>
      <c r="G524">
        <v>1328.1038818</v>
      </c>
      <c r="H524">
        <v>1326.9743652</v>
      </c>
      <c r="I524">
        <v>1333.9499512</v>
      </c>
      <c r="J524">
        <v>1332.5317382999999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344.87358499999999</v>
      </c>
      <c r="B525" s="1">
        <f>DATE(2011,4,10) + TIME(20,57,57)</f>
        <v>40643.873576388891</v>
      </c>
      <c r="C525">
        <v>80</v>
      </c>
      <c r="D525">
        <v>58.659851074000002</v>
      </c>
      <c r="E525">
        <v>40</v>
      </c>
      <c r="F525">
        <v>39.906463623</v>
      </c>
      <c r="G525">
        <v>1328.0734863</v>
      </c>
      <c r="H525">
        <v>1326.9311522999999</v>
      </c>
      <c r="I525">
        <v>1333.9467772999999</v>
      </c>
      <c r="J525">
        <v>1332.53125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350.14534800000001</v>
      </c>
      <c r="B526" s="1">
        <f>DATE(2011,4,16) + TIME(3,29,18)</f>
        <v>40649.14534722222</v>
      </c>
      <c r="C526">
        <v>80</v>
      </c>
      <c r="D526">
        <v>57.970855712999999</v>
      </c>
      <c r="E526">
        <v>40</v>
      </c>
      <c r="F526">
        <v>39.906818389999998</v>
      </c>
      <c r="G526">
        <v>1328.0432129000001</v>
      </c>
      <c r="H526">
        <v>1326.8884277</v>
      </c>
      <c r="I526">
        <v>1333.9434814000001</v>
      </c>
      <c r="J526">
        <v>1332.5306396000001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355.55086799999998</v>
      </c>
      <c r="B527" s="1">
        <f>DATE(2011,4,21) + TIME(13,13,15)</f>
        <v>40654.550868055558</v>
      </c>
      <c r="C527">
        <v>80</v>
      </c>
      <c r="D527">
        <v>57.267070769999997</v>
      </c>
      <c r="E527">
        <v>40</v>
      </c>
      <c r="F527">
        <v>39.907180785999998</v>
      </c>
      <c r="G527">
        <v>1328.0136719</v>
      </c>
      <c r="H527">
        <v>1326.8465576000001</v>
      </c>
      <c r="I527">
        <v>1333.9400635</v>
      </c>
      <c r="J527">
        <v>1332.5301514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361.12411200000003</v>
      </c>
      <c r="B528" s="1">
        <f>DATE(2011,4,27) + TIME(2,58,43)</f>
        <v>40660.124108796299</v>
      </c>
      <c r="C528">
        <v>80</v>
      </c>
      <c r="D528">
        <v>56.552524566999999</v>
      </c>
      <c r="E528">
        <v>40</v>
      </c>
      <c r="F528">
        <v>39.907546996999997</v>
      </c>
      <c r="G528">
        <v>1327.9849853999999</v>
      </c>
      <c r="H528">
        <v>1326.8056641000001</v>
      </c>
      <c r="I528">
        <v>1333.9365233999999</v>
      </c>
      <c r="J528">
        <v>1332.5295410000001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365</v>
      </c>
      <c r="B529" s="1">
        <f>DATE(2011,5,1) + TIME(0,0,0)</f>
        <v>40664</v>
      </c>
      <c r="C529">
        <v>80</v>
      </c>
      <c r="D529">
        <v>55.918441772000001</v>
      </c>
      <c r="E529">
        <v>40</v>
      </c>
      <c r="F529">
        <v>39.907764434999997</v>
      </c>
      <c r="G529">
        <v>1327.9569091999999</v>
      </c>
      <c r="H529">
        <v>1326.7669678</v>
      </c>
      <c r="I529">
        <v>1333.9329834</v>
      </c>
      <c r="J529">
        <v>1332.5288086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365.000001</v>
      </c>
      <c r="B530" s="1">
        <f>DATE(2011,5,1) + TIME(0,0,0)</f>
        <v>40664</v>
      </c>
      <c r="C530">
        <v>80</v>
      </c>
      <c r="D530">
        <v>55.918487548999998</v>
      </c>
      <c r="E530">
        <v>40</v>
      </c>
      <c r="F530">
        <v>39.907745361000003</v>
      </c>
      <c r="G530">
        <v>1329.6062012</v>
      </c>
      <c r="H530">
        <v>1328.2310791</v>
      </c>
      <c r="I530">
        <v>1332.3519286999999</v>
      </c>
      <c r="J530">
        <v>1331.6667480000001</v>
      </c>
      <c r="K530">
        <v>550</v>
      </c>
      <c r="L530">
        <v>0</v>
      </c>
      <c r="M530">
        <v>0</v>
      </c>
      <c r="N530">
        <v>550</v>
      </c>
    </row>
    <row r="531" spans="1:14" x14ac:dyDescent="0.25">
      <c r="A531">
        <v>365.00000399999999</v>
      </c>
      <c r="B531" s="1">
        <f>DATE(2011,5,1) + TIME(0,0,0)</f>
        <v>40664</v>
      </c>
      <c r="C531">
        <v>80</v>
      </c>
      <c r="D531">
        <v>55.918586730999998</v>
      </c>
      <c r="E531">
        <v>40</v>
      </c>
      <c r="F531">
        <v>39.907699585000003</v>
      </c>
      <c r="G531">
        <v>1330.0181885</v>
      </c>
      <c r="H531">
        <v>1328.7321777</v>
      </c>
      <c r="I531">
        <v>1331.9875488</v>
      </c>
      <c r="J531">
        <v>1331.302124</v>
      </c>
      <c r="K531">
        <v>550</v>
      </c>
      <c r="L531">
        <v>0</v>
      </c>
      <c r="M531">
        <v>0</v>
      </c>
      <c r="N531">
        <v>550</v>
      </c>
    </row>
    <row r="532" spans="1:14" x14ac:dyDescent="0.25">
      <c r="A532">
        <v>365.00001300000002</v>
      </c>
      <c r="B532" s="1">
        <f>DATE(2011,5,1) + TIME(0,0,1)</f>
        <v>40664.000011574077</v>
      </c>
      <c r="C532">
        <v>80</v>
      </c>
      <c r="D532">
        <v>55.918766022</v>
      </c>
      <c r="E532">
        <v>40</v>
      </c>
      <c r="F532">
        <v>39.907634735000002</v>
      </c>
      <c r="G532">
        <v>1330.6640625</v>
      </c>
      <c r="H532">
        <v>1329.4027100000001</v>
      </c>
      <c r="I532">
        <v>1331.4443358999999</v>
      </c>
      <c r="J532">
        <v>1330.7584228999999</v>
      </c>
      <c r="K532">
        <v>550</v>
      </c>
      <c r="L532">
        <v>0</v>
      </c>
      <c r="M532">
        <v>0</v>
      </c>
      <c r="N532">
        <v>550</v>
      </c>
    </row>
    <row r="533" spans="1:14" x14ac:dyDescent="0.25">
      <c r="A533">
        <v>365.00004000000001</v>
      </c>
      <c r="B533" s="1">
        <f>DATE(2011,5,1) + TIME(0,0,3)</f>
        <v>40664.000034722223</v>
      </c>
      <c r="C533">
        <v>80</v>
      </c>
      <c r="D533">
        <v>55.919151306000003</v>
      </c>
      <c r="E533">
        <v>40</v>
      </c>
      <c r="F533">
        <v>39.907558440999999</v>
      </c>
      <c r="G533">
        <v>1331.4270019999999</v>
      </c>
      <c r="H533">
        <v>1330.1347656</v>
      </c>
      <c r="I533">
        <v>1330.8350829999999</v>
      </c>
      <c r="J533">
        <v>1330.1475829999999</v>
      </c>
      <c r="K533">
        <v>550</v>
      </c>
      <c r="L533">
        <v>0</v>
      </c>
      <c r="M533">
        <v>0</v>
      </c>
      <c r="N533">
        <v>550</v>
      </c>
    </row>
    <row r="534" spans="1:14" x14ac:dyDescent="0.25">
      <c r="A534">
        <v>365.00012099999998</v>
      </c>
      <c r="B534" s="1">
        <f>DATE(2011,5,1) + TIME(0,0,10)</f>
        <v>40664.000115740739</v>
      </c>
      <c r="C534">
        <v>80</v>
      </c>
      <c r="D534">
        <v>55.920135498</v>
      </c>
      <c r="E534">
        <v>40</v>
      </c>
      <c r="F534">
        <v>39.907478333</v>
      </c>
      <c r="G534">
        <v>1332.2025146000001</v>
      </c>
      <c r="H534">
        <v>1330.8743896000001</v>
      </c>
      <c r="I534">
        <v>1330.2202147999999</v>
      </c>
      <c r="J534">
        <v>1329.5233154</v>
      </c>
      <c r="K534">
        <v>550</v>
      </c>
      <c r="L534">
        <v>0</v>
      </c>
      <c r="M534">
        <v>0</v>
      </c>
      <c r="N534">
        <v>550</v>
      </c>
    </row>
    <row r="535" spans="1:14" x14ac:dyDescent="0.25">
      <c r="A535">
        <v>365.00036399999999</v>
      </c>
      <c r="B535" s="1">
        <f>DATE(2011,5,1) + TIME(0,0,31)</f>
        <v>40664.000358796293</v>
      </c>
      <c r="C535">
        <v>80</v>
      </c>
      <c r="D535">
        <v>55.922954558999997</v>
      </c>
      <c r="E535">
        <v>40</v>
      </c>
      <c r="F535">
        <v>39.907386780000003</v>
      </c>
      <c r="G535">
        <v>1332.9354248</v>
      </c>
      <c r="H535">
        <v>1331.5758057</v>
      </c>
      <c r="I535">
        <v>1329.6159668</v>
      </c>
      <c r="J535">
        <v>1328.8919678</v>
      </c>
      <c r="K535">
        <v>550</v>
      </c>
      <c r="L535">
        <v>0</v>
      </c>
      <c r="M535">
        <v>0</v>
      </c>
      <c r="N535">
        <v>550</v>
      </c>
    </row>
    <row r="536" spans="1:14" x14ac:dyDescent="0.25">
      <c r="A536">
        <v>365.00109300000003</v>
      </c>
      <c r="B536" s="1">
        <f>DATE(2011,5,1) + TIME(0,1,34)</f>
        <v>40664.001087962963</v>
      </c>
      <c r="C536">
        <v>80</v>
      </c>
      <c r="D536">
        <v>55.931358336999999</v>
      </c>
      <c r="E536">
        <v>40</v>
      </c>
      <c r="F536">
        <v>39.907264709000003</v>
      </c>
      <c r="G536">
        <v>1333.5184326000001</v>
      </c>
      <c r="H536">
        <v>1332.1356201000001</v>
      </c>
      <c r="I536">
        <v>1329.0975341999999</v>
      </c>
      <c r="J536">
        <v>1328.3381348</v>
      </c>
      <c r="K536">
        <v>550</v>
      </c>
      <c r="L536">
        <v>0</v>
      </c>
      <c r="M536">
        <v>0</v>
      </c>
      <c r="N536">
        <v>550</v>
      </c>
    </row>
    <row r="537" spans="1:14" x14ac:dyDescent="0.25">
      <c r="A537">
        <v>365.00328000000002</v>
      </c>
      <c r="B537" s="1">
        <f>DATE(2011,5,1) + TIME(0,4,43)</f>
        <v>40664.003275462965</v>
      </c>
      <c r="C537">
        <v>80</v>
      </c>
      <c r="D537">
        <v>55.956546783</v>
      </c>
      <c r="E537">
        <v>40</v>
      </c>
      <c r="F537">
        <v>39.907032012999998</v>
      </c>
      <c r="G537">
        <v>1333.8701172000001</v>
      </c>
      <c r="H537">
        <v>1332.4775391000001</v>
      </c>
      <c r="I537">
        <v>1328.7546387</v>
      </c>
      <c r="J537">
        <v>1327.9726562000001</v>
      </c>
      <c r="K537">
        <v>550</v>
      </c>
      <c r="L537">
        <v>0</v>
      </c>
      <c r="M537">
        <v>0</v>
      </c>
      <c r="N537">
        <v>550</v>
      </c>
    </row>
    <row r="538" spans="1:14" x14ac:dyDescent="0.25">
      <c r="A538">
        <v>365.00984099999999</v>
      </c>
      <c r="B538" s="1">
        <f>DATE(2011,5,1) + TIME(0,14,10)</f>
        <v>40664.009837962964</v>
      </c>
      <c r="C538">
        <v>80</v>
      </c>
      <c r="D538">
        <v>56.031921386999997</v>
      </c>
      <c r="E538">
        <v>40</v>
      </c>
      <c r="F538">
        <v>39.906444550000003</v>
      </c>
      <c r="G538">
        <v>1334.03125</v>
      </c>
      <c r="H538">
        <v>1332.6374512</v>
      </c>
      <c r="I538">
        <v>1328.5921631000001</v>
      </c>
      <c r="J538">
        <v>1327.8020019999999</v>
      </c>
      <c r="K538">
        <v>550</v>
      </c>
      <c r="L538">
        <v>0</v>
      </c>
      <c r="M538">
        <v>0</v>
      </c>
      <c r="N538">
        <v>550</v>
      </c>
    </row>
    <row r="539" spans="1:14" x14ac:dyDescent="0.25">
      <c r="A539">
        <v>365.02952399999998</v>
      </c>
      <c r="B539" s="1">
        <f>DATE(2011,5,1) + TIME(0,42,30)</f>
        <v>40664.029513888891</v>
      </c>
      <c r="C539">
        <v>80</v>
      </c>
      <c r="D539">
        <v>56.255989075000002</v>
      </c>
      <c r="E539">
        <v>40</v>
      </c>
      <c r="F539">
        <v>39.904731750000003</v>
      </c>
      <c r="G539">
        <v>1334.0816649999999</v>
      </c>
      <c r="H539">
        <v>1332.6916504000001</v>
      </c>
      <c r="I539">
        <v>1328.5495605000001</v>
      </c>
      <c r="J539">
        <v>1327.7574463000001</v>
      </c>
      <c r="K539">
        <v>550</v>
      </c>
      <c r="L539">
        <v>0</v>
      </c>
      <c r="M539">
        <v>0</v>
      </c>
      <c r="N539">
        <v>550</v>
      </c>
    </row>
    <row r="540" spans="1:14" x14ac:dyDescent="0.25">
      <c r="A540">
        <v>365.088573</v>
      </c>
      <c r="B540" s="1">
        <f>DATE(2011,5,1) + TIME(2,7,32)</f>
        <v>40664.088564814818</v>
      </c>
      <c r="C540">
        <v>80</v>
      </c>
      <c r="D540">
        <v>56.909915924000003</v>
      </c>
      <c r="E540">
        <v>40</v>
      </c>
      <c r="F540">
        <v>39.899665833</v>
      </c>
      <c r="G540">
        <v>1334.0769043</v>
      </c>
      <c r="H540">
        <v>1332.6995850000001</v>
      </c>
      <c r="I540">
        <v>1328.5467529</v>
      </c>
      <c r="J540">
        <v>1327.7543945</v>
      </c>
      <c r="K540">
        <v>550</v>
      </c>
      <c r="L540">
        <v>0</v>
      </c>
      <c r="M540">
        <v>0</v>
      </c>
      <c r="N540">
        <v>550</v>
      </c>
    </row>
    <row r="541" spans="1:14" x14ac:dyDescent="0.25">
      <c r="A541">
        <v>365.16236600000002</v>
      </c>
      <c r="B541" s="1">
        <f>DATE(2011,5,1) + TIME(3,53,48)</f>
        <v>40664.162361111114</v>
      </c>
      <c r="C541">
        <v>80</v>
      </c>
      <c r="D541">
        <v>57.705997467000003</v>
      </c>
      <c r="E541">
        <v>40</v>
      </c>
      <c r="F541">
        <v>39.893379211000003</v>
      </c>
      <c r="G541">
        <v>1334.0849608999999</v>
      </c>
      <c r="H541">
        <v>1332.7115478999999</v>
      </c>
      <c r="I541">
        <v>1328.5474853999999</v>
      </c>
      <c r="J541">
        <v>1327.7546387</v>
      </c>
      <c r="K541">
        <v>550</v>
      </c>
      <c r="L541">
        <v>0</v>
      </c>
      <c r="M541">
        <v>0</v>
      </c>
      <c r="N541">
        <v>550</v>
      </c>
    </row>
    <row r="542" spans="1:14" x14ac:dyDescent="0.25">
      <c r="A542">
        <v>365.23766000000001</v>
      </c>
      <c r="B542" s="1">
        <f>DATE(2011,5,1) + TIME(5,42,13)</f>
        <v>40664.237650462965</v>
      </c>
      <c r="C542">
        <v>80</v>
      </c>
      <c r="D542">
        <v>58.499298095999997</v>
      </c>
      <c r="E542">
        <v>40</v>
      </c>
      <c r="F542">
        <v>39.886997223000002</v>
      </c>
      <c r="G542">
        <v>1334.1042480000001</v>
      </c>
      <c r="H542">
        <v>1332.7297363</v>
      </c>
      <c r="I542">
        <v>1328.5479736</v>
      </c>
      <c r="J542">
        <v>1327.7545166</v>
      </c>
      <c r="K542">
        <v>550</v>
      </c>
      <c r="L542">
        <v>0</v>
      </c>
      <c r="M542">
        <v>0</v>
      </c>
      <c r="N542">
        <v>550</v>
      </c>
    </row>
    <row r="543" spans="1:14" x14ac:dyDescent="0.25">
      <c r="A543">
        <v>365.314435</v>
      </c>
      <c r="B543" s="1">
        <f>DATE(2011,5,1) + TIME(7,32,47)</f>
        <v>40664.314432870371</v>
      </c>
      <c r="C543">
        <v>80</v>
      </c>
      <c r="D543">
        <v>59.288784026999998</v>
      </c>
      <c r="E543">
        <v>40</v>
      </c>
      <c r="F543">
        <v>39.880523682000003</v>
      </c>
      <c r="G543">
        <v>1334.1258545000001</v>
      </c>
      <c r="H543">
        <v>1332.7492675999999</v>
      </c>
      <c r="I543">
        <v>1328.5484618999999</v>
      </c>
      <c r="J543">
        <v>1327.7542725000001</v>
      </c>
      <c r="K543">
        <v>550</v>
      </c>
      <c r="L543">
        <v>0</v>
      </c>
      <c r="M543">
        <v>0</v>
      </c>
      <c r="N543">
        <v>550</v>
      </c>
    </row>
    <row r="544" spans="1:14" x14ac:dyDescent="0.25">
      <c r="A544">
        <v>365.39275300000003</v>
      </c>
      <c r="B544" s="1">
        <f>DATE(2011,5,1) + TIME(9,25,33)</f>
        <v>40664.392743055556</v>
      </c>
      <c r="C544">
        <v>80</v>
      </c>
      <c r="D544">
        <v>60.074111938000001</v>
      </c>
      <c r="E544">
        <v>40</v>
      </c>
      <c r="F544">
        <v>39.873954773000001</v>
      </c>
      <c r="G544">
        <v>1334.1499022999999</v>
      </c>
      <c r="H544">
        <v>1332.7703856999999</v>
      </c>
      <c r="I544">
        <v>1328.5489502</v>
      </c>
      <c r="J544">
        <v>1327.7540283000001</v>
      </c>
      <c r="K544">
        <v>550</v>
      </c>
      <c r="L544">
        <v>0</v>
      </c>
      <c r="M544">
        <v>0</v>
      </c>
      <c r="N544">
        <v>550</v>
      </c>
    </row>
    <row r="545" spans="1:14" x14ac:dyDescent="0.25">
      <c r="A545">
        <v>365.47267299999999</v>
      </c>
      <c r="B545" s="1">
        <f>DATE(2011,5,1) + TIME(11,20,38)</f>
        <v>40664.472662037035</v>
      </c>
      <c r="C545">
        <v>80</v>
      </c>
      <c r="D545">
        <v>60.854431151999997</v>
      </c>
      <c r="E545">
        <v>40</v>
      </c>
      <c r="F545">
        <v>39.867286682</v>
      </c>
      <c r="G545">
        <v>1334.1761475000001</v>
      </c>
      <c r="H545">
        <v>1332.7927245999999</v>
      </c>
      <c r="I545">
        <v>1328.5494385</v>
      </c>
      <c r="J545">
        <v>1327.7537841999999</v>
      </c>
      <c r="K545">
        <v>550</v>
      </c>
      <c r="L545">
        <v>0</v>
      </c>
      <c r="M545">
        <v>0</v>
      </c>
      <c r="N545">
        <v>550</v>
      </c>
    </row>
    <row r="546" spans="1:14" x14ac:dyDescent="0.25">
      <c r="A546">
        <v>365.55425600000001</v>
      </c>
      <c r="B546" s="1">
        <f>DATE(2011,5,1) + TIME(13,18,7)</f>
        <v>40664.554247685184</v>
      </c>
      <c r="C546">
        <v>80</v>
      </c>
      <c r="D546">
        <v>61.629734038999999</v>
      </c>
      <c r="E546">
        <v>40</v>
      </c>
      <c r="F546">
        <v>39.860515593999999</v>
      </c>
      <c r="G546">
        <v>1334.2045897999999</v>
      </c>
      <c r="H546">
        <v>1332.8165283000001</v>
      </c>
      <c r="I546">
        <v>1328.5499268000001</v>
      </c>
      <c r="J546">
        <v>1327.7535399999999</v>
      </c>
      <c r="K546">
        <v>550</v>
      </c>
      <c r="L546">
        <v>0</v>
      </c>
      <c r="M546">
        <v>0</v>
      </c>
      <c r="N546">
        <v>550</v>
      </c>
    </row>
    <row r="547" spans="1:14" x14ac:dyDescent="0.25">
      <c r="A547">
        <v>365.63756699999999</v>
      </c>
      <c r="B547" s="1">
        <f>DATE(2011,5,1) + TIME(15,18,5)</f>
        <v>40664.637557870374</v>
      </c>
      <c r="C547">
        <v>80</v>
      </c>
      <c r="D547">
        <v>62.399478911999999</v>
      </c>
      <c r="E547">
        <v>40</v>
      </c>
      <c r="F547">
        <v>39.853641510000003</v>
      </c>
      <c r="G547">
        <v>1334.2352295000001</v>
      </c>
      <c r="H547">
        <v>1332.8416748</v>
      </c>
      <c r="I547">
        <v>1328.5504149999999</v>
      </c>
      <c r="J547">
        <v>1327.7531738</v>
      </c>
      <c r="K547">
        <v>550</v>
      </c>
      <c r="L547">
        <v>0</v>
      </c>
      <c r="M547">
        <v>0</v>
      </c>
      <c r="N547">
        <v>550</v>
      </c>
    </row>
    <row r="548" spans="1:14" x14ac:dyDescent="0.25">
      <c r="A548">
        <v>365.72267900000003</v>
      </c>
      <c r="B548" s="1">
        <f>DATE(2011,5,1) + TIME(17,20,39)</f>
        <v>40664.722673611112</v>
      </c>
      <c r="C548">
        <v>80</v>
      </c>
      <c r="D548">
        <v>63.163082123000002</v>
      </c>
      <c r="E548">
        <v>40</v>
      </c>
      <c r="F548">
        <v>39.846652984999999</v>
      </c>
      <c r="G548">
        <v>1334.2679443</v>
      </c>
      <c r="H548">
        <v>1332.8680420000001</v>
      </c>
      <c r="I548">
        <v>1328.5510254000001</v>
      </c>
      <c r="J548">
        <v>1327.7528076000001</v>
      </c>
      <c r="K548">
        <v>550</v>
      </c>
      <c r="L548">
        <v>0</v>
      </c>
      <c r="M548">
        <v>0</v>
      </c>
      <c r="N548">
        <v>550</v>
      </c>
    </row>
    <row r="549" spans="1:14" x14ac:dyDescent="0.25">
      <c r="A549">
        <v>365.80967399999997</v>
      </c>
      <c r="B549" s="1">
        <f>DATE(2011,5,1) + TIME(19,25,55)</f>
        <v>40664.809664351851</v>
      </c>
      <c r="C549">
        <v>80</v>
      </c>
      <c r="D549">
        <v>63.919906615999999</v>
      </c>
      <c r="E549">
        <v>40</v>
      </c>
      <c r="F549">
        <v>39.839553832999997</v>
      </c>
      <c r="G549">
        <v>1334.3024902</v>
      </c>
      <c r="H549">
        <v>1332.8956298999999</v>
      </c>
      <c r="I549">
        <v>1328.5515137</v>
      </c>
      <c r="J549">
        <v>1327.7524414</v>
      </c>
      <c r="K549">
        <v>550</v>
      </c>
      <c r="L549">
        <v>0</v>
      </c>
      <c r="M549">
        <v>0</v>
      </c>
      <c r="N549">
        <v>550</v>
      </c>
    </row>
    <row r="550" spans="1:14" x14ac:dyDescent="0.25">
      <c r="A550">
        <v>365.898639</v>
      </c>
      <c r="B550" s="1">
        <f>DATE(2011,5,1) + TIME(21,34,2)</f>
        <v>40664.898634259262</v>
      </c>
      <c r="C550">
        <v>80</v>
      </c>
      <c r="D550">
        <v>64.669265746999997</v>
      </c>
      <c r="E550">
        <v>40</v>
      </c>
      <c r="F550">
        <v>39.832332610999998</v>
      </c>
      <c r="G550">
        <v>1334.3389893000001</v>
      </c>
      <c r="H550">
        <v>1332.9244385</v>
      </c>
      <c r="I550">
        <v>1328.552124</v>
      </c>
      <c r="J550">
        <v>1327.7520752</v>
      </c>
      <c r="K550">
        <v>550</v>
      </c>
      <c r="L550">
        <v>0</v>
      </c>
      <c r="M550">
        <v>0</v>
      </c>
      <c r="N550">
        <v>550</v>
      </c>
    </row>
    <row r="551" spans="1:14" x14ac:dyDescent="0.25">
      <c r="A551">
        <v>365.98967099999999</v>
      </c>
      <c r="B551" s="1">
        <f>DATE(2011,5,1) + TIME(23,45,7)</f>
        <v>40664.989664351851</v>
      </c>
      <c r="C551">
        <v>80</v>
      </c>
      <c r="D551">
        <v>65.410545349000003</v>
      </c>
      <c r="E551">
        <v>40</v>
      </c>
      <c r="F551">
        <v>39.824989318999997</v>
      </c>
      <c r="G551">
        <v>1334.3773193</v>
      </c>
      <c r="H551">
        <v>1332.9543457</v>
      </c>
      <c r="I551">
        <v>1328.5526123</v>
      </c>
      <c r="J551">
        <v>1327.7517089999999</v>
      </c>
      <c r="K551">
        <v>550</v>
      </c>
      <c r="L551">
        <v>0</v>
      </c>
      <c r="M551">
        <v>0</v>
      </c>
      <c r="N551">
        <v>550</v>
      </c>
    </row>
    <row r="552" spans="1:14" x14ac:dyDescent="0.25">
      <c r="A552">
        <v>366.08274999999998</v>
      </c>
      <c r="B552" s="1">
        <f>DATE(2011,5,2) + TIME(1,59,9)</f>
        <v>40665.082743055558</v>
      </c>
      <c r="C552">
        <v>80</v>
      </c>
      <c r="D552">
        <v>66.141998290999993</v>
      </c>
      <c r="E552">
        <v>40</v>
      </c>
      <c r="F552">
        <v>39.817520141999999</v>
      </c>
      <c r="G552">
        <v>1334.4173584</v>
      </c>
      <c r="H552">
        <v>1332.9853516000001</v>
      </c>
      <c r="I552">
        <v>1328.5532227000001</v>
      </c>
      <c r="J552">
        <v>1327.7512207</v>
      </c>
      <c r="K552">
        <v>550</v>
      </c>
      <c r="L552">
        <v>0</v>
      </c>
      <c r="M552">
        <v>0</v>
      </c>
      <c r="N552">
        <v>550</v>
      </c>
    </row>
    <row r="553" spans="1:14" x14ac:dyDescent="0.25">
      <c r="A553">
        <v>366.17785900000001</v>
      </c>
      <c r="B553" s="1">
        <f>DATE(2011,5,2) + TIME(4,16,7)</f>
        <v>40665.177858796298</v>
      </c>
      <c r="C553">
        <v>80</v>
      </c>
      <c r="D553">
        <v>66.861885071000003</v>
      </c>
      <c r="E553">
        <v>40</v>
      </c>
      <c r="F553">
        <v>39.809932709000002</v>
      </c>
      <c r="G553">
        <v>1334.4591064000001</v>
      </c>
      <c r="H553">
        <v>1333.0173339999999</v>
      </c>
      <c r="I553">
        <v>1328.5538329999999</v>
      </c>
      <c r="J553">
        <v>1327.7507324000001</v>
      </c>
      <c r="K553">
        <v>550</v>
      </c>
      <c r="L553">
        <v>0</v>
      </c>
      <c r="M553">
        <v>0</v>
      </c>
      <c r="N553">
        <v>550</v>
      </c>
    </row>
    <row r="554" spans="1:14" x14ac:dyDescent="0.25">
      <c r="A554">
        <v>366.27507800000001</v>
      </c>
      <c r="B554" s="1">
        <f>DATE(2011,5,2) + TIME(6,36,6)</f>
        <v>40665.275069444448</v>
      </c>
      <c r="C554">
        <v>80</v>
      </c>
      <c r="D554">
        <v>67.569229125999996</v>
      </c>
      <c r="E554">
        <v>40</v>
      </c>
      <c r="F554">
        <v>39.802223206000001</v>
      </c>
      <c r="G554">
        <v>1334.5021973</v>
      </c>
      <c r="H554">
        <v>1333.050293</v>
      </c>
      <c r="I554">
        <v>1328.5544434000001</v>
      </c>
      <c r="J554">
        <v>1327.7502440999999</v>
      </c>
      <c r="K554">
        <v>550</v>
      </c>
      <c r="L554">
        <v>0</v>
      </c>
      <c r="M554">
        <v>0</v>
      </c>
      <c r="N554">
        <v>550</v>
      </c>
    </row>
    <row r="555" spans="1:14" x14ac:dyDescent="0.25">
      <c r="A555">
        <v>366.37451900000002</v>
      </c>
      <c r="B555" s="1">
        <f>DATE(2011,5,2) + TIME(8,59,18)</f>
        <v>40665.374513888892</v>
      </c>
      <c r="C555">
        <v>80</v>
      </c>
      <c r="D555">
        <v>68.263237000000004</v>
      </c>
      <c r="E555">
        <v>40</v>
      </c>
      <c r="F555">
        <v>39.794384002999998</v>
      </c>
      <c r="G555">
        <v>1334.5466309000001</v>
      </c>
      <c r="H555">
        <v>1333.0839844</v>
      </c>
      <c r="I555">
        <v>1328.5550536999999</v>
      </c>
      <c r="J555">
        <v>1327.7497559000001</v>
      </c>
      <c r="K555">
        <v>550</v>
      </c>
      <c r="L555">
        <v>0</v>
      </c>
      <c r="M555">
        <v>0</v>
      </c>
      <c r="N555">
        <v>550</v>
      </c>
    </row>
    <row r="556" spans="1:14" x14ac:dyDescent="0.25">
      <c r="A556">
        <v>366.47629000000001</v>
      </c>
      <c r="B556" s="1">
        <f>DATE(2011,5,2) + TIME(11,25,51)</f>
        <v>40665.476284722223</v>
      </c>
      <c r="C556">
        <v>80</v>
      </c>
      <c r="D556">
        <v>68.942962645999998</v>
      </c>
      <c r="E556">
        <v>40</v>
      </c>
      <c r="F556">
        <v>39.786411285</v>
      </c>
      <c r="G556">
        <v>1334.5922852000001</v>
      </c>
      <c r="H556">
        <v>1333.1184082</v>
      </c>
      <c r="I556">
        <v>1328.5556641000001</v>
      </c>
      <c r="J556">
        <v>1327.7492675999999</v>
      </c>
      <c r="K556">
        <v>550</v>
      </c>
      <c r="L556">
        <v>0</v>
      </c>
      <c r="M556">
        <v>0</v>
      </c>
      <c r="N556">
        <v>550</v>
      </c>
    </row>
    <row r="557" spans="1:14" x14ac:dyDescent="0.25">
      <c r="A557">
        <v>366.58050200000002</v>
      </c>
      <c r="B557" s="1">
        <f>DATE(2011,5,2) + TIME(13,55,55)</f>
        <v>40665.580497685187</v>
      </c>
      <c r="C557">
        <v>80</v>
      </c>
      <c r="D557">
        <v>69.607444763000004</v>
      </c>
      <c r="E557">
        <v>40</v>
      </c>
      <c r="F557">
        <v>39.778297424000002</v>
      </c>
      <c r="G557">
        <v>1334.6390381000001</v>
      </c>
      <c r="H557">
        <v>1333.1535644999999</v>
      </c>
      <c r="I557">
        <v>1328.5562743999999</v>
      </c>
      <c r="J557">
        <v>1327.7486572</v>
      </c>
      <c r="K557">
        <v>550</v>
      </c>
      <c r="L557">
        <v>0</v>
      </c>
      <c r="M557">
        <v>0</v>
      </c>
      <c r="N557">
        <v>550</v>
      </c>
    </row>
    <row r="558" spans="1:14" x14ac:dyDescent="0.25">
      <c r="A558">
        <v>366.68727899999999</v>
      </c>
      <c r="B558" s="1">
        <f>DATE(2011,5,2) + TIME(16,29,40)</f>
        <v>40665.687268518515</v>
      </c>
      <c r="C558">
        <v>80</v>
      </c>
      <c r="D558">
        <v>70.255531310999999</v>
      </c>
      <c r="E558">
        <v>40</v>
      </c>
      <c r="F558">
        <v>39.770030974999997</v>
      </c>
      <c r="G558">
        <v>1334.6868896000001</v>
      </c>
      <c r="H558">
        <v>1333.1893310999999</v>
      </c>
      <c r="I558">
        <v>1328.5568848</v>
      </c>
      <c r="J558">
        <v>1327.7480469</v>
      </c>
      <c r="K558">
        <v>550</v>
      </c>
      <c r="L558">
        <v>0</v>
      </c>
      <c r="M558">
        <v>0</v>
      </c>
      <c r="N558">
        <v>550</v>
      </c>
    </row>
    <row r="559" spans="1:14" x14ac:dyDescent="0.25">
      <c r="A559">
        <v>366.79675300000002</v>
      </c>
      <c r="B559" s="1">
        <f>DATE(2011,5,2) + TIME(19,7,19)</f>
        <v>40665.796747685185</v>
      </c>
      <c r="C559">
        <v>80</v>
      </c>
      <c r="D559">
        <v>70.886169433999996</v>
      </c>
      <c r="E559">
        <v>40</v>
      </c>
      <c r="F559">
        <v>39.761611938000001</v>
      </c>
      <c r="G559">
        <v>1334.7355957</v>
      </c>
      <c r="H559">
        <v>1333.2255858999999</v>
      </c>
      <c r="I559">
        <v>1328.5574951000001</v>
      </c>
      <c r="J559">
        <v>1327.7474365</v>
      </c>
      <c r="K559">
        <v>550</v>
      </c>
      <c r="L559">
        <v>0</v>
      </c>
      <c r="M559">
        <v>0</v>
      </c>
      <c r="N559">
        <v>550</v>
      </c>
    </row>
    <row r="560" spans="1:14" x14ac:dyDescent="0.25">
      <c r="A560">
        <v>366.90906999999999</v>
      </c>
      <c r="B560" s="1">
        <f>DATE(2011,5,2) + TIME(21,49,3)</f>
        <v>40665.909062500003</v>
      </c>
      <c r="C560">
        <v>80</v>
      </c>
      <c r="D560">
        <v>71.498703003000003</v>
      </c>
      <c r="E560">
        <v>40</v>
      </c>
      <c r="F560">
        <v>39.753032683999997</v>
      </c>
      <c r="G560">
        <v>1334.7851562000001</v>
      </c>
      <c r="H560">
        <v>1333.2624512</v>
      </c>
      <c r="I560">
        <v>1328.5581055</v>
      </c>
      <c r="J560">
        <v>1327.7468262</v>
      </c>
      <c r="K560">
        <v>550</v>
      </c>
      <c r="L560">
        <v>0</v>
      </c>
      <c r="M560">
        <v>0</v>
      </c>
      <c r="N560">
        <v>550</v>
      </c>
    </row>
    <row r="561" spans="1:14" x14ac:dyDescent="0.25">
      <c r="A561">
        <v>367.02438599999999</v>
      </c>
      <c r="B561" s="1">
        <f>DATE(2011,5,3) + TIME(0,35,6)</f>
        <v>40666.024375000001</v>
      </c>
      <c r="C561">
        <v>80</v>
      </c>
      <c r="D561">
        <v>72.092216492000006</v>
      </c>
      <c r="E561">
        <v>40</v>
      </c>
      <c r="F561">
        <v>39.744277953999998</v>
      </c>
      <c r="G561">
        <v>1334.8354492000001</v>
      </c>
      <c r="H561">
        <v>1333.2995605000001</v>
      </c>
      <c r="I561">
        <v>1328.5587158000001</v>
      </c>
      <c r="J561">
        <v>1327.7460937999999</v>
      </c>
      <c r="K561">
        <v>550</v>
      </c>
      <c r="L561">
        <v>0</v>
      </c>
      <c r="M561">
        <v>0</v>
      </c>
      <c r="N561">
        <v>550</v>
      </c>
    </row>
    <row r="562" spans="1:14" x14ac:dyDescent="0.25">
      <c r="A562">
        <v>367.14287100000001</v>
      </c>
      <c r="B562" s="1">
        <f>DATE(2011,5,3) + TIME(3,25,44)</f>
        <v>40666.142870370371</v>
      </c>
      <c r="C562">
        <v>80</v>
      </c>
      <c r="D562">
        <v>72.665840149000005</v>
      </c>
      <c r="E562">
        <v>40</v>
      </c>
      <c r="F562">
        <v>39.735343933000003</v>
      </c>
      <c r="G562">
        <v>1334.8863524999999</v>
      </c>
      <c r="H562">
        <v>1333.3370361</v>
      </c>
      <c r="I562">
        <v>1328.5593262</v>
      </c>
      <c r="J562">
        <v>1327.7454834</v>
      </c>
      <c r="K562">
        <v>550</v>
      </c>
      <c r="L562">
        <v>0</v>
      </c>
      <c r="M562">
        <v>0</v>
      </c>
      <c r="N562">
        <v>550</v>
      </c>
    </row>
    <row r="563" spans="1:14" x14ac:dyDescent="0.25">
      <c r="A563">
        <v>367.26471600000002</v>
      </c>
      <c r="B563" s="1">
        <f>DATE(2011,5,3) + TIME(6,21,11)</f>
        <v>40666.264710648145</v>
      </c>
      <c r="C563">
        <v>80</v>
      </c>
      <c r="D563">
        <v>73.218757628999995</v>
      </c>
      <c r="E563">
        <v>40</v>
      </c>
      <c r="F563">
        <v>39.726219176999997</v>
      </c>
      <c r="G563">
        <v>1334.9378661999999</v>
      </c>
      <c r="H563">
        <v>1333.3747559000001</v>
      </c>
      <c r="I563">
        <v>1328.5599365</v>
      </c>
      <c r="J563">
        <v>1327.744751</v>
      </c>
      <c r="K563">
        <v>550</v>
      </c>
      <c r="L563">
        <v>0</v>
      </c>
      <c r="M563">
        <v>0</v>
      </c>
      <c r="N563">
        <v>550</v>
      </c>
    </row>
    <row r="564" spans="1:14" x14ac:dyDescent="0.25">
      <c r="A564">
        <v>367.39017999999999</v>
      </c>
      <c r="B564" s="1">
        <f>DATE(2011,5,3) + TIME(9,21,51)</f>
        <v>40666.390173611115</v>
      </c>
      <c r="C564">
        <v>80</v>
      </c>
      <c r="D564">
        <v>73.750419617000006</v>
      </c>
      <c r="E564">
        <v>40</v>
      </c>
      <c r="F564">
        <v>39.716884612999998</v>
      </c>
      <c r="G564">
        <v>1334.989624</v>
      </c>
      <c r="H564">
        <v>1333.4127197</v>
      </c>
      <c r="I564">
        <v>1328.5605469</v>
      </c>
      <c r="J564">
        <v>1327.7440185999999</v>
      </c>
      <c r="K564">
        <v>550</v>
      </c>
      <c r="L564">
        <v>0</v>
      </c>
      <c r="M564">
        <v>0</v>
      </c>
      <c r="N564">
        <v>550</v>
      </c>
    </row>
    <row r="565" spans="1:14" x14ac:dyDescent="0.25">
      <c r="A565">
        <v>367.51943599999998</v>
      </c>
      <c r="B565" s="1">
        <f>DATE(2011,5,3) + TIME(12,27,59)</f>
        <v>40666.519432870373</v>
      </c>
      <c r="C565">
        <v>80</v>
      </c>
      <c r="D565">
        <v>74.259902953999998</v>
      </c>
      <c r="E565">
        <v>40</v>
      </c>
      <c r="F565">
        <v>39.707340240000001</v>
      </c>
      <c r="G565">
        <v>1335.0417480000001</v>
      </c>
      <c r="H565">
        <v>1333.4508057</v>
      </c>
      <c r="I565">
        <v>1328.5611572</v>
      </c>
      <c r="J565">
        <v>1327.7431641000001</v>
      </c>
      <c r="K565">
        <v>550</v>
      </c>
      <c r="L565">
        <v>0</v>
      </c>
      <c r="M565">
        <v>0</v>
      </c>
      <c r="N565">
        <v>550</v>
      </c>
    </row>
    <row r="566" spans="1:14" x14ac:dyDescent="0.25">
      <c r="A566">
        <v>367.65273400000001</v>
      </c>
      <c r="B566" s="1">
        <f>DATE(2011,5,3) + TIME(15,39,56)</f>
        <v>40666.652731481481</v>
      </c>
      <c r="C566">
        <v>80</v>
      </c>
      <c r="D566">
        <v>74.746582031000003</v>
      </c>
      <c r="E566">
        <v>40</v>
      </c>
      <c r="F566">
        <v>39.697566985999998</v>
      </c>
      <c r="G566">
        <v>1335.0941161999999</v>
      </c>
      <c r="H566">
        <v>1333.4887695</v>
      </c>
      <c r="I566">
        <v>1328.5617675999999</v>
      </c>
      <c r="J566">
        <v>1327.7424315999999</v>
      </c>
      <c r="K566">
        <v>550</v>
      </c>
      <c r="L566">
        <v>0</v>
      </c>
      <c r="M566">
        <v>0</v>
      </c>
      <c r="N566">
        <v>550</v>
      </c>
    </row>
    <row r="567" spans="1:14" x14ac:dyDescent="0.25">
      <c r="A567">
        <v>367.79034799999999</v>
      </c>
      <c r="B567" s="1">
        <f>DATE(2011,5,3) + TIME(18,58,6)</f>
        <v>40666.790347222224</v>
      </c>
      <c r="C567">
        <v>80</v>
      </c>
      <c r="D567">
        <v>75.209785460999996</v>
      </c>
      <c r="E567">
        <v>40</v>
      </c>
      <c r="F567">
        <v>39.687549591</v>
      </c>
      <c r="G567">
        <v>1335.1466064000001</v>
      </c>
      <c r="H567">
        <v>1333.5268555</v>
      </c>
      <c r="I567">
        <v>1328.5622559000001</v>
      </c>
      <c r="J567">
        <v>1327.7415771000001</v>
      </c>
      <c r="K567">
        <v>550</v>
      </c>
      <c r="L567">
        <v>0</v>
      </c>
      <c r="M567">
        <v>0</v>
      </c>
      <c r="N567">
        <v>550</v>
      </c>
    </row>
    <row r="568" spans="1:14" x14ac:dyDescent="0.25">
      <c r="A568">
        <v>367.93258500000002</v>
      </c>
      <c r="B568" s="1">
        <f>DATE(2011,5,3) + TIME(22,22,55)</f>
        <v>40666.932581018518</v>
      </c>
      <c r="C568">
        <v>80</v>
      </c>
      <c r="D568">
        <v>75.649047851999995</v>
      </c>
      <c r="E568">
        <v>40</v>
      </c>
      <c r="F568">
        <v>39.677272797000001</v>
      </c>
      <c r="G568">
        <v>1335.1989745999999</v>
      </c>
      <c r="H568">
        <v>1333.5648193</v>
      </c>
      <c r="I568">
        <v>1328.5628661999999</v>
      </c>
      <c r="J568">
        <v>1327.7407227000001</v>
      </c>
      <c r="K568">
        <v>550</v>
      </c>
      <c r="L568">
        <v>0</v>
      </c>
      <c r="M568">
        <v>0</v>
      </c>
      <c r="N568">
        <v>550</v>
      </c>
    </row>
    <row r="569" spans="1:14" x14ac:dyDescent="0.25">
      <c r="A569">
        <v>368.07978600000001</v>
      </c>
      <c r="B569" s="1">
        <f>DATE(2011,5,4) + TIME(1,54,53)</f>
        <v>40667.079780092594</v>
      </c>
      <c r="C569">
        <v>80</v>
      </c>
      <c r="D569">
        <v>76.064239502000007</v>
      </c>
      <c r="E569">
        <v>40</v>
      </c>
      <c r="F569">
        <v>39.666721344000003</v>
      </c>
      <c r="G569">
        <v>1335.2513428</v>
      </c>
      <c r="H569">
        <v>1333.6025391000001</v>
      </c>
      <c r="I569">
        <v>1328.5634766000001</v>
      </c>
      <c r="J569">
        <v>1327.7398682</v>
      </c>
      <c r="K569">
        <v>550</v>
      </c>
      <c r="L569">
        <v>0</v>
      </c>
      <c r="M569">
        <v>0</v>
      </c>
      <c r="N569">
        <v>550</v>
      </c>
    </row>
    <row r="570" spans="1:14" x14ac:dyDescent="0.25">
      <c r="A570">
        <v>368.23233699999997</v>
      </c>
      <c r="B570" s="1">
        <f>DATE(2011,5,4) + TIME(5,34,33)</f>
        <v>40667.23232638889</v>
      </c>
      <c r="C570">
        <v>80</v>
      </c>
      <c r="D570">
        <v>76.455162048000005</v>
      </c>
      <c r="E570">
        <v>40</v>
      </c>
      <c r="F570">
        <v>39.655872344999999</v>
      </c>
      <c r="G570">
        <v>1335.3035889</v>
      </c>
      <c r="H570">
        <v>1333.6401367000001</v>
      </c>
      <c r="I570">
        <v>1328.5639647999999</v>
      </c>
      <c r="J570">
        <v>1327.7388916</v>
      </c>
      <c r="K570">
        <v>550</v>
      </c>
      <c r="L570">
        <v>0</v>
      </c>
      <c r="M570">
        <v>0</v>
      </c>
      <c r="N570">
        <v>550</v>
      </c>
    </row>
    <row r="571" spans="1:14" x14ac:dyDescent="0.25">
      <c r="A571">
        <v>368.39066700000001</v>
      </c>
      <c r="B571" s="1">
        <f>DATE(2011,5,4) + TIME(9,22,33)</f>
        <v>40667.390659722223</v>
      </c>
      <c r="C571">
        <v>80</v>
      </c>
      <c r="D571">
        <v>76.821716308999996</v>
      </c>
      <c r="E571">
        <v>40</v>
      </c>
      <c r="F571">
        <v>39.644702911000003</v>
      </c>
      <c r="G571">
        <v>1335.3553466999999</v>
      </c>
      <c r="H571">
        <v>1333.6773682</v>
      </c>
      <c r="I571">
        <v>1328.5644531</v>
      </c>
      <c r="J571">
        <v>1327.7379149999999</v>
      </c>
      <c r="K571">
        <v>550</v>
      </c>
      <c r="L571">
        <v>0</v>
      </c>
      <c r="M571">
        <v>0</v>
      </c>
      <c r="N571">
        <v>550</v>
      </c>
    </row>
    <row r="572" spans="1:14" x14ac:dyDescent="0.25">
      <c r="A572">
        <v>368.55526800000001</v>
      </c>
      <c r="B572" s="1">
        <f>DATE(2011,5,4) + TIME(13,19,35)</f>
        <v>40667.555266203701</v>
      </c>
      <c r="C572">
        <v>80</v>
      </c>
      <c r="D572">
        <v>77.163940429999997</v>
      </c>
      <c r="E572">
        <v>40</v>
      </c>
      <c r="F572">
        <v>39.633186340000002</v>
      </c>
      <c r="G572">
        <v>1335.4067382999999</v>
      </c>
      <c r="H572">
        <v>1333.7141113</v>
      </c>
      <c r="I572">
        <v>1328.5649414</v>
      </c>
      <c r="J572">
        <v>1327.7368164</v>
      </c>
      <c r="K572">
        <v>550</v>
      </c>
      <c r="L572">
        <v>0</v>
      </c>
      <c r="M572">
        <v>0</v>
      </c>
      <c r="N572">
        <v>550</v>
      </c>
    </row>
    <row r="573" spans="1:14" x14ac:dyDescent="0.25">
      <c r="A573">
        <v>368.72670199999999</v>
      </c>
      <c r="B573" s="1">
        <f>DATE(2011,5,4) + TIME(17,26,27)</f>
        <v>40667.726701388892</v>
      </c>
      <c r="C573">
        <v>80</v>
      </c>
      <c r="D573">
        <v>77.482009887999993</v>
      </c>
      <c r="E573">
        <v>40</v>
      </c>
      <c r="F573">
        <v>39.621299743999998</v>
      </c>
      <c r="G573">
        <v>1335.4575195</v>
      </c>
      <c r="H573">
        <v>1333.7503661999999</v>
      </c>
      <c r="I573">
        <v>1328.5654297000001</v>
      </c>
      <c r="J573">
        <v>1327.7358397999999</v>
      </c>
      <c r="K573">
        <v>550</v>
      </c>
      <c r="L573">
        <v>0</v>
      </c>
      <c r="M573">
        <v>0</v>
      </c>
      <c r="N573">
        <v>550</v>
      </c>
    </row>
    <row r="574" spans="1:14" x14ac:dyDescent="0.25">
      <c r="A574">
        <v>368.90570000000002</v>
      </c>
      <c r="B574" s="1">
        <f>DATE(2011,5,4) + TIME(21,44,12)</f>
        <v>40667.905694444446</v>
      </c>
      <c r="C574">
        <v>80</v>
      </c>
      <c r="D574">
        <v>77.776329040999997</v>
      </c>
      <c r="E574">
        <v>40</v>
      </c>
      <c r="F574">
        <v>39.608993529999999</v>
      </c>
      <c r="G574">
        <v>1335.5078125</v>
      </c>
      <c r="H574">
        <v>1333.7862548999999</v>
      </c>
      <c r="I574">
        <v>1328.5657959</v>
      </c>
      <c r="J574">
        <v>1327.7347411999999</v>
      </c>
      <c r="K574">
        <v>550</v>
      </c>
      <c r="L574">
        <v>0</v>
      </c>
      <c r="M574">
        <v>0</v>
      </c>
      <c r="N574">
        <v>550</v>
      </c>
    </row>
    <row r="575" spans="1:14" x14ac:dyDescent="0.25">
      <c r="A575">
        <v>369.092963</v>
      </c>
      <c r="B575" s="1">
        <f>DATE(2011,5,5) + TIME(2,13,52)</f>
        <v>40668.092962962961</v>
      </c>
      <c r="C575">
        <v>80</v>
      </c>
      <c r="D575">
        <v>78.047195435000006</v>
      </c>
      <c r="E575">
        <v>40</v>
      </c>
      <c r="F575">
        <v>39.596240997000002</v>
      </c>
      <c r="G575">
        <v>1335.5573730000001</v>
      </c>
      <c r="H575">
        <v>1333.8215332</v>
      </c>
      <c r="I575">
        <v>1328.5662841999999</v>
      </c>
      <c r="J575">
        <v>1327.7335204999999</v>
      </c>
      <c r="K575">
        <v>550</v>
      </c>
      <c r="L575">
        <v>0</v>
      </c>
      <c r="M575">
        <v>0</v>
      </c>
      <c r="N575">
        <v>550</v>
      </c>
    </row>
    <row r="576" spans="1:14" x14ac:dyDescent="0.25">
      <c r="A576">
        <v>369.289312</v>
      </c>
      <c r="B576" s="1">
        <f>DATE(2011,5,5) + TIME(6,56,36)</f>
        <v>40668.289305555554</v>
      </c>
      <c r="C576">
        <v>80</v>
      </c>
      <c r="D576">
        <v>78.295059203999998</v>
      </c>
      <c r="E576">
        <v>40</v>
      </c>
      <c r="F576">
        <v>39.582996368000003</v>
      </c>
      <c r="G576">
        <v>1335.6060791</v>
      </c>
      <c r="H576">
        <v>1333.8562012</v>
      </c>
      <c r="I576">
        <v>1328.5666504000001</v>
      </c>
      <c r="J576">
        <v>1327.7322998</v>
      </c>
      <c r="K576">
        <v>550</v>
      </c>
      <c r="L576">
        <v>0</v>
      </c>
      <c r="M576">
        <v>0</v>
      </c>
      <c r="N576">
        <v>550</v>
      </c>
    </row>
    <row r="577" spans="1:14" x14ac:dyDescent="0.25">
      <c r="A577">
        <v>369.49575800000002</v>
      </c>
      <c r="B577" s="1">
        <f>DATE(2011,5,5) + TIME(11,53,53)</f>
        <v>40668.495752314811</v>
      </c>
      <c r="C577">
        <v>80</v>
      </c>
      <c r="D577">
        <v>78.520538329999994</v>
      </c>
      <c r="E577">
        <v>40</v>
      </c>
      <c r="F577">
        <v>39.569206238</v>
      </c>
      <c r="G577">
        <v>1335.6538086</v>
      </c>
      <c r="H577">
        <v>1333.8900146000001</v>
      </c>
      <c r="I577">
        <v>1328.5668945</v>
      </c>
      <c r="J577">
        <v>1327.730957</v>
      </c>
      <c r="K577">
        <v>550</v>
      </c>
      <c r="L577">
        <v>0</v>
      </c>
      <c r="M577">
        <v>0</v>
      </c>
      <c r="N577">
        <v>550</v>
      </c>
    </row>
    <row r="578" spans="1:14" x14ac:dyDescent="0.25">
      <c r="A578">
        <v>369.713504</v>
      </c>
      <c r="B578" s="1">
        <f>DATE(2011,5,5) + TIME(17,7,26)</f>
        <v>40668.713495370372</v>
      </c>
      <c r="C578">
        <v>80</v>
      </c>
      <c r="D578">
        <v>78.724281310999999</v>
      </c>
      <c r="E578">
        <v>40</v>
      </c>
      <c r="F578">
        <v>39.554817200000002</v>
      </c>
      <c r="G578">
        <v>1335.6976318</v>
      </c>
      <c r="H578">
        <v>1333.9211425999999</v>
      </c>
      <c r="I578">
        <v>1328.5670166</v>
      </c>
      <c r="J578">
        <v>1327.7296143000001</v>
      </c>
      <c r="K578">
        <v>550</v>
      </c>
      <c r="L578">
        <v>0</v>
      </c>
      <c r="M578">
        <v>0</v>
      </c>
      <c r="N578">
        <v>550</v>
      </c>
    </row>
    <row r="579" spans="1:14" x14ac:dyDescent="0.25">
      <c r="A579">
        <v>369.94418300000001</v>
      </c>
      <c r="B579" s="1">
        <f>DATE(2011,5,5) + TIME(22,39,37)</f>
        <v>40668.944178240738</v>
      </c>
      <c r="C579">
        <v>80</v>
      </c>
      <c r="D579">
        <v>78.907279967999997</v>
      </c>
      <c r="E579">
        <v>40</v>
      </c>
      <c r="F579">
        <v>39.539737701</v>
      </c>
      <c r="G579">
        <v>1335.7397461</v>
      </c>
      <c r="H579">
        <v>1333.9510498</v>
      </c>
      <c r="I579">
        <v>1328.5671387</v>
      </c>
      <c r="J579">
        <v>1327.7281493999999</v>
      </c>
      <c r="K579">
        <v>550</v>
      </c>
      <c r="L579">
        <v>0</v>
      </c>
      <c r="M579">
        <v>0</v>
      </c>
      <c r="N579">
        <v>550</v>
      </c>
    </row>
    <row r="580" spans="1:14" x14ac:dyDescent="0.25">
      <c r="A580">
        <v>370.17845399999999</v>
      </c>
      <c r="B580" s="1">
        <f>DATE(2011,5,6) + TIME(4,16,58)</f>
        <v>40669.178449074076</v>
      </c>
      <c r="C580">
        <v>80</v>
      </c>
      <c r="D580">
        <v>79.064277649000005</v>
      </c>
      <c r="E580">
        <v>40</v>
      </c>
      <c r="F580">
        <v>39.524562836000001</v>
      </c>
      <c r="G580">
        <v>1335.78125</v>
      </c>
      <c r="H580">
        <v>1333.9803466999999</v>
      </c>
      <c r="I580">
        <v>1328.5671387</v>
      </c>
      <c r="J580">
        <v>1327.7266846</v>
      </c>
      <c r="K580">
        <v>550</v>
      </c>
      <c r="L580">
        <v>0</v>
      </c>
      <c r="M580">
        <v>0</v>
      </c>
      <c r="N580">
        <v>550</v>
      </c>
    </row>
    <row r="581" spans="1:14" x14ac:dyDescent="0.25">
      <c r="A581">
        <v>370.413342</v>
      </c>
      <c r="B581" s="1">
        <f>DATE(2011,5,6) + TIME(9,55,12)</f>
        <v>40669.41333333333</v>
      </c>
      <c r="C581">
        <v>80</v>
      </c>
      <c r="D581">
        <v>79.196968079000001</v>
      </c>
      <c r="E581">
        <v>40</v>
      </c>
      <c r="F581">
        <v>39.509479523000003</v>
      </c>
      <c r="G581">
        <v>1335.8183594</v>
      </c>
      <c r="H581">
        <v>1334.0064697</v>
      </c>
      <c r="I581">
        <v>1328.5671387</v>
      </c>
      <c r="J581">
        <v>1327.7252197</v>
      </c>
      <c r="K581">
        <v>550</v>
      </c>
      <c r="L581">
        <v>0</v>
      </c>
      <c r="M581">
        <v>0</v>
      </c>
      <c r="N581">
        <v>550</v>
      </c>
    </row>
    <row r="582" spans="1:14" x14ac:dyDescent="0.25">
      <c r="A582">
        <v>370.649857</v>
      </c>
      <c r="B582" s="1">
        <f>DATE(2011,5,6) + TIME(15,35,47)</f>
        <v>40669.64984953704</v>
      </c>
      <c r="C582">
        <v>80</v>
      </c>
      <c r="D582">
        <v>79.309257506999998</v>
      </c>
      <c r="E582">
        <v>40</v>
      </c>
      <c r="F582">
        <v>39.494419098000002</v>
      </c>
      <c r="G582">
        <v>1335.8491211</v>
      </c>
      <c r="H582">
        <v>1334.0284423999999</v>
      </c>
      <c r="I582">
        <v>1328.5668945</v>
      </c>
      <c r="J582">
        <v>1327.7236327999999</v>
      </c>
      <c r="K582">
        <v>550</v>
      </c>
      <c r="L582">
        <v>0</v>
      </c>
      <c r="M582">
        <v>0</v>
      </c>
      <c r="N582">
        <v>550</v>
      </c>
    </row>
    <row r="583" spans="1:14" x14ac:dyDescent="0.25">
      <c r="A583">
        <v>370.888938</v>
      </c>
      <c r="B583" s="1">
        <f>DATE(2011,5,6) + TIME(21,20,4)</f>
        <v>40669.888935185183</v>
      </c>
      <c r="C583">
        <v>80</v>
      </c>
      <c r="D583">
        <v>79.404403686999999</v>
      </c>
      <c r="E583">
        <v>40</v>
      </c>
      <c r="F583">
        <v>39.479331969999997</v>
      </c>
      <c r="G583">
        <v>1335.8774414</v>
      </c>
      <c r="H583">
        <v>1334.0485839999999</v>
      </c>
      <c r="I583">
        <v>1328.5665283000001</v>
      </c>
      <c r="J583">
        <v>1327.7220459</v>
      </c>
      <c r="K583">
        <v>550</v>
      </c>
      <c r="L583">
        <v>0</v>
      </c>
      <c r="M583">
        <v>0</v>
      </c>
      <c r="N583">
        <v>550</v>
      </c>
    </row>
    <row r="584" spans="1:14" x14ac:dyDescent="0.25">
      <c r="A584">
        <v>371.13131199999998</v>
      </c>
      <c r="B584" s="1">
        <f>DATE(2011,5,7) + TIME(3,9,5)</f>
        <v>40670.131307870368</v>
      </c>
      <c r="C584">
        <v>80</v>
      </c>
      <c r="D584">
        <v>79.485015868999994</v>
      </c>
      <c r="E584">
        <v>40</v>
      </c>
      <c r="F584">
        <v>39.464164734000001</v>
      </c>
      <c r="G584">
        <v>1335.9034423999999</v>
      </c>
      <c r="H584">
        <v>1334.0672606999999</v>
      </c>
      <c r="I584">
        <v>1328.5662841999999</v>
      </c>
      <c r="J584">
        <v>1327.7205810999999</v>
      </c>
      <c r="K584">
        <v>550</v>
      </c>
      <c r="L584">
        <v>0</v>
      </c>
      <c r="M584">
        <v>0</v>
      </c>
      <c r="N584">
        <v>550</v>
      </c>
    </row>
    <row r="585" spans="1:14" x14ac:dyDescent="0.25">
      <c r="A585">
        <v>371.37773499999997</v>
      </c>
      <c r="B585" s="1">
        <f>DATE(2011,5,7) + TIME(9,3,56)</f>
        <v>40670.37773148148</v>
      </c>
      <c r="C585">
        <v>80</v>
      </c>
      <c r="D585">
        <v>79.553283691000004</v>
      </c>
      <c r="E585">
        <v>40</v>
      </c>
      <c r="F585">
        <v>39.448886870999999</v>
      </c>
      <c r="G585">
        <v>1335.9274902</v>
      </c>
      <c r="H585">
        <v>1334.0844727000001</v>
      </c>
      <c r="I585">
        <v>1328.565918</v>
      </c>
      <c r="J585">
        <v>1327.7188721</v>
      </c>
      <c r="K585">
        <v>550</v>
      </c>
      <c r="L585">
        <v>0</v>
      </c>
      <c r="M585">
        <v>0</v>
      </c>
      <c r="N585">
        <v>550</v>
      </c>
    </row>
    <row r="586" spans="1:14" x14ac:dyDescent="0.25">
      <c r="A586">
        <v>371.62898899999999</v>
      </c>
      <c r="B586" s="1">
        <f>DATE(2011,5,7) + TIME(15,5,44)</f>
        <v>40670.628981481481</v>
      </c>
      <c r="C586">
        <v>80</v>
      </c>
      <c r="D586">
        <v>79.611038207999997</v>
      </c>
      <c r="E586">
        <v>40</v>
      </c>
      <c r="F586">
        <v>39.433441162000001</v>
      </c>
      <c r="G586">
        <v>1335.9468993999999</v>
      </c>
      <c r="H586">
        <v>1334.0986327999999</v>
      </c>
      <c r="I586">
        <v>1328.5654297000001</v>
      </c>
      <c r="J586">
        <v>1327.7172852000001</v>
      </c>
      <c r="K586">
        <v>550</v>
      </c>
      <c r="L586">
        <v>0</v>
      </c>
      <c r="M586">
        <v>0</v>
      </c>
      <c r="N586">
        <v>550</v>
      </c>
    </row>
    <row r="587" spans="1:14" x14ac:dyDescent="0.25">
      <c r="A587">
        <v>371.88662399999998</v>
      </c>
      <c r="B587" s="1">
        <f>DATE(2011,5,7) + TIME(21,16,44)</f>
        <v>40670.886620370373</v>
      </c>
      <c r="C587">
        <v>80</v>
      </c>
      <c r="D587">
        <v>79.659934997999997</v>
      </c>
      <c r="E587">
        <v>40</v>
      </c>
      <c r="F587">
        <v>39.417755127</v>
      </c>
      <c r="G587">
        <v>1335.9627685999999</v>
      </c>
      <c r="H587">
        <v>1334.1103516000001</v>
      </c>
      <c r="I587">
        <v>1328.5648193</v>
      </c>
      <c r="J587">
        <v>1327.7156981999999</v>
      </c>
      <c r="K587">
        <v>550</v>
      </c>
      <c r="L587">
        <v>0</v>
      </c>
      <c r="M587">
        <v>0</v>
      </c>
      <c r="N587">
        <v>550</v>
      </c>
    </row>
    <row r="588" spans="1:14" x14ac:dyDescent="0.25">
      <c r="A588">
        <v>372.151768</v>
      </c>
      <c r="B588" s="1">
        <f>DATE(2011,5,8) + TIME(3,38,32)</f>
        <v>40671.151759259257</v>
      </c>
      <c r="C588">
        <v>80</v>
      </c>
      <c r="D588">
        <v>79.701286315999994</v>
      </c>
      <c r="E588">
        <v>40</v>
      </c>
      <c r="F588">
        <v>39.401760101000001</v>
      </c>
      <c r="G588">
        <v>1335.9774170000001</v>
      </c>
      <c r="H588">
        <v>1334.1212158000001</v>
      </c>
      <c r="I588">
        <v>1328.5642089999999</v>
      </c>
      <c r="J588">
        <v>1327.7139893000001</v>
      </c>
      <c r="K588">
        <v>550</v>
      </c>
      <c r="L588">
        <v>0</v>
      </c>
      <c r="M588">
        <v>0</v>
      </c>
      <c r="N588">
        <v>550</v>
      </c>
    </row>
    <row r="589" spans="1:14" x14ac:dyDescent="0.25">
      <c r="A589">
        <v>372.42551800000001</v>
      </c>
      <c r="B589" s="1">
        <f>DATE(2011,5,8) + TIME(10,12,44)</f>
        <v>40671.425509259258</v>
      </c>
      <c r="C589">
        <v>80</v>
      </c>
      <c r="D589">
        <v>79.736190796000002</v>
      </c>
      <c r="E589">
        <v>40</v>
      </c>
      <c r="F589">
        <v>39.385402679000002</v>
      </c>
      <c r="G589">
        <v>1335.9907227000001</v>
      </c>
      <c r="H589">
        <v>1334.1313477000001</v>
      </c>
      <c r="I589">
        <v>1328.5634766000001</v>
      </c>
      <c r="J589">
        <v>1327.7121582</v>
      </c>
      <c r="K589">
        <v>550</v>
      </c>
      <c r="L589">
        <v>0</v>
      </c>
      <c r="M589">
        <v>0</v>
      </c>
      <c r="N589">
        <v>550</v>
      </c>
    </row>
    <row r="590" spans="1:14" x14ac:dyDescent="0.25">
      <c r="A590">
        <v>372.70929100000001</v>
      </c>
      <c r="B590" s="1">
        <f>DATE(2011,5,8) + TIME(17,1,22)</f>
        <v>40671.709282407406</v>
      </c>
      <c r="C590">
        <v>80</v>
      </c>
      <c r="D590">
        <v>79.765602111999996</v>
      </c>
      <c r="E590">
        <v>40</v>
      </c>
      <c r="F590">
        <v>39.368614196999999</v>
      </c>
      <c r="G590">
        <v>1336.0028076000001</v>
      </c>
      <c r="H590">
        <v>1334.1407471</v>
      </c>
      <c r="I590">
        <v>1328.5627440999999</v>
      </c>
      <c r="J590">
        <v>1327.7103271000001</v>
      </c>
      <c r="K590">
        <v>550</v>
      </c>
      <c r="L590">
        <v>0</v>
      </c>
      <c r="M590">
        <v>0</v>
      </c>
      <c r="N590">
        <v>550</v>
      </c>
    </row>
    <row r="591" spans="1:14" x14ac:dyDescent="0.25">
      <c r="A591">
        <v>373.00437499999998</v>
      </c>
      <c r="B591" s="1">
        <f>DATE(2011,5,9) + TIME(0,6,18)</f>
        <v>40672.004374999997</v>
      </c>
      <c r="C591">
        <v>80</v>
      </c>
      <c r="D591">
        <v>79.790306091000005</v>
      </c>
      <c r="E591">
        <v>40</v>
      </c>
      <c r="F591">
        <v>39.351333617999998</v>
      </c>
      <c r="G591">
        <v>1336.0139160000001</v>
      </c>
      <c r="H591">
        <v>1334.1494141000001</v>
      </c>
      <c r="I591">
        <v>1328.5618896000001</v>
      </c>
      <c r="J591">
        <v>1327.7084961</v>
      </c>
      <c r="K591">
        <v>550</v>
      </c>
      <c r="L591">
        <v>0</v>
      </c>
      <c r="M591">
        <v>0</v>
      </c>
      <c r="N591">
        <v>550</v>
      </c>
    </row>
    <row r="592" spans="1:14" x14ac:dyDescent="0.25">
      <c r="A592">
        <v>373.30371100000002</v>
      </c>
      <c r="B592" s="1">
        <f>DATE(2011,5,9) + TIME(7,17,20)</f>
        <v>40672.303703703707</v>
      </c>
      <c r="C592">
        <v>80</v>
      </c>
      <c r="D592">
        <v>79.810516356999997</v>
      </c>
      <c r="E592">
        <v>40</v>
      </c>
      <c r="F592">
        <v>39.333953856999997</v>
      </c>
      <c r="G592">
        <v>1336.0239257999999</v>
      </c>
      <c r="H592">
        <v>1334.1574707</v>
      </c>
      <c r="I592">
        <v>1328.5610352000001</v>
      </c>
      <c r="J592">
        <v>1327.7064209</v>
      </c>
      <c r="K592">
        <v>550</v>
      </c>
      <c r="L592">
        <v>0</v>
      </c>
      <c r="M592">
        <v>0</v>
      </c>
      <c r="N592">
        <v>550</v>
      </c>
    </row>
    <row r="593" spans="1:14" x14ac:dyDescent="0.25">
      <c r="A593">
        <v>373.60688599999997</v>
      </c>
      <c r="B593" s="1">
        <f>DATE(2011,5,9) + TIME(14,33,54)</f>
        <v>40672.606874999998</v>
      </c>
      <c r="C593">
        <v>80</v>
      </c>
      <c r="D593">
        <v>79.827003478999998</v>
      </c>
      <c r="E593">
        <v>40</v>
      </c>
      <c r="F593">
        <v>39.316497802999997</v>
      </c>
      <c r="G593">
        <v>1336.0323486</v>
      </c>
      <c r="H593">
        <v>1334.1643065999999</v>
      </c>
      <c r="I593">
        <v>1328.5601807</v>
      </c>
      <c r="J593">
        <v>1327.7044678</v>
      </c>
      <c r="K593">
        <v>550</v>
      </c>
      <c r="L593">
        <v>0</v>
      </c>
      <c r="M593">
        <v>0</v>
      </c>
      <c r="N593">
        <v>550</v>
      </c>
    </row>
    <row r="594" spans="1:14" x14ac:dyDescent="0.25">
      <c r="A594">
        <v>373.91458799999998</v>
      </c>
      <c r="B594" s="1">
        <f>DATE(2011,5,9) + TIME(21,57,0)</f>
        <v>40672.914583333331</v>
      </c>
      <c r="C594">
        <v>80</v>
      </c>
      <c r="D594">
        <v>79.840461731000005</v>
      </c>
      <c r="E594">
        <v>40</v>
      </c>
      <c r="F594">
        <v>39.298931121999999</v>
      </c>
      <c r="G594">
        <v>1336.036499</v>
      </c>
      <c r="H594">
        <v>1334.168457</v>
      </c>
      <c r="I594">
        <v>1328.5592041</v>
      </c>
      <c r="J594">
        <v>1327.7023925999999</v>
      </c>
      <c r="K594">
        <v>550</v>
      </c>
      <c r="L594">
        <v>0</v>
      </c>
      <c r="M594">
        <v>0</v>
      </c>
      <c r="N594">
        <v>550</v>
      </c>
    </row>
    <row r="595" spans="1:14" x14ac:dyDescent="0.25">
      <c r="A595">
        <v>374.22792600000002</v>
      </c>
      <c r="B595" s="1">
        <f>DATE(2011,5,10) + TIME(5,28,12)</f>
        <v>40673.227916666663</v>
      </c>
      <c r="C595">
        <v>80</v>
      </c>
      <c r="D595">
        <v>79.851463318</v>
      </c>
      <c r="E595">
        <v>40</v>
      </c>
      <c r="F595">
        <v>39.281196594000001</v>
      </c>
      <c r="G595">
        <v>1336.0399170000001</v>
      </c>
      <c r="H595">
        <v>1334.1721190999999</v>
      </c>
      <c r="I595">
        <v>1328.5581055</v>
      </c>
      <c r="J595">
        <v>1327.7003173999999</v>
      </c>
      <c r="K595">
        <v>550</v>
      </c>
      <c r="L595">
        <v>0</v>
      </c>
      <c r="M595">
        <v>0</v>
      </c>
      <c r="N595">
        <v>550</v>
      </c>
    </row>
    <row r="596" spans="1:14" x14ac:dyDescent="0.25">
      <c r="A596">
        <v>374.54749800000002</v>
      </c>
      <c r="B596" s="1">
        <f>DATE(2011,5,10) + TIME(13,8,23)</f>
        <v>40673.547488425924</v>
      </c>
      <c r="C596">
        <v>80</v>
      </c>
      <c r="D596">
        <v>79.860458374000004</v>
      </c>
      <c r="E596">
        <v>40</v>
      </c>
      <c r="F596">
        <v>39.263267517000003</v>
      </c>
      <c r="G596">
        <v>1336.0426024999999</v>
      </c>
      <c r="H596">
        <v>1334.1754149999999</v>
      </c>
      <c r="I596">
        <v>1328.5570068</v>
      </c>
      <c r="J596">
        <v>1327.6982422000001</v>
      </c>
      <c r="K596">
        <v>550</v>
      </c>
      <c r="L596">
        <v>0</v>
      </c>
      <c r="M596">
        <v>0</v>
      </c>
      <c r="N596">
        <v>550</v>
      </c>
    </row>
    <row r="597" spans="1:14" x14ac:dyDescent="0.25">
      <c r="A597">
        <v>374.873921</v>
      </c>
      <c r="B597" s="1">
        <f>DATE(2011,5,10) + TIME(20,58,26)</f>
        <v>40673.873912037037</v>
      </c>
      <c r="C597">
        <v>80</v>
      </c>
      <c r="D597">
        <v>79.867805481000005</v>
      </c>
      <c r="E597">
        <v>40</v>
      </c>
      <c r="F597">
        <v>39.245109558000003</v>
      </c>
      <c r="G597">
        <v>1336.0446777</v>
      </c>
      <c r="H597">
        <v>1334.1782227000001</v>
      </c>
      <c r="I597">
        <v>1328.5559082</v>
      </c>
      <c r="J597">
        <v>1327.6960449000001</v>
      </c>
      <c r="K597">
        <v>550</v>
      </c>
      <c r="L597">
        <v>0</v>
      </c>
      <c r="M597">
        <v>0</v>
      </c>
      <c r="N597">
        <v>550</v>
      </c>
    </row>
    <row r="598" spans="1:14" x14ac:dyDescent="0.25">
      <c r="A598">
        <v>375.20792</v>
      </c>
      <c r="B598" s="1">
        <f>DATE(2011,5,11) + TIME(4,59,24)</f>
        <v>40674.207916666666</v>
      </c>
      <c r="C598">
        <v>80</v>
      </c>
      <c r="D598">
        <v>79.873825073000006</v>
      </c>
      <c r="E598">
        <v>40</v>
      </c>
      <c r="F598">
        <v>39.226688385000003</v>
      </c>
      <c r="G598">
        <v>1336.0460204999999</v>
      </c>
      <c r="H598">
        <v>1334.1806641000001</v>
      </c>
      <c r="I598">
        <v>1328.5546875</v>
      </c>
      <c r="J598">
        <v>1327.6938477000001</v>
      </c>
      <c r="K598">
        <v>550</v>
      </c>
      <c r="L598">
        <v>0</v>
      </c>
      <c r="M598">
        <v>0</v>
      </c>
      <c r="N598">
        <v>550</v>
      </c>
    </row>
    <row r="599" spans="1:14" x14ac:dyDescent="0.25">
      <c r="A599">
        <v>375.550299</v>
      </c>
      <c r="B599" s="1">
        <f>DATE(2011,5,11) + TIME(13,12,25)</f>
        <v>40674.55028935185</v>
      </c>
      <c r="C599">
        <v>80</v>
      </c>
      <c r="D599">
        <v>79.878746032999999</v>
      </c>
      <c r="E599">
        <v>40</v>
      </c>
      <c r="F599">
        <v>39.207977294999999</v>
      </c>
      <c r="G599">
        <v>1336.0467529</v>
      </c>
      <c r="H599">
        <v>1334.1827393000001</v>
      </c>
      <c r="I599">
        <v>1328.5534668</v>
      </c>
      <c r="J599">
        <v>1327.6914062000001</v>
      </c>
      <c r="K599">
        <v>550</v>
      </c>
      <c r="L599">
        <v>0</v>
      </c>
      <c r="M599">
        <v>0</v>
      </c>
      <c r="N599">
        <v>550</v>
      </c>
    </row>
    <row r="600" spans="1:14" x14ac:dyDescent="0.25">
      <c r="A600">
        <v>375.901926</v>
      </c>
      <c r="B600" s="1">
        <f>DATE(2011,5,11) + TIME(21,38,46)</f>
        <v>40674.901921296296</v>
      </c>
      <c r="C600">
        <v>80</v>
      </c>
      <c r="D600">
        <v>79.882766724000007</v>
      </c>
      <c r="E600">
        <v>40</v>
      </c>
      <c r="F600">
        <v>39.188926696999999</v>
      </c>
      <c r="G600">
        <v>1336.0469971</v>
      </c>
      <c r="H600">
        <v>1334.1844481999999</v>
      </c>
      <c r="I600">
        <v>1328.5522461</v>
      </c>
      <c r="J600">
        <v>1327.6890868999999</v>
      </c>
      <c r="K600">
        <v>550</v>
      </c>
      <c r="L600">
        <v>0</v>
      </c>
      <c r="M600">
        <v>0</v>
      </c>
      <c r="N600">
        <v>550</v>
      </c>
    </row>
    <row r="601" spans="1:14" x14ac:dyDescent="0.25">
      <c r="A601">
        <v>376.26375200000001</v>
      </c>
      <c r="B601" s="1">
        <f>DATE(2011,5,12) + TIME(6,19,48)</f>
        <v>40675.263749999998</v>
      </c>
      <c r="C601">
        <v>80</v>
      </c>
      <c r="D601">
        <v>79.886062621999997</v>
      </c>
      <c r="E601">
        <v>40</v>
      </c>
      <c r="F601">
        <v>39.169498443999998</v>
      </c>
      <c r="G601">
        <v>1336.0467529</v>
      </c>
      <c r="H601">
        <v>1334.1860352000001</v>
      </c>
      <c r="I601">
        <v>1328.5509033000001</v>
      </c>
      <c r="J601">
        <v>1327.6865233999999</v>
      </c>
      <c r="K601">
        <v>550</v>
      </c>
      <c r="L601">
        <v>0</v>
      </c>
      <c r="M601">
        <v>0</v>
      </c>
      <c r="N601">
        <v>550</v>
      </c>
    </row>
    <row r="602" spans="1:14" x14ac:dyDescent="0.25">
      <c r="A602">
        <v>376.63682999999997</v>
      </c>
      <c r="B602" s="1">
        <f>DATE(2011,5,12) + TIME(15,17,2)</f>
        <v>40675.636828703704</v>
      </c>
      <c r="C602">
        <v>80</v>
      </c>
      <c r="D602">
        <v>79.888755798000005</v>
      </c>
      <c r="E602">
        <v>40</v>
      </c>
      <c r="F602">
        <v>39.149650573999999</v>
      </c>
      <c r="G602">
        <v>1336.0460204999999</v>
      </c>
      <c r="H602">
        <v>1334.1872559000001</v>
      </c>
      <c r="I602">
        <v>1328.5494385</v>
      </c>
      <c r="J602">
        <v>1327.6839600000001</v>
      </c>
      <c r="K602">
        <v>550</v>
      </c>
      <c r="L602">
        <v>0</v>
      </c>
      <c r="M602">
        <v>0</v>
      </c>
      <c r="N602">
        <v>550</v>
      </c>
    </row>
    <row r="603" spans="1:14" x14ac:dyDescent="0.25">
      <c r="A603">
        <v>377.02233100000001</v>
      </c>
      <c r="B603" s="1">
        <f>DATE(2011,5,13) + TIME(0,32,9)</f>
        <v>40676.022326388891</v>
      </c>
      <c r="C603">
        <v>80</v>
      </c>
      <c r="D603">
        <v>79.890960692999997</v>
      </c>
      <c r="E603">
        <v>40</v>
      </c>
      <c r="F603">
        <v>39.129333496000001</v>
      </c>
      <c r="G603">
        <v>1336.0447998</v>
      </c>
      <c r="H603">
        <v>1334.1882324000001</v>
      </c>
      <c r="I603">
        <v>1328.5479736</v>
      </c>
      <c r="J603">
        <v>1327.6813964999999</v>
      </c>
      <c r="K603">
        <v>550</v>
      </c>
      <c r="L603">
        <v>0</v>
      </c>
      <c r="M603">
        <v>0</v>
      </c>
      <c r="N603">
        <v>550</v>
      </c>
    </row>
    <row r="604" spans="1:14" x14ac:dyDescent="0.25">
      <c r="A604">
        <v>377.42174</v>
      </c>
      <c r="B604" s="1">
        <f>DATE(2011,5,13) + TIME(10,7,18)</f>
        <v>40676.421736111108</v>
      </c>
      <c r="C604">
        <v>80</v>
      </c>
      <c r="D604">
        <v>79.892768860000004</v>
      </c>
      <c r="E604">
        <v>40</v>
      </c>
      <c r="F604">
        <v>39.108482361</v>
      </c>
      <c r="G604">
        <v>1336.0432129000001</v>
      </c>
      <c r="H604">
        <v>1334.1889647999999</v>
      </c>
      <c r="I604">
        <v>1328.5465088000001</v>
      </c>
      <c r="J604">
        <v>1327.6785889</v>
      </c>
      <c r="K604">
        <v>550</v>
      </c>
      <c r="L604">
        <v>0</v>
      </c>
      <c r="M604">
        <v>0</v>
      </c>
      <c r="N604">
        <v>550</v>
      </c>
    </row>
    <row r="605" spans="1:14" x14ac:dyDescent="0.25">
      <c r="A605">
        <v>377.83852999999999</v>
      </c>
      <c r="B605" s="1">
        <f>DATE(2011,5,13) + TIME(20,7,28)</f>
        <v>40676.838518518518</v>
      </c>
      <c r="C605">
        <v>80</v>
      </c>
      <c r="D605">
        <v>79.894248962000006</v>
      </c>
      <c r="E605">
        <v>40</v>
      </c>
      <c r="F605">
        <v>39.086944580000001</v>
      </c>
      <c r="G605">
        <v>1336.0412598</v>
      </c>
      <c r="H605">
        <v>1334.1895752</v>
      </c>
      <c r="I605">
        <v>1328.5449219</v>
      </c>
      <c r="J605">
        <v>1327.6756591999999</v>
      </c>
      <c r="K605">
        <v>550</v>
      </c>
      <c r="L605">
        <v>0</v>
      </c>
      <c r="M605">
        <v>0</v>
      </c>
      <c r="N605">
        <v>550</v>
      </c>
    </row>
    <row r="606" spans="1:14" x14ac:dyDescent="0.25">
      <c r="A606">
        <v>378.27222799999998</v>
      </c>
      <c r="B606" s="1">
        <f>DATE(2011,5,14) + TIME(6,32,0)</f>
        <v>40677.272222222222</v>
      </c>
      <c r="C606">
        <v>80</v>
      </c>
      <c r="D606">
        <v>79.895446777000004</v>
      </c>
      <c r="E606">
        <v>40</v>
      </c>
      <c r="F606">
        <v>39.064758300999998</v>
      </c>
      <c r="G606">
        <v>1336.0388184000001</v>
      </c>
      <c r="H606">
        <v>1334.1899414</v>
      </c>
      <c r="I606">
        <v>1328.5432129000001</v>
      </c>
      <c r="J606">
        <v>1327.6726074000001</v>
      </c>
      <c r="K606">
        <v>550</v>
      </c>
      <c r="L606">
        <v>0</v>
      </c>
      <c r="M606">
        <v>0</v>
      </c>
      <c r="N606">
        <v>550</v>
      </c>
    </row>
    <row r="607" spans="1:14" x14ac:dyDescent="0.25">
      <c r="A607">
        <v>378.71917500000001</v>
      </c>
      <c r="B607" s="1">
        <f>DATE(2011,5,14) + TIME(17,15,36)</f>
        <v>40677.719166666669</v>
      </c>
      <c r="C607">
        <v>80</v>
      </c>
      <c r="D607">
        <v>79.896415709999999</v>
      </c>
      <c r="E607">
        <v>40</v>
      </c>
      <c r="F607">
        <v>39.042102814000003</v>
      </c>
      <c r="G607">
        <v>1336.0360106999999</v>
      </c>
      <c r="H607">
        <v>1334.1901855000001</v>
      </c>
      <c r="I607">
        <v>1328.5415039</v>
      </c>
      <c r="J607">
        <v>1327.6694336</v>
      </c>
      <c r="K607">
        <v>550</v>
      </c>
      <c r="L607">
        <v>0</v>
      </c>
      <c r="M607">
        <v>0</v>
      </c>
      <c r="N607">
        <v>550</v>
      </c>
    </row>
    <row r="608" spans="1:14" x14ac:dyDescent="0.25">
      <c r="A608">
        <v>379.17862000000002</v>
      </c>
      <c r="B608" s="1">
        <f>DATE(2011,5,15) + TIME(4,17,12)</f>
        <v>40678.178611111114</v>
      </c>
      <c r="C608">
        <v>80</v>
      </c>
      <c r="D608">
        <v>79.897193908999995</v>
      </c>
      <c r="E608">
        <v>40</v>
      </c>
      <c r="F608">
        <v>39.019020081000001</v>
      </c>
      <c r="G608">
        <v>1336.0328368999999</v>
      </c>
      <c r="H608">
        <v>1334.1901855000001</v>
      </c>
      <c r="I608">
        <v>1328.5396728999999</v>
      </c>
      <c r="J608">
        <v>1327.6661377</v>
      </c>
      <c r="K608">
        <v>550</v>
      </c>
      <c r="L608">
        <v>0</v>
      </c>
      <c r="M608">
        <v>0</v>
      </c>
      <c r="N608">
        <v>550</v>
      </c>
    </row>
    <row r="609" spans="1:14" x14ac:dyDescent="0.25">
      <c r="A609">
        <v>379.64837399999999</v>
      </c>
      <c r="B609" s="1">
        <f>DATE(2011,5,15) + TIME(15,33,39)</f>
        <v>40678.648368055554</v>
      </c>
      <c r="C609">
        <v>80</v>
      </c>
      <c r="D609">
        <v>79.897804260000001</v>
      </c>
      <c r="E609">
        <v>40</v>
      </c>
      <c r="F609">
        <v>38.995620727999999</v>
      </c>
      <c r="G609">
        <v>1336.0292969</v>
      </c>
      <c r="H609">
        <v>1334.1900635</v>
      </c>
      <c r="I609">
        <v>1328.5377197</v>
      </c>
      <c r="J609">
        <v>1327.6627197</v>
      </c>
      <c r="K609">
        <v>550</v>
      </c>
      <c r="L609">
        <v>0</v>
      </c>
      <c r="M609">
        <v>0</v>
      </c>
      <c r="N609">
        <v>550</v>
      </c>
    </row>
    <row r="610" spans="1:14" x14ac:dyDescent="0.25">
      <c r="A610">
        <v>380.13023299999998</v>
      </c>
      <c r="B610" s="1">
        <f>DATE(2011,5,16) + TIME(3,7,32)</f>
        <v>40679.130231481482</v>
      </c>
      <c r="C610">
        <v>80</v>
      </c>
      <c r="D610">
        <v>79.898284911999994</v>
      </c>
      <c r="E610">
        <v>40</v>
      </c>
      <c r="F610">
        <v>38.971828461000001</v>
      </c>
      <c r="G610">
        <v>1336.0256348</v>
      </c>
      <c r="H610">
        <v>1334.1898193</v>
      </c>
      <c r="I610">
        <v>1328.5357666</v>
      </c>
      <c r="J610">
        <v>1327.6593018000001</v>
      </c>
      <c r="K610">
        <v>550</v>
      </c>
      <c r="L610">
        <v>0</v>
      </c>
      <c r="M610">
        <v>0</v>
      </c>
      <c r="N610">
        <v>550</v>
      </c>
    </row>
    <row r="611" spans="1:14" x14ac:dyDescent="0.25">
      <c r="A611">
        <v>380.62778800000001</v>
      </c>
      <c r="B611" s="1">
        <f>DATE(2011,5,16) + TIME(15,4,0)</f>
        <v>40679.62777777778</v>
      </c>
      <c r="C611">
        <v>80</v>
      </c>
      <c r="D611">
        <v>79.898658752000003</v>
      </c>
      <c r="E611">
        <v>40</v>
      </c>
      <c r="F611">
        <v>38.947490692000002</v>
      </c>
      <c r="G611">
        <v>1336.0216064000001</v>
      </c>
      <c r="H611">
        <v>1334.1893310999999</v>
      </c>
      <c r="I611">
        <v>1328.5338135</v>
      </c>
      <c r="J611">
        <v>1327.6556396000001</v>
      </c>
      <c r="K611">
        <v>550</v>
      </c>
      <c r="L611">
        <v>0</v>
      </c>
      <c r="M611">
        <v>0</v>
      </c>
      <c r="N611">
        <v>550</v>
      </c>
    </row>
    <row r="612" spans="1:14" x14ac:dyDescent="0.25">
      <c r="A612">
        <v>381.14498400000002</v>
      </c>
      <c r="B612" s="1">
        <f>DATE(2011,5,17) + TIME(3,28,46)</f>
        <v>40680.144976851851</v>
      </c>
      <c r="C612">
        <v>80</v>
      </c>
      <c r="D612">
        <v>79.898956299000005</v>
      </c>
      <c r="E612">
        <v>40</v>
      </c>
      <c r="F612">
        <v>38.922454834</v>
      </c>
      <c r="G612">
        <v>1336.0173339999999</v>
      </c>
      <c r="H612">
        <v>1334.1888428</v>
      </c>
      <c r="I612">
        <v>1328.5316161999999</v>
      </c>
      <c r="J612">
        <v>1327.6518555</v>
      </c>
      <c r="K612">
        <v>550</v>
      </c>
      <c r="L612">
        <v>0</v>
      </c>
      <c r="M612">
        <v>0</v>
      </c>
      <c r="N612">
        <v>550</v>
      </c>
    </row>
    <row r="613" spans="1:14" x14ac:dyDescent="0.25">
      <c r="A613">
        <v>381.68453899999997</v>
      </c>
      <c r="B613" s="1">
        <f>DATE(2011,5,17) + TIME(16,25,44)</f>
        <v>40680.684537037036</v>
      </c>
      <c r="C613">
        <v>80</v>
      </c>
      <c r="D613">
        <v>79.899177550999994</v>
      </c>
      <c r="E613">
        <v>40</v>
      </c>
      <c r="F613">
        <v>38.896614075000002</v>
      </c>
      <c r="G613">
        <v>1336.0128173999999</v>
      </c>
      <c r="H613">
        <v>1334.1881103999999</v>
      </c>
      <c r="I613">
        <v>1328.5294189000001</v>
      </c>
      <c r="J613">
        <v>1327.6478271000001</v>
      </c>
      <c r="K613">
        <v>550</v>
      </c>
      <c r="L613">
        <v>0</v>
      </c>
      <c r="M613">
        <v>0</v>
      </c>
      <c r="N613">
        <v>550</v>
      </c>
    </row>
    <row r="614" spans="1:14" x14ac:dyDescent="0.25">
      <c r="A614">
        <v>382.24133</v>
      </c>
      <c r="B614" s="1">
        <f>DATE(2011,5,18) + TIME(5,47,30)</f>
        <v>40681.241319444445</v>
      </c>
      <c r="C614">
        <v>80</v>
      </c>
      <c r="D614">
        <v>79.899330139</v>
      </c>
      <c r="E614">
        <v>40</v>
      </c>
      <c r="F614">
        <v>38.870204926</v>
      </c>
      <c r="G614">
        <v>1336.0080565999999</v>
      </c>
      <c r="H614">
        <v>1334.1873779</v>
      </c>
      <c r="I614">
        <v>1328.5270995999999</v>
      </c>
      <c r="J614">
        <v>1327.6436768000001</v>
      </c>
      <c r="K614">
        <v>550</v>
      </c>
      <c r="L614">
        <v>0</v>
      </c>
      <c r="M614">
        <v>0</v>
      </c>
      <c r="N614">
        <v>550</v>
      </c>
    </row>
    <row r="615" spans="1:14" x14ac:dyDescent="0.25">
      <c r="A615">
        <v>382.799555</v>
      </c>
      <c r="B615" s="1">
        <f>DATE(2011,5,18) + TIME(19,11,21)</f>
        <v>40681.79954861111</v>
      </c>
      <c r="C615">
        <v>80</v>
      </c>
      <c r="D615">
        <v>79.899429321</v>
      </c>
      <c r="E615">
        <v>40</v>
      </c>
      <c r="F615">
        <v>38.843898772999999</v>
      </c>
      <c r="G615">
        <v>1336.0030518000001</v>
      </c>
      <c r="H615">
        <v>1334.1864014</v>
      </c>
      <c r="I615">
        <v>1328.5246582</v>
      </c>
      <c r="J615">
        <v>1327.6394043</v>
      </c>
      <c r="K615">
        <v>550</v>
      </c>
      <c r="L615">
        <v>0</v>
      </c>
      <c r="M615">
        <v>0</v>
      </c>
      <c r="N615">
        <v>550</v>
      </c>
    </row>
    <row r="616" spans="1:14" x14ac:dyDescent="0.25">
      <c r="A616">
        <v>383.36068699999998</v>
      </c>
      <c r="B616" s="1">
        <f>DATE(2011,5,19) + TIME(8,39,23)</f>
        <v>40682.360682870371</v>
      </c>
      <c r="C616">
        <v>80</v>
      </c>
      <c r="D616">
        <v>79.899482727000006</v>
      </c>
      <c r="E616">
        <v>40</v>
      </c>
      <c r="F616">
        <v>38.817638397000003</v>
      </c>
      <c r="G616">
        <v>1335.9979248</v>
      </c>
      <c r="H616">
        <v>1334.1855469</v>
      </c>
      <c r="I616">
        <v>1328.5222168</v>
      </c>
      <c r="J616">
        <v>1327.6351318</v>
      </c>
      <c r="K616">
        <v>550</v>
      </c>
      <c r="L616">
        <v>0</v>
      </c>
      <c r="M616">
        <v>0</v>
      </c>
      <c r="N616">
        <v>550</v>
      </c>
    </row>
    <row r="617" spans="1:14" x14ac:dyDescent="0.25">
      <c r="A617">
        <v>383.92615699999999</v>
      </c>
      <c r="B617" s="1">
        <f>DATE(2011,5,19) + TIME(22,13,39)</f>
        <v>40682.926145833335</v>
      </c>
      <c r="C617">
        <v>80</v>
      </c>
      <c r="D617">
        <v>79.899497986</v>
      </c>
      <c r="E617">
        <v>40</v>
      </c>
      <c r="F617">
        <v>38.791370391999997</v>
      </c>
      <c r="G617">
        <v>1335.9929199000001</v>
      </c>
      <c r="H617">
        <v>1334.1844481999999</v>
      </c>
      <c r="I617">
        <v>1328.5197754000001</v>
      </c>
      <c r="J617">
        <v>1327.6307373</v>
      </c>
      <c r="K617">
        <v>550</v>
      </c>
      <c r="L617">
        <v>0</v>
      </c>
      <c r="M617">
        <v>0</v>
      </c>
      <c r="N617">
        <v>550</v>
      </c>
    </row>
    <row r="618" spans="1:14" x14ac:dyDescent="0.25">
      <c r="A618">
        <v>384.49739399999999</v>
      </c>
      <c r="B618" s="1">
        <f>DATE(2011,5,20) + TIME(11,56,14)</f>
        <v>40683.497384259259</v>
      </c>
      <c r="C618">
        <v>80</v>
      </c>
      <c r="D618">
        <v>79.899490356000001</v>
      </c>
      <c r="E618">
        <v>40</v>
      </c>
      <c r="F618">
        <v>38.765045166</v>
      </c>
      <c r="G618">
        <v>1335.987793</v>
      </c>
      <c r="H618">
        <v>1334.1834716999999</v>
      </c>
      <c r="I618">
        <v>1328.5173339999999</v>
      </c>
      <c r="J618">
        <v>1327.6262207</v>
      </c>
      <c r="K618">
        <v>550</v>
      </c>
      <c r="L618">
        <v>0</v>
      </c>
      <c r="M618">
        <v>0</v>
      </c>
      <c r="N618">
        <v>550</v>
      </c>
    </row>
    <row r="619" spans="1:14" x14ac:dyDescent="0.25">
      <c r="A619">
        <v>385.07605899999999</v>
      </c>
      <c r="B619" s="1">
        <f>DATE(2011,5,21) + TIME(1,49,31)</f>
        <v>40684.076053240744</v>
      </c>
      <c r="C619">
        <v>80</v>
      </c>
      <c r="D619">
        <v>79.899452209000003</v>
      </c>
      <c r="E619">
        <v>40</v>
      </c>
      <c r="F619">
        <v>38.73859787</v>
      </c>
      <c r="G619">
        <v>1335.9826660000001</v>
      </c>
      <c r="H619">
        <v>1334.1823730000001</v>
      </c>
      <c r="I619">
        <v>1328.5147704999999</v>
      </c>
      <c r="J619">
        <v>1327.6217041</v>
      </c>
      <c r="K619">
        <v>550</v>
      </c>
      <c r="L619">
        <v>0</v>
      </c>
      <c r="M619">
        <v>0</v>
      </c>
      <c r="N619">
        <v>550</v>
      </c>
    </row>
    <row r="620" spans="1:14" x14ac:dyDescent="0.25">
      <c r="A620">
        <v>385.66343699999999</v>
      </c>
      <c r="B620" s="1">
        <f>DATE(2011,5,21) + TIME(15,55,20)</f>
        <v>40684.663425925923</v>
      </c>
      <c r="C620">
        <v>80</v>
      </c>
      <c r="D620">
        <v>79.899391174000002</v>
      </c>
      <c r="E620">
        <v>40</v>
      </c>
      <c r="F620">
        <v>38.711990356000001</v>
      </c>
      <c r="G620">
        <v>1335.9774170000001</v>
      </c>
      <c r="H620">
        <v>1334.1812743999999</v>
      </c>
      <c r="I620">
        <v>1328.5120850000001</v>
      </c>
      <c r="J620">
        <v>1327.6170654</v>
      </c>
      <c r="K620">
        <v>550</v>
      </c>
      <c r="L620">
        <v>0</v>
      </c>
      <c r="M620">
        <v>0</v>
      </c>
      <c r="N620">
        <v>550</v>
      </c>
    </row>
    <row r="621" spans="1:14" x14ac:dyDescent="0.25">
      <c r="A621">
        <v>386.26102900000001</v>
      </c>
      <c r="B621" s="1">
        <f>DATE(2011,5,22) + TIME(6,15,52)</f>
        <v>40685.261018518519</v>
      </c>
      <c r="C621">
        <v>80</v>
      </c>
      <c r="D621">
        <v>79.899322510000005</v>
      </c>
      <c r="E621">
        <v>40</v>
      </c>
      <c r="F621">
        <v>38.685165404999999</v>
      </c>
      <c r="G621">
        <v>1335.9722899999999</v>
      </c>
      <c r="H621">
        <v>1334.1801757999999</v>
      </c>
      <c r="I621">
        <v>1328.5095214999999</v>
      </c>
      <c r="J621">
        <v>1327.6123047000001</v>
      </c>
      <c r="K621">
        <v>550</v>
      </c>
      <c r="L621">
        <v>0</v>
      </c>
      <c r="M621">
        <v>0</v>
      </c>
      <c r="N621">
        <v>550</v>
      </c>
    </row>
    <row r="622" spans="1:14" x14ac:dyDescent="0.25">
      <c r="A622">
        <v>386.87044900000001</v>
      </c>
      <c r="B622" s="1">
        <f>DATE(2011,5,22) + TIME(20,53,26)</f>
        <v>40685.870439814818</v>
      </c>
      <c r="C622">
        <v>80</v>
      </c>
      <c r="D622">
        <v>79.899230957</v>
      </c>
      <c r="E622">
        <v>40</v>
      </c>
      <c r="F622">
        <v>38.658073424999998</v>
      </c>
      <c r="G622">
        <v>1335.9670410000001</v>
      </c>
      <c r="H622">
        <v>1334.1790771000001</v>
      </c>
      <c r="I622">
        <v>1328.5067139</v>
      </c>
      <c r="J622">
        <v>1327.6074219</v>
      </c>
      <c r="K622">
        <v>550</v>
      </c>
      <c r="L622">
        <v>0</v>
      </c>
      <c r="M622">
        <v>0</v>
      </c>
      <c r="N622">
        <v>550</v>
      </c>
    </row>
    <row r="623" spans="1:14" x14ac:dyDescent="0.25">
      <c r="A623">
        <v>387.49340999999998</v>
      </c>
      <c r="B623" s="1">
        <f>DATE(2011,5,23) + TIME(11,50,30)</f>
        <v>40686.493402777778</v>
      </c>
      <c r="C623">
        <v>80</v>
      </c>
      <c r="D623">
        <v>79.899131775000001</v>
      </c>
      <c r="E623">
        <v>40</v>
      </c>
      <c r="F623">
        <v>38.630657196000001</v>
      </c>
      <c r="G623">
        <v>1335.9617920000001</v>
      </c>
      <c r="H623">
        <v>1334.1779785000001</v>
      </c>
      <c r="I623">
        <v>1328.5040283000001</v>
      </c>
      <c r="J623">
        <v>1327.6024170000001</v>
      </c>
      <c r="K623">
        <v>550</v>
      </c>
      <c r="L623">
        <v>0</v>
      </c>
      <c r="M623">
        <v>0</v>
      </c>
      <c r="N623">
        <v>550</v>
      </c>
    </row>
    <row r="624" spans="1:14" x14ac:dyDescent="0.25">
      <c r="A624">
        <v>388.131776</v>
      </c>
      <c r="B624" s="1">
        <f>DATE(2011,5,24) + TIME(3,9,45)</f>
        <v>40687.13177083333</v>
      </c>
      <c r="C624">
        <v>80</v>
      </c>
      <c r="D624">
        <v>79.899024963000002</v>
      </c>
      <c r="E624">
        <v>40</v>
      </c>
      <c r="F624">
        <v>38.602863311999997</v>
      </c>
      <c r="G624">
        <v>1335.9564209</v>
      </c>
      <c r="H624">
        <v>1334.1768798999999</v>
      </c>
      <c r="I624">
        <v>1328.5010986</v>
      </c>
      <c r="J624">
        <v>1327.5972899999999</v>
      </c>
      <c r="K624">
        <v>550</v>
      </c>
      <c r="L624">
        <v>0</v>
      </c>
      <c r="M624">
        <v>0</v>
      </c>
      <c r="N624">
        <v>550</v>
      </c>
    </row>
    <row r="625" spans="1:14" x14ac:dyDescent="0.25">
      <c r="A625">
        <v>388.78758299999998</v>
      </c>
      <c r="B625" s="1">
        <f>DATE(2011,5,24) + TIME(18,54,7)</f>
        <v>40687.787581018521</v>
      </c>
      <c r="C625">
        <v>80</v>
      </c>
      <c r="D625">
        <v>79.898902892999999</v>
      </c>
      <c r="E625">
        <v>40</v>
      </c>
      <c r="F625">
        <v>38.574630737</v>
      </c>
      <c r="G625">
        <v>1335.9511719</v>
      </c>
      <c r="H625">
        <v>1334.1756591999999</v>
      </c>
      <c r="I625">
        <v>1328.4981689000001</v>
      </c>
      <c r="J625">
        <v>1327.5919189000001</v>
      </c>
      <c r="K625">
        <v>550</v>
      </c>
      <c r="L625">
        <v>0</v>
      </c>
      <c r="M625">
        <v>0</v>
      </c>
      <c r="N625">
        <v>550</v>
      </c>
    </row>
    <row r="626" spans="1:14" x14ac:dyDescent="0.25">
      <c r="A626">
        <v>389.46308499999998</v>
      </c>
      <c r="B626" s="1">
        <f>DATE(2011,5,25) + TIME(11,6,50)</f>
        <v>40688.463078703702</v>
      </c>
      <c r="C626">
        <v>80</v>
      </c>
      <c r="D626">
        <v>79.898773192999997</v>
      </c>
      <c r="E626">
        <v>40</v>
      </c>
      <c r="F626">
        <v>38.545890808000003</v>
      </c>
      <c r="G626">
        <v>1335.9456786999999</v>
      </c>
      <c r="H626">
        <v>1334.1745605000001</v>
      </c>
      <c r="I626">
        <v>1328.4951172000001</v>
      </c>
      <c r="J626">
        <v>1327.5865478999999</v>
      </c>
      <c r="K626">
        <v>550</v>
      </c>
      <c r="L626">
        <v>0</v>
      </c>
      <c r="M626">
        <v>0</v>
      </c>
      <c r="N626">
        <v>550</v>
      </c>
    </row>
    <row r="627" spans="1:14" x14ac:dyDescent="0.25">
      <c r="A627">
        <v>390.16083500000002</v>
      </c>
      <c r="B627" s="1">
        <f>DATE(2011,5,26) + TIME(3,51,36)</f>
        <v>40689.160833333335</v>
      </c>
      <c r="C627">
        <v>80</v>
      </c>
      <c r="D627">
        <v>79.898635863999999</v>
      </c>
      <c r="E627">
        <v>40</v>
      </c>
      <c r="F627">
        <v>38.516571044999999</v>
      </c>
      <c r="G627">
        <v>1335.9403076000001</v>
      </c>
      <c r="H627">
        <v>1334.1733397999999</v>
      </c>
      <c r="I627">
        <v>1328.4920654</v>
      </c>
      <c r="J627">
        <v>1327.5808105000001</v>
      </c>
      <c r="K627">
        <v>550</v>
      </c>
      <c r="L627">
        <v>0</v>
      </c>
      <c r="M627">
        <v>0</v>
      </c>
      <c r="N627">
        <v>550</v>
      </c>
    </row>
    <row r="628" spans="1:14" x14ac:dyDescent="0.25">
      <c r="A628">
        <v>390.88661100000002</v>
      </c>
      <c r="B628" s="1">
        <f>DATE(2011,5,26) + TIME(21,16,43)</f>
        <v>40689.886608796296</v>
      </c>
      <c r="C628">
        <v>80</v>
      </c>
      <c r="D628">
        <v>79.898490906000006</v>
      </c>
      <c r="E628">
        <v>40</v>
      </c>
      <c r="F628">
        <v>38.486492157000001</v>
      </c>
      <c r="G628">
        <v>1335.9346923999999</v>
      </c>
      <c r="H628">
        <v>1334.1722411999999</v>
      </c>
      <c r="I628">
        <v>1328.4887695</v>
      </c>
      <c r="J628">
        <v>1327.5749512</v>
      </c>
      <c r="K628">
        <v>550</v>
      </c>
      <c r="L628">
        <v>0</v>
      </c>
      <c r="M628">
        <v>0</v>
      </c>
      <c r="N628">
        <v>550</v>
      </c>
    </row>
    <row r="629" spans="1:14" x14ac:dyDescent="0.25">
      <c r="A629">
        <v>391.64852300000001</v>
      </c>
      <c r="B629" s="1">
        <f>DATE(2011,5,27) + TIME(15,33,52)</f>
        <v>40690.648518518516</v>
      </c>
      <c r="C629">
        <v>80</v>
      </c>
      <c r="D629">
        <v>79.898338318</v>
      </c>
      <c r="E629">
        <v>40</v>
      </c>
      <c r="F629">
        <v>38.455406189000001</v>
      </c>
      <c r="G629">
        <v>1335.9290771000001</v>
      </c>
      <c r="H629">
        <v>1334.1710204999999</v>
      </c>
      <c r="I629">
        <v>1328.4854736</v>
      </c>
      <c r="J629">
        <v>1327.5688477000001</v>
      </c>
      <c r="K629">
        <v>550</v>
      </c>
      <c r="L629">
        <v>0</v>
      </c>
      <c r="M629">
        <v>0</v>
      </c>
      <c r="N629">
        <v>550</v>
      </c>
    </row>
    <row r="630" spans="1:14" x14ac:dyDescent="0.25">
      <c r="A630">
        <v>392.42851100000001</v>
      </c>
      <c r="B630" s="1">
        <f>DATE(2011,5,28) + TIME(10,17,3)</f>
        <v>40691.428506944445</v>
      </c>
      <c r="C630">
        <v>80</v>
      </c>
      <c r="D630">
        <v>79.898185729999994</v>
      </c>
      <c r="E630">
        <v>40</v>
      </c>
      <c r="F630">
        <v>38.423965453999998</v>
      </c>
      <c r="G630">
        <v>1335.9233397999999</v>
      </c>
      <c r="H630">
        <v>1334.1697998</v>
      </c>
      <c r="I630">
        <v>1328.4819336</v>
      </c>
      <c r="J630">
        <v>1327.5623779</v>
      </c>
      <c r="K630">
        <v>550</v>
      </c>
      <c r="L630">
        <v>0</v>
      </c>
      <c r="M630">
        <v>0</v>
      </c>
      <c r="N630">
        <v>550</v>
      </c>
    </row>
    <row r="631" spans="1:14" x14ac:dyDescent="0.25">
      <c r="A631">
        <v>393.22943500000002</v>
      </c>
      <c r="B631" s="1">
        <f>DATE(2011,5,29) + TIME(5,30,23)</f>
        <v>40692.229432870372</v>
      </c>
      <c r="C631">
        <v>80</v>
      </c>
      <c r="D631">
        <v>79.898017882999994</v>
      </c>
      <c r="E631">
        <v>40</v>
      </c>
      <c r="F631">
        <v>38.392108917000002</v>
      </c>
      <c r="G631">
        <v>1335.9176024999999</v>
      </c>
      <c r="H631">
        <v>1334.1685791</v>
      </c>
      <c r="I631">
        <v>1328.4782714999999</v>
      </c>
      <c r="J631">
        <v>1327.5557861</v>
      </c>
      <c r="K631">
        <v>550</v>
      </c>
      <c r="L631">
        <v>0</v>
      </c>
      <c r="M631">
        <v>0</v>
      </c>
      <c r="N631">
        <v>550</v>
      </c>
    </row>
    <row r="632" spans="1:14" x14ac:dyDescent="0.25">
      <c r="A632">
        <v>394.05408299999999</v>
      </c>
      <c r="B632" s="1">
        <f>DATE(2011,5,30) + TIME(1,17,52)</f>
        <v>40693.054074074076</v>
      </c>
      <c r="C632">
        <v>80</v>
      </c>
      <c r="D632">
        <v>79.897857665999993</v>
      </c>
      <c r="E632">
        <v>40</v>
      </c>
      <c r="F632">
        <v>38.359775542999998</v>
      </c>
      <c r="G632">
        <v>1335.9118652</v>
      </c>
      <c r="H632">
        <v>1334.1673584</v>
      </c>
      <c r="I632">
        <v>1328.4744873</v>
      </c>
      <c r="J632">
        <v>1327.5489502</v>
      </c>
      <c r="K632">
        <v>550</v>
      </c>
      <c r="L632">
        <v>0</v>
      </c>
      <c r="M632">
        <v>0</v>
      </c>
      <c r="N632">
        <v>550</v>
      </c>
    </row>
    <row r="633" spans="1:14" x14ac:dyDescent="0.25">
      <c r="A633">
        <v>394.90547600000002</v>
      </c>
      <c r="B633" s="1">
        <f>DATE(2011,5,30) + TIME(21,43,53)</f>
        <v>40693.905474537038</v>
      </c>
      <c r="C633">
        <v>80</v>
      </c>
      <c r="D633">
        <v>79.897689818999993</v>
      </c>
      <c r="E633">
        <v>40</v>
      </c>
      <c r="F633">
        <v>38.326915741000001</v>
      </c>
      <c r="G633">
        <v>1335.9061279</v>
      </c>
      <c r="H633">
        <v>1334.1661377</v>
      </c>
      <c r="I633">
        <v>1328.4707031</v>
      </c>
      <c r="J633">
        <v>1327.5418701000001</v>
      </c>
      <c r="K633">
        <v>550</v>
      </c>
      <c r="L633">
        <v>0</v>
      </c>
      <c r="M633">
        <v>0</v>
      </c>
      <c r="N633">
        <v>550</v>
      </c>
    </row>
    <row r="634" spans="1:14" x14ac:dyDescent="0.25">
      <c r="A634">
        <v>395.78740399999998</v>
      </c>
      <c r="B634" s="1">
        <f>DATE(2011,5,31) + TIME(18,53,51)</f>
        <v>40694.787395833337</v>
      </c>
      <c r="C634">
        <v>80</v>
      </c>
      <c r="D634">
        <v>79.897521972999996</v>
      </c>
      <c r="E634">
        <v>40</v>
      </c>
      <c r="F634">
        <v>38.293453217</v>
      </c>
      <c r="G634">
        <v>1335.9003906</v>
      </c>
      <c r="H634">
        <v>1334.1649170000001</v>
      </c>
      <c r="I634">
        <v>1328.4666748</v>
      </c>
      <c r="J634">
        <v>1327.5345459</v>
      </c>
      <c r="K634">
        <v>550</v>
      </c>
      <c r="L634">
        <v>0</v>
      </c>
      <c r="M634">
        <v>0</v>
      </c>
      <c r="N634">
        <v>550</v>
      </c>
    </row>
    <row r="635" spans="1:14" x14ac:dyDescent="0.25">
      <c r="A635">
        <v>396</v>
      </c>
      <c r="B635" s="1">
        <f>DATE(2011,6,1) + TIME(0,0,0)</f>
        <v>40695</v>
      </c>
      <c r="C635">
        <v>80</v>
      </c>
      <c r="D635">
        <v>79.897445679</v>
      </c>
      <c r="E635">
        <v>40</v>
      </c>
      <c r="F635">
        <v>38.284278870000001</v>
      </c>
      <c r="G635">
        <v>1335.8947754000001</v>
      </c>
      <c r="H635">
        <v>1334.1638184000001</v>
      </c>
      <c r="I635">
        <v>1328.4632568</v>
      </c>
      <c r="J635">
        <v>1327.5281981999999</v>
      </c>
      <c r="K635">
        <v>550</v>
      </c>
      <c r="L635">
        <v>0</v>
      </c>
      <c r="M635">
        <v>0</v>
      </c>
      <c r="N635">
        <v>550</v>
      </c>
    </row>
    <row r="636" spans="1:14" x14ac:dyDescent="0.25">
      <c r="A636">
        <v>396.91326800000002</v>
      </c>
      <c r="B636" s="1">
        <f>DATE(2011,6,1) + TIME(21,55,6)</f>
        <v>40695.913263888891</v>
      </c>
      <c r="C636">
        <v>80</v>
      </c>
      <c r="D636">
        <v>79.897293090999995</v>
      </c>
      <c r="E636">
        <v>40</v>
      </c>
      <c r="F636">
        <v>38.250572204999997</v>
      </c>
      <c r="G636">
        <v>1335.8933105000001</v>
      </c>
      <c r="H636">
        <v>1334.1634521000001</v>
      </c>
      <c r="I636">
        <v>1328.4615478999999</v>
      </c>
      <c r="J636">
        <v>1327.5247803</v>
      </c>
      <c r="K636">
        <v>550</v>
      </c>
      <c r="L636">
        <v>0</v>
      </c>
      <c r="M636">
        <v>0</v>
      </c>
      <c r="N636">
        <v>550</v>
      </c>
    </row>
    <row r="637" spans="1:14" x14ac:dyDescent="0.25">
      <c r="A637">
        <v>397.83000500000003</v>
      </c>
      <c r="B637" s="1">
        <f>DATE(2011,6,2) + TIME(19,55,12)</f>
        <v>40696.83</v>
      </c>
      <c r="C637">
        <v>80</v>
      </c>
      <c r="D637">
        <v>79.897132873999993</v>
      </c>
      <c r="E637">
        <v>40</v>
      </c>
      <c r="F637">
        <v>38.217174530000001</v>
      </c>
      <c r="G637">
        <v>1335.8874512</v>
      </c>
      <c r="H637">
        <v>1334.1622314000001</v>
      </c>
      <c r="I637">
        <v>1328.4572754000001</v>
      </c>
      <c r="J637">
        <v>1327.5169678</v>
      </c>
      <c r="K637">
        <v>550</v>
      </c>
      <c r="L637">
        <v>0</v>
      </c>
      <c r="M637">
        <v>0</v>
      </c>
      <c r="N637">
        <v>550</v>
      </c>
    </row>
    <row r="638" spans="1:14" x14ac:dyDescent="0.25">
      <c r="A638">
        <v>398.75281000000001</v>
      </c>
      <c r="B638" s="1">
        <f>DATE(2011,6,3) + TIME(18,4,2)</f>
        <v>40697.752800925926</v>
      </c>
      <c r="C638">
        <v>80</v>
      </c>
      <c r="D638">
        <v>79.896972656000003</v>
      </c>
      <c r="E638">
        <v>40</v>
      </c>
      <c r="F638">
        <v>38.184078217</v>
      </c>
      <c r="G638">
        <v>1335.8818358999999</v>
      </c>
      <c r="H638">
        <v>1334.1611327999999</v>
      </c>
      <c r="I638">
        <v>1328.453125</v>
      </c>
      <c r="J638">
        <v>1327.5090332</v>
      </c>
      <c r="K638">
        <v>550</v>
      </c>
      <c r="L638">
        <v>0</v>
      </c>
      <c r="M638">
        <v>0</v>
      </c>
      <c r="N638">
        <v>550</v>
      </c>
    </row>
    <row r="639" spans="1:14" x14ac:dyDescent="0.25">
      <c r="A639">
        <v>399.68491299999999</v>
      </c>
      <c r="B639" s="1">
        <f>DATE(2011,6,4) + TIME(16,26,16)</f>
        <v>40698.684907407405</v>
      </c>
      <c r="C639">
        <v>80</v>
      </c>
      <c r="D639">
        <v>79.896812439000001</v>
      </c>
      <c r="E639">
        <v>40</v>
      </c>
      <c r="F639">
        <v>38.151252747000001</v>
      </c>
      <c r="G639">
        <v>1335.8763428</v>
      </c>
      <c r="H639">
        <v>1334.1600341999999</v>
      </c>
      <c r="I639">
        <v>1328.4488524999999</v>
      </c>
      <c r="J639">
        <v>1327.5009766000001</v>
      </c>
      <c r="K639">
        <v>550</v>
      </c>
      <c r="L639">
        <v>0</v>
      </c>
      <c r="M639">
        <v>0</v>
      </c>
      <c r="N639">
        <v>550</v>
      </c>
    </row>
    <row r="640" spans="1:14" x14ac:dyDescent="0.25">
      <c r="A640">
        <v>400.62959000000001</v>
      </c>
      <c r="B640" s="1">
        <f>DATE(2011,6,5) + TIME(15,6,36)</f>
        <v>40699.629583333335</v>
      </c>
      <c r="C640">
        <v>80</v>
      </c>
      <c r="D640">
        <v>79.896652222</v>
      </c>
      <c r="E640">
        <v>40</v>
      </c>
      <c r="F640">
        <v>38.118675232000001</v>
      </c>
      <c r="G640">
        <v>1335.8709716999999</v>
      </c>
      <c r="H640">
        <v>1334.1589355000001</v>
      </c>
      <c r="I640">
        <v>1328.4444579999999</v>
      </c>
      <c r="J640">
        <v>1327.4927978999999</v>
      </c>
      <c r="K640">
        <v>550</v>
      </c>
      <c r="L640">
        <v>0</v>
      </c>
      <c r="M640">
        <v>0</v>
      </c>
      <c r="N640">
        <v>550</v>
      </c>
    </row>
    <row r="641" spans="1:14" x14ac:dyDescent="0.25">
      <c r="A641">
        <v>401.58972699999998</v>
      </c>
      <c r="B641" s="1">
        <f>DATE(2011,6,6) + TIME(14,9,12)</f>
        <v>40700.589722222219</v>
      </c>
      <c r="C641">
        <v>80</v>
      </c>
      <c r="D641">
        <v>79.896492003999995</v>
      </c>
      <c r="E641">
        <v>40</v>
      </c>
      <c r="F641">
        <v>38.086334229000002</v>
      </c>
      <c r="G641">
        <v>1335.8656006000001</v>
      </c>
      <c r="H641">
        <v>1334.1578368999999</v>
      </c>
      <c r="I641">
        <v>1328.4401855000001</v>
      </c>
      <c r="J641">
        <v>1327.4844971</v>
      </c>
      <c r="K641">
        <v>550</v>
      </c>
      <c r="L641">
        <v>0</v>
      </c>
      <c r="M641">
        <v>0</v>
      </c>
      <c r="N641">
        <v>550</v>
      </c>
    </row>
    <row r="642" spans="1:14" x14ac:dyDescent="0.25">
      <c r="A642">
        <v>402.568622</v>
      </c>
      <c r="B642" s="1">
        <f>DATE(2011,6,7) + TIME(13,38,48)</f>
        <v>40701.568611111114</v>
      </c>
      <c r="C642">
        <v>80</v>
      </c>
      <c r="D642">
        <v>79.896339416999993</v>
      </c>
      <c r="E642">
        <v>40</v>
      </c>
      <c r="F642">
        <v>38.054229736000003</v>
      </c>
      <c r="G642">
        <v>1335.8603516000001</v>
      </c>
      <c r="H642">
        <v>1334.1568603999999</v>
      </c>
      <c r="I642">
        <v>1328.4357910000001</v>
      </c>
      <c r="J642">
        <v>1327.4759521000001</v>
      </c>
      <c r="K642">
        <v>550</v>
      </c>
      <c r="L642">
        <v>0</v>
      </c>
      <c r="M642">
        <v>0</v>
      </c>
      <c r="N642">
        <v>550</v>
      </c>
    </row>
    <row r="643" spans="1:14" x14ac:dyDescent="0.25">
      <c r="A643">
        <v>403.569773</v>
      </c>
      <c r="B643" s="1">
        <f>DATE(2011,6,8) + TIME(13,40,28)</f>
        <v>40702.569768518515</v>
      </c>
      <c r="C643">
        <v>80</v>
      </c>
      <c r="D643">
        <v>79.896186829000001</v>
      </c>
      <c r="E643">
        <v>40</v>
      </c>
      <c r="F643">
        <v>38.022357941000003</v>
      </c>
      <c r="G643">
        <v>1335.8552245999999</v>
      </c>
      <c r="H643">
        <v>1334.1558838000001</v>
      </c>
      <c r="I643">
        <v>1328.4312743999999</v>
      </c>
      <c r="J643">
        <v>1327.4672852000001</v>
      </c>
      <c r="K643">
        <v>550</v>
      </c>
      <c r="L643">
        <v>0</v>
      </c>
      <c r="M643">
        <v>0</v>
      </c>
      <c r="N643">
        <v>550</v>
      </c>
    </row>
    <row r="644" spans="1:14" x14ac:dyDescent="0.25">
      <c r="A644">
        <v>404.59702099999998</v>
      </c>
      <c r="B644" s="1">
        <f>DATE(2011,6,9) + TIME(14,19,42)</f>
        <v>40703.597013888888</v>
      </c>
      <c r="C644">
        <v>80</v>
      </c>
      <c r="D644">
        <v>79.896041870000005</v>
      </c>
      <c r="E644">
        <v>40</v>
      </c>
      <c r="F644">
        <v>37.990741730000003</v>
      </c>
      <c r="G644">
        <v>1335.8500977000001</v>
      </c>
      <c r="H644">
        <v>1334.1549072</v>
      </c>
      <c r="I644">
        <v>1328.4267577999999</v>
      </c>
      <c r="J644">
        <v>1327.458374</v>
      </c>
      <c r="K644">
        <v>550</v>
      </c>
      <c r="L644">
        <v>0</v>
      </c>
      <c r="M644">
        <v>0</v>
      </c>
      <c r="N644">
        <v>550</v>
      </c>
    </row>
    <row r="645" spans="1:14" x14ac:dyDescent="0.25">
      <c r="A645">
        <v>405.65524499999998</v>
      </c>
      <c r="B645" s="1">
        <f>DATE(2011,6,10) + TIME(15,43,33)</f>
        <v>40704.655243055553</v>
      </c>
      <c r="C645">
        <v>80</v>
      </c>
      <c r="D645">
        <v>79.895896911999998</v>
      </c>
      <c r="E645">
        <v>40</v>
      </c>
      <c r="F645">
        <v>37.959400176999999</v>
      </c>
      <c r="G645">
        <v>1335.8448486</v>
      </c>
      <c r="H645">
        <v>1334.1538086</v>
      </c>
      <c r="I645">
        <v>1328.4221190999999</v>
      </c>
      <c r="J645">
        <v>1327.4493408000001</v>
      </c>
      <c r="K645">
        <v>550</v>
      </c>
      <c r="L645">
        <v>0</v>
      </c>
      <c r="M645">
        <v>0</v>
      </c>
      <c r="N645">
        <v>550</v>
      </c>
    </row>
    <row r="646" spans="1:14" x14ac:dyDescent="0.25">
      <c r="A646">
        <v>406.75472500000001</v>
      </c>
      <c r="B646" s="1">
        <f>DATE(2011,6,11) + TIME(18,6,48)</f>
        <v>40705.75472222222</v>
      </c>
      <c r="C646">
        <v>80</v>
      </c>
      <c r="D646">
        <v>79.895751953000001</v>
      </c>
      <c r="E646">
        <v>40</v>
      </c>
      <c r="F646">
        <v>37.928268433</v>
      </c>
      <c r="G646">
        <v>1335.8397216999999</v>
      </c>
      <c r="H646">
        <v>1334.152832</v>
      </c>
      <c r="I646">
        <v>1328.4173584</v>
      </c>
      <c r="J646">
        <v>1327.4399414</v>
      </c>
      <c r="K646">
        <v>550</v>
      </c>
      <c r="L646">
        <v>0</v>
      </c>
      <c r="M646">
        <v>0</v>
      </c>
      <c r="N646">
        <v>550</v>
      </c>
    </row>
    <row r="647" spans="1:14" x14ac:dyDescent="0.25">
      <c r="A647">
        <v>407.886146</v>
      </c>
      <c r="B647" s="1">
        <f>DATE(2011,6,12) + TIME(21,16,3)</f>
        <v>40706.886145833334</v>
      </c>
      <c r="C647">
        <v>80</v>
      </c>
      <c r="D647">
        <v>79.895614624000004</v>
      </c>
      <c r="E647">
        <v>40</v>
      </c>
      <c r="F647">
        <v>37.897766113000003</v>
      </c>
      <c r="G647">
        <v>1335.8345947</v>
      </c>
      <c r="H647">
        <v>1334.1518555</v>
      </c>
      <c r="I647">
        <v>1328.4124756000001</v>
      </c>
      <c r="J647">
        <v>1327.4301757999999</v>
      </c>
      <c r="K647">
        <v>550</v>
      </c>
      <c r="L647">
        <v>0</v>
      </c>
      <c r="M647">
        <v>0</v>
      </c>
      <c r="N647">
        <v>550</v>
      </c>
    </row>
    <row r="648" spans="1:14" x14ac:dyDescent="0.25">
      <c r="A648">
        <v>409.054641</v>
      </c>
      <c r="B648" s="1">
        <f>DATE(2011,6,14) + TIME(1,18,40)</f>
        <v>40708.054629629631</v>
      </c>
      <c r="C648">
        <v>80</v>
      </c>
      <c r="D648">
        <v>79.895477295000006</v>
      </c>
      <c r="E648">
        <v>40</v>
      </c>
      <c r="F648">
        <v>37.868026733000001</v>
      </c>
      <c r="G648">
        <v>1335.8293457</v>
      </c>
      <c r="H648">
        <v>1334.1508789</v>
      </c>
      <c r="I648">
        <v>1328.4074707</v>
      </c>
      <c r="J648">
        <v>1327.4202881000001</v>
      </c>
      <c r="K648">
        <v>550</v>
      </c>
      <c r="L648">
        <v>0</v>
      </c>
      <c r="M648">
        <v>0</v>
      </c>
      <c r="N648">
        <v>550</v>
      </c>
    </row>
    <row r="649" spans="1:14" x14ac:dyDescent="0.25">
      <c r="A649">
        <v>410.27204</v>
      </c>
      <c r="B649" s="1">
        <f>DATE(2011,6,15) + TIME(6,31,44)</f>
        <v>40709.272037037037</v>
      </c>
      <c r="C649">
        <v>80</v>
      </c>
      <c r="D649">
        <v>79.895339965999995</v>
      </c>
      <c r="E649">
        <v>40</v>
      </c>
      <c r="F649">
        <v>37.839130402000002</v>
      </c>
      <c r="G649">
        <v>1335.8242187999999</v>
      </c>
      <c r="H649">
        <v>1334.1497803</v>
      </c>
      <c r="I649">
        <v>1328.4024658000001</v>
      </c>
      <c r="J649">
        <v>1327.4099120999999</v>
      </c>
      <c r="K649">
        <v>550</v>
      </c>
      <c r="L649">
        <v>0</v>
      </c>
      <c r="M649">
        <v>0</v>
      </c>
      <c r="N649">
        <v>550</v>
      </c>
    </row>
    <row r="650" spans="1:14" x14ac:dyDescent="0.25">
      <c r="A650">
        <v>411.55558400000001</v>
      </c>
      <c r="B650" s="1">
        <f>DATE(2011,6,16) + TIME(13,20,2)</f>
        <v>40710.555578703701</v>
      </c>
      <c r="C650">
        <v>80</v>
      </c>
      <c r="D650">
        <v>79.895210266000007</v>
      </c>
      <c r="E650">
        <v>40</v>
      </c>
      <c r="F650">
        <v>37.811187744000001</v>
      </c>
      <c r="G650">
        <v>1335.8189697</v>
      </c>
      <c r="H650">
        <v>1334.1486815999999</v>
      </c>
      <c r="I650">
        <v>1328.3972168</v>
      </c>
      <c r="J650">
        <v>1327.3991699000001</v>
      </c>
      <c r="K650">
        <v>550</v>
      </c>
      <c r="L650">
        <v>0</v>
      </c>
      <c r="M650">
        <v>0</v>
      </c>
      <c r="N650">
        <v>550</v>
      </c>
    </row>
    <row r="651" spans="1:14" x14ac:dyDescent="0.25">
      <c r="A651">
        <v>412.88008400000001</v>
      </c>
      <c r="B651" s="1">
        <f>DATE(2011,6,17) + TIME(21,7,19)</f>
        <v>40711.88008101852</v>
      </c>
      <c r="C651">
        <v>80</v>
      </c>
      <c r="D651">
        <v>79.895080566000004</v>
      </c>
      <c r="E651">
        <v>40</v>
      </c>
      <c r="F651">
        <v>37.785125731999997</v>
      </c>
      <c r="G651">
        <v>1335.8135986</v>
      </c>
      <c r="H651">
        <v>1334.1477050999999</v>
      </c>
      <c r="I651">
        <v>1328.3918457</v>
      </c>
      <c r="J651">
        <v>1327.3880615</v>
      </c>
      <c r="K651">
        <v>550</v>
      </c>
      <c r="L651">
        <v>0</v>
      </c>
      <c r="M651">
        <v>0</v>
      </c>
      <c r="N651">
        <v>550</v>
      </c>
    </row>
    <row r="652" spans="1:14" x14ac:dyDescent="0.25">
      <c r="A652">
        <v>414.21138100000002</v>
      </c>
      <c r="B652" s="1">
        <f>DATE(2011,6,19) + TIME(5,4,23)</f>
        <v>40713.211377314816</v>
      </c>
      <c r="C652">
        <v>80</v>
      </c>
      <c r="D652">
        <v>79.894950867000006</v>
      </c>
      <c r="E652">
        <v>40</v>
      </c>
      <c r="F652">
        <v>37.761943817000002</v>
      </c>
      <c r="G652">
        <v>1335.8082274999999</v>
      </c>
      <c r="H652">
        <v>1334.1466064000001</v>
      </c>
      <c r="I652">
        <v>1328.3864745999999</v>
      </c>
      <c r="J652">
        <v>1327.3765868999999</v>
      </c>
      <c r="K652">
        <v>550</v>
      </c>
      <c r="L652">
        <v>0</v>
      </c>
      <c r="M652">
        <v>0</v>
      </c>
      <c r="N652">
        <v>550</v>
      </c>
    </row>
    <row r="653" spans="1:14" x14ac:dyDescent="0.25">
      <c r="A653">
        <v>415.55673300000001</v>
      </c>
      <c r="B653" s="1">
        <f>DATE(2011,6,20) + TIME(13,21,41)</f>
        <v>40714.55672453704</v>
      </c>
      <c r="C653">
        <v>80</v>
      </c>
      <c r="D653">
        <v>79.894828795999999</v>
      </c>
      <c r="E653">
        <v>40</v>
      </c>
      <c r="F653">
        <v>37.742057799999998</v>
      </c>
      <c r="G653">
        <v>1335.8029785000001</v>
      </c>
      <c r="H653">
        <v>1334.1456298999999</v>
      </c>
      <c r="I653">
        <v>1328.3811035000001</v>
      </c>
      <c r="J653">
        <v>1327.3651123</v>
      </c>
      <c r="K653">
        <v>550</v>
      </c>
      <c r="L653">
        <v>0</v>
      </c>
      <c r="M653">
        <v>0</v>
      </c>
      <c r="N653">
        <v>550</v>
      </c>
    </row>
    <row r="654" spans="1:14" x14ac:dyDescent="0.25">
      <c r="A654">
        <v>416.92342200000002</v>
      </c>
      <c r="B654" s="1">
        <f>DATE(2011,6,21) + TIME(22,9,43)</f>
        <v>40715.923414351855</v>
      </c>
      <c r="C654">
        <v>80</v>
      </c>
      <c r="D654">
        <v>79.894714355000005</v>
      </c>
      <c r="E654">
        <v>40</v>
      </c>
      <c r="F654">
        <v>37.726036071999999</v>
      </c>
      <c r="G654">
        <v>1335.7978516000001</v>
      </c>
      <c r="H654">
        <v>1334.1446533000001</v>
      </c>
      <c r="I654">
        <v>1328.3758545000001</v>
      </c>
      <c r="J654">
        <v>1327.3535156</v>
      </c>
      <c r="K654">
        <v>550</v>
      </c>
      <c r="L654">
        <v>0</v>
      </c>
      <c r="M654">
        <v>0</v>
      </c>
      <c r="N654">
        <v>550</v>
      </c>
    </row>
    <row r="655" spans="1:14" x14ac:dyDescent="0.25">
      <c r="A655">
        <v>418.31883800000003</v>
      </c>
      <c r="B655" s="1">
        <f>DATE(2011,6,23) + TIME(7,39,7)</f>
        <v>40717.318831018521</v>
      </c>
      <c r="C655">
        <v>80</v>
      </c>
      <c r="D655">
        <v>79.894607543999996</v>
      </c>
      <c r="E655">
        <v>40</v>
      </c>
      <c r="F655">
        <v>37.714511870999999</v>
      </c>
      <c r="G655">
        <v>1335.7928466999999</v>
      </c>
      <c r="H655">
        <v>1334.1435547000001</v>
      </c>
      <c r="I655">
        <v>1328.3704834</v>
      </c>
      <c r="J655">
        <v>1327.3417969</v>
      </c>
      <c r="K655">
        <v>550</v>
      </c>
      <c r="L655">
        <v>0</v>
      </c>
      <c r="M655">
        <v>0</v>
      </c>
      <c r="N655">
        <v>550</v>
      </c>
    </row>
    <row r="656" spans="1:14" x14ac:dyDescent="0.25">
      <c r="A656">
        <v>419.73837400000002</v>
      </c>
      <c r="B656" s="1">
        <f>DATE(2011,6,24) + TIME(17,43,15)</f>
        <v>40718.738368055558</v>
      </c>
      <c r="C656">
        <v>80</v>
      </c>
      <c r="D656">
        <v>79.894500731999997</v>
      </c>
      <c r="E656">
        <v>40</v>
      </c>
      <c r="F656">
        <v>37.708366394000002</v>
      </c>
      <c r="G656">
        <v>1335.7878418</v>
      </c>
      <c r="H656">
        <v>1334.1425781</v>
      </c>
      <c r="I656">
        <v>1328.3652344</v>
      </c>
      <c r="J656">
        <v>1327.3299560999999</v>
      </c>
      <c r="K656">
        <v>550</v>
      </c>
      <c r="L656">
        <v>0</v>
      </c>
      <c r="M656">
        <v>0</v>
      </c>
      <c r="N656">
        <v>550</v>
      </c>
    </row>
    <row r="657" spans="1:14" x14ac:dyDescent="0.25">
      <c r="A657">
        <v>421.171245</v>
      </c>
      <c r="B657" s="1">
        <f>DATE(2011,6,26) + TIME(4,6,35)</f>
        <v>40720.171238425923</v>
      </c>
      <c r="C657">
        <v>80</v>
      </c>
      <c r="D657">
        <v>79.894401549999998</v>
      </c>
      <c r="E657">
        <v>40</v>
      </c>
      <c r="F657">
        <v>37.708557128999999</v>
      </c>
      <c r="G657">
        <v>1335.7829589999999</v>
      </c>
      <c r="H657">
        <v>1334.1416016000001</v>
      </c>
      <c r="I657">
        <v>1328.3601074000001</v>
      </c>
      <c r="J657">
        <v>1327.3181152</v>
      </c>
      <c r="K657">
        <v>550</v>
      </c>
      <c r="L657">
        <v>0</v>
      </c>
      <c r="M657">
        <v>0</v>
      </c>
      <c r="N657">
        <v>550</v>
      </c>
    </row>
    <row r="658" spans="1:14" x14ac:dyDescent="0.25">
      <c r="A658">
        <v>422.62369000000001</v>
      </c>
      <c r="B658" s="1">
        <f>DATE(2011,6,27) + TIME(14,58,6)</f>
        <v>40721.623680555553</v>
      </c>
      <c r="C658">
        <v>80</v>
      </c>
      <c r="D658">
        <v>79.894309997999997</v>
      </c>
      <c r="E658">
        <v>40</v>
      </c>
      <c r="F658">
        <v>37.716075897000003</v>
      </c>
      <c r="G658">
        <v>1335.7780762</v>
      </c>
      <c r="H658">
        <v>1334.1405029</v>
      </c>
      <c r="I658">
        <v>1328.3549805</v>
      </c>
      <c r="J658">
        <v>1327.3061522999999</v>
      </c>
      <c r="K658">
        <v>550</v>
      </c>
      <c r="L658">
        <v>0</v>
      </c>
      <c r="M658">
        <v>0</v>
      </c>
      <c r="N658">
        <v>550</v>
      </c>
    </row>
    <row r="659" spans="1:14" x14ac:dyDescent="0.25">
      <c r="A659">
        <v>424.10305299999999</v>
      </c>
      <c r="B659" s="1">
        <f>DATE(2011,6,29) + TIME(2,28,23)</f>
        <v>40723.103043981479</v>
      </c>
      <c r="C659">
        <v>80</v>
      </c>
      <c r="D659">
        <v>79.894226074000002</v>
      </c>
      <c r="E659">
        <v>40</v>
      </c>
      <c r="F659">
        <v>37.732162475999999</v>
      </c>
      <c r="G659">
        <v>1335.7733154</v>
      </c>
      <c r="H659">
        <v>1334.1395264</v>
      </c>
      <c r="I659">
        <v>1328.3500977000001</v>
      </c>
      <c r="J659">
        <v>1327.2943115</v>
      </c>
      <c r="K659">
        <v>550</v>
      </c>
      <c r="L659">
        <v>0</v>
      </c>
      <c r="M659">
        <v>0</v>
      </c>
      <c r="N659">
        <v>550</v>
      </c>
    </row>
    <row r="660" spans="1:14" x14ac:dyDescent="0.25">
      <c r="A660">
        <v>425.61563999999998</v>
      </c>
      <c r="B660" s="1">
        <f>DATE(2011,6,30) + TIME(14,46,31)</f>
        <v>40724.615636574075</v>
      </c>
      <c r="C660">
        <v>80</v>
      </c>
      <c r="D660">
        <v>79.894149780000006</v>
      </c>
      <c r="E660">
        <v>40</v>
      </c>
      <c r="F660">
        <v>37.758335113999998</v>
      </c>
      <c r="G660">
        <v>1335.7685547000001</v>
      </c>
      <c r="H660">
        <v>1334.1384277</v>
      </c>
      <c r="I660">
        <v>1328.3452147999999</v>
      </c>
      <c r="J660">
        <v>1327.2823486</v>
      </c>
      <c r="K660">
        <v>550</v>
      </c>
      <c r="L660">
        <v>0</v>
      </c>
      <c r="M660">
        <v>0</v>
      </c>
      <c r="N660">
        <v>550</v>
      </c>
    </row>
    <row r="661" spans="1:14" x14ac:dyDescent="0.25">
      <c r="A661">
        <v>426</v>
      </c>
      <c r="B661" s="1">
        <f>DATE(2011,7,1) + TIME(0,0,0)</f>
        <v>40725</v>
      </c>
      <c r="C661">
        <v>80</v>
      </c>
      <c r="D661">
        <v>79.894081115999995</v>
      </c>
      <c r="E661">
        <v>40</v>
      </c>
      <c r="F661">
        <v>37.770458220999998</v>
      </c>
      <c r="G661">
        <v>1335.7639160000001</v>
      </c>
      <c r="H661">
        <v>1334.1374512</v>
      </c>
      <c r="I661">
        <v>1328.3420410000001</v>
      </c>
      <c r="J661">
        <v>1327.2725829999999</v>
      </c>
      <c r="K661">
        <v>550</v>
      </c>
      <c r="L661">
        <v>0</v>
      </c>
      <c r="M661">
        <v>0</v>
      </c>
      <c r="N661">
        <v>550</v>
      </c>
    </row>
    <row r="662" spans="1:14" x14ac:dyDescent="0.25">
      <c r="A662">
        <v>427.53092099999998</v>
      </c>
      <c r="B662" s="1">
        <f>DATE(2011,7,2) + TIME(12,44,31)</f>
        <v>40726.530914351853</v>
      </c>
      <c r="C662">
        <v>80</v>
      </c>
      <c r="D662">
        <v>79.894035338999998</v>
      </c>
      <c r="E662">
        <v>40</v>
      </c>
      <c r="F662">
        <v>37.810653686999999</v>
      </c>
      <c r="G662">
        <v>1335.7626952999999</v>
      </c>
      <c r="H662">
        <v>1334.1370850000001</v>
      </c>
      <c r="I662">
        <v>1328.3389893000001</v>
      </c>
      <c r="J662">
        <v>1327.2669678</v>
      </c>
      <c r="K662">
        <v>550</v>
      </c>
      <c r="L662">
        <v>0</v>
      </c>
      <c r="M662">
        <v>0</v>
      </c>
      <c r="N662">
        <v>550</v>
      </c>
    </row>
    <row r="663" spans="1:14" x14ac:dyDescent="0.25">
      <c r="A663">
        <v>429.06869999999998</v>
      </c>
      <c r="B663" s="1">
        <f>DATE(2011,7,4) + TIME(1,38,55)</f>
        <v>40728.068692129629</v>
      </c>
      <c r="C663">
        <v>80</v>
      </c>
      <c r="D663">
        <v>79.893981933999996</v>
      </c>
      <c r="E663">
        <v>40</v>
      </c>
      <c r="F663">
        <v>37.864448547000002</v>
      </c>
      <c r="G663">
        <v>1335.7580565999999</v>
      </c>
      <c r="H663">
        <v>1334.1359863</v>
      </c>
      <c r="I663">
        <v>1328.3345947</v>
      </c>
      <c r="J663">
        <v>1327.2553711</v>
      </c>
      <c r="K663">
        <v>550</v>
      </c>
      <c r="L663">
        <v>0</v>
      </c>
      <c r="M663">
        <v>0</v>
      </c>
      <c r="N663">
        <v>550</v>
      </c>
    </row>
    <row r="664" spans="1:14" x14ac:dyDescent="0.25">
      <c r="A664">
        <v>430.623311</v>
      </c>
      <c r="B664" s="1">
        <f>DATE(2011,7,5) + TIME(14,57,34)</f>
        <v>40729.623310185183</v>
      </c>
      <c r="C664">
        <v>80</v>
      </c>
      <c r="D664">
        <v>79.893928528000004</v>
      </c>
      <c r="E664">
        <v>40</v>
      </c>
      <c r="F664">
        <v>37.933677672999998</v>
      </c>
      <c r="G664">
        <v>1335.7535399999999</v>
      </c>
      <c r="H664">
        <v>1334.1348877</v>
      </c>
      <c r="I664">
        <v>1328.3304443</v>
      </c>
      <c r="J664">
        <v>1327.2440185999999</v>
      </c>
      <c r="K664">
        <v>550</v>
      </c>
      <c r="L664">
        <v>0</v>
      </c>
      <c r="M664">
        <v>0</v>
      </c>
      <c r="N664">
        <v>550</v>
      </c>
    </row>
    <row r="665" spans="1:14" x14ac:dyDescent="0.25">
      <c r="A665">
        <v>432.20624800000002</v>
      </c>
      <c r="B665" s="1">
        <f>DATE(2011,7,7) + TIME(4,56,59)</f>
        <v>40731.206238425926</v>
      </c>
      <c r="C665">
        <v>80</v>
      </c>
      <c r="D665">
        <v>79.893882751000007</v>
      </c>
      <c r="E665">
        <v>40</v>
      </c>
      <c r="F665">
        <v>38.020713806000003</v>
      </c>
      <c r="G665">
        <v>1335.7490233999999</v>
      </c>
      <c r="H665">
        <v>1334.1337891000001</v>
      </c>
      <c r="I665">
        <v>1328.3264160000001</v>
      </c>
      <c r="J665">
        <v>1327.2329102000001</v>
      </c>
      <c r="K665">
        <v>550</v>
      </c>
      <c r="L665">
        <v>0</v>
      </c>
      <c r="M665">
        <v>0</v>
      </c>
      <c r="N665">
        <v>550</v>
      </c>
    </row>
    <row r="666" spans="1:14" x14ac:dyDescent="0.25">
      <c r="A666">
        <v>433.82901299999997</v>
      </c>
      <c r="B666" s="1">
        <f>DATE(2011,7,8) + TIME(19,53,46)</f>
        <v>40732.829004629632</v>
      </c>
      <c r="C666">
        <v>80</v>
      </c>
      <c r="D666">
        <v>79.893836974999999</v>
      </c>
      <c r="E666">
        <v>40</v>
      </c>
      <c r="F666">
        <v>38.128532409999998</v>
      </c>
      <c r="G666">
        <v>1335.7446289</v>
      </c>
      <c r="H666">
        <v>1334.1326904</v>
      </c>
      <c r="I666">
        <v>1328.3226318</v>
      </c>
      <c r="J666">
        <v>1327.2219238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435.48071199999998</v>
      </c>
      <c r="B667" s="1">
        <f>DATE(2011,7,10) + TIME(11,32,13)</f>
        <v>40734.480706018519</v>
      </c>
      <c r="C667">
        <v>80</v>
      </c>
      <c r="D667">
        <v>79.893798828000001</v>
      </c>
      <c r="E667">
        <v>40</v>
      </c>
      <c r="F667">
        <v>38.259616852000001</v>
      </c>
      <c r="G667">
        <v>1335.7401123</v>
      </c>
      <c r="H667">
        <v>1334.1314697</v>
      </c>
      <c r="I667">
        <v>1328.3190918</v>
      </c>
      <c r="J667">
        <v>1327.2110596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436.31291800000002</v>
      </c>
      <c r="B668" s="1">
        <f>DATE(2011,7,11) + TIME(7,30,36)</f>
        <v>40735.312916666669</v>
      </c>
      <c r="C668">
        <v>80</v>
      </c>
      <c r="D668">
        <v>79.893737793</v>
      </c>
      <c r="E668">
        <v>40</v>
      </c>
      <c r="F668">
        <v>38.352737427000001</v>
      </c>
      <c r="G668">
        <v>1335.7357178</v>
      </c>
      <c r="H668">
        <v>1334.1303711</v>
      </c>
      <c r="I668">
        <v>1328.3172606999999</v>
      </c>
      <c r="J668">
        <v>1327.2019043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437.14512400000001</v>
      </c>
      <c r="B669" s="1">
        <f>DATE(2011,7,12) + TIME(3,28,58)</f>
        <v>40736.145115740743</v>
      </c>
      <c r="C669">
        <v>80</v>
      </c>
      <c r="D669">
        <v>79.893692017000006</v>
      </c>
      <c r="E669">
        <v>40</v>
      </c>
      <c r="F669">
        <v>38.450920105000002</v>
      </c>
      <c r="G669">
        <v>1335.7335204999999</v>
      </c>
      <c r="H669">
        <v>1334.1297606999999</v>
      </c>
      <c r="I669">
        <v>1328.3153076000001</v>
      </c>
      <c r="J669">
        <v>1327.1961670000001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437.97733099999999</v>
      </c>
      <c r="B670" s="1">
        <f>DATE(2011,7,12) + TIME(23,27,21)</f>
        <v>40736.977326388886</v>
      </c>
      <c r="C670">
        <v>80</v>
      </c>
      <c r="D670">
        <v>79.893661499000004</v>
      </c>
      <c r="E670">
        <v>40</v>
      </c>
      <c r="F670">
        <v>38.554920197000001</v>
      </c>
      <c r="G670">
        <v>1335.7314452999999</v>
      </c>
      <c r="H670">
        <v>1334.1291504000001</v>
      </c>
      <c r="I670">
        <v>1328.3134766000001</v>
      </c>
      <c r="J670">
        <v>1327.1907959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438.80953699999998</v>
      </c>
      <c r="B671" s="1">
        <f>DATE(2011,7,13) + TIME(19,25,43)</f>
        <v>40737.809525462966</v>
      </c>
      <c r="C671">
        <v>80</v>
      </c>
      <c r="D671">
        <v>79.893638611</v>
      </c>
      <c r="E671">
        <v>40</v>
      </c>
      <c r="F671">
        <v>38.665325164999999</v>
      </c>
      <c r="G671">
        <v>1335.7292480000001</v>
      </c>
      <c r="H671">
        <v>1334.1285399999999</v>
      </c>
      <c r="I671">
        <v>1328.3117675999999</v>
      </c>
      <c r="J671">
        <v>1327.1856689000001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439.64174300000002</v>
      </c>
      <c r="B672" s="1">
        <f>DATE(2011,7,14) + TIME(15,24,6)</f>
        <v>40738.641736111109</v>
      </c>
      <c r="C672">
        <v>80</v>
      </c>
      <c r="D672">
        <v>79.893623352000006</v>
      </c>
      <c r="E672">
        <v>40</v>
      </c>
      <c r="F672">
        <v>38.782566070999998</v>
      </c>
      <c r="G672">
        <v>1335.7271728999999</v>
      </c>
      <c r="H672">
        <v>1334.1279297000001</v>
      </c>
      <c r="I672">
        <v>1328.3103027</v>
      </c>
      <c r="J672">
        <v>1327.1807861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440.473949</v>
      </c>
      <c r="B673" s="1">
        <f>DATE(2011,7,15) + TIME(11,22,29)</f>
        <v>40739.473946759259</v>
      </c>
      <c r="C673">
        <v>80</v>
      </c>
      <c r="D673">
        <v>79.893615722999996</v>
      </c>
      <c r="E673">
        <v>40</v>
      </c>
      <c r="F673">
        <v>38.906982421999999</v>
      </c>
      <c r="G673">
        <v>1335.7250977000001</v>
      </c>
      <c r="H673">
        <v>1334.1273193</v>
      </c>
      <c r="I673">
        <v>1328.3088379000001</v>
      </c>
      <c r="J673">
        <v>1327.1761475000001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441.30615499999999</v>
      </c>
      <c r="B674" s="1">
        <f>DATE(2011,7,16) + TIME(7,20,51)</f>
        <v>40740.306145833332</v>
      </c>
      <c r="C674">
        <v>80</v>
      </c>
      <c r="D674">
        <v>79.893600464000002</v>
      </c>
      <c r="E674">
        <v>40</v>
      </c>
      <c r="F674">
        <v>39.038799286</v>
      </c>
      <c r="G674">
        <v>1335.7230225000001</v>
      </c>
      <c r="H674">
        <v>1334.1267089999999</v>
      </c>
      <c r="I674">
        <v>1328.3076172000001</v>
      </c>
      <c r="J674">
        <v>1327.1716309000001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442.97056800000001</v>
      </c>
      <c r="B675" s="1">
        <f>DATE(2011,7,17) + TIME(23,17,37)</f>
        <v>40741.970567129632</v>
      </c>
      <c r="C675">
        <v>80</v>
      </c>
      <c r="D675">
        <v>79.893646239999995</v>
      </c>
      <c r="E675">
        <v>40</v>
      </c>
      <c r="F675">
        <v>39.271446228000002</v>
      </c>
      <c r="G675">
        <v>1335.7209473</v>
      </c>
      <c r="H675">
        <v>1334.1259766000001</v>
      </c>
      <c r="I675">
        <v>1328.3048096</v>
      </c>
      <c r="J675">
        <v>1327.166626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444.64561800000001</v>
      </c>
      <c r="B676" s="1">
        <f>DATE(2011,7,19) + TIME(15,29,41)</f>
        <v>40743.645613425928</v>
      </c>
      <c r="C676">
        <v>80</v>
      </c>
      <c r="D676">
        <v>79.893661499000004</v>
      </c>
      <c r="E676">
        <v>40</v>
      </c>
      <c r="F676">
        <v>39.545711517000001</v>
      </c>
      <c r="G676">
        <v>1335.7169189000001</v>
      </c>
      <c r="H676">
        <v>1334.1248779</v>
      </c>
      <c r="I676">
        <v>1328.3034668</v>
      </c>
      <c r="J676">
        <v>1327.1595459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446.37411200000003</v>
      </c>
      <c r="B677" s="1">
        <f>DATE(2011,7,21) + TIME(8,58,43)</f>
        <v>40745.374108796299</v>
      </c>
      <c r="C677">
        <v>80</v>
      </c>
      <c r="D677">
        <v>79.893669127999999</v>
      </c>
      <c r="E677">
        <v>40</v>
      </c>
      <c r="F677">
        <v>39.862686156999999</v>
      </c>
      <c r="G677">
        <v>1335.7128906</v>
      </c>
      <c r="H677">
        <v>1334.1236572</v>
      </c>
      <c r="I677">
        <v>1328.3022461</v>
      </c>
      <c r="J677">
        <v>1327.1529541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448.16826300000002</v>
      </c>
      <c r="B678" s="1">
        <f>DATE(2011,7,23) + TIME(4,2,17)</f>
        <v>40747.168252314812</v>
      </c>
      <c r="C678">
        <v>80</v>
      </c>
      <c r="D678">
        <v>79.893684386999993</v>
      </c>
      <c r="E678">
        <v>40</v>
      </c>
      <c r="F678">
        <v>40.224792479999998</v>
      </c>
      <c r="G678">
        <v>1335.7088623</v>
      </c>
      <c r="H678">
        <v>1334.1224365</v>
      </c>
      <c r="I678">
        <v>1328.3011475000001</v>
      </c>
      <c r="J678">
        <v>1327.1468506000001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449.08255600000001</v>
      </c>
      <c r="B679" s="1">
        <f>DATE(2011,7,24) + TIME(1,58,52)</f>
        <v>40748.082546296297</v>
      </c>
      <c r="C679">
        <v>80</v>
      </c>
      <c r="D679">
        <v>79.893646239999995</v>
      </c>
      <c r="E679">
        <v>40</v>
      </c>
      <c r="F679">
        <v>40.472766876000001</v>
      </c>
      <c r="G679">
        <v>1335.7048339999999</v>
      </c>
      <c r="H679">
        <v>1334.1212158000001</v>
      </c>
      <c r="I679">
        <v>1328.3028564000001</v>
      </c>
      <c r="J679">
        <v>1327.1420897999999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449.996849</v>
      </c>
      <c r="B680" s="1">
        <f>DATE(2011,7,24) + TIME(23,55,27)</f>
        <v>40748.996840277781</v>
      </c>
      <c r="C680">
        <v>80</v>
      </c>
      <c r="D680">
        <v>79.893630981000001</v>
      </c>
      <c r="E680">
        <v>40</v>
      </c>
      <c r="F680">
        <v>40.727767944</v>
      </c>
      <c r="G680">
        <v>1335.7027588000001</v>
      </c>
      <c r="H680">
        <v>1334.1204834</v>
      </c>
      <c r="I680">
        <v>1328.302124</v>
      </c>
      <c r="J680">
        <v>1327.1394043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450.91114199999998</v>
      </c>
      <c r="B681" s="1">
        <f>DATE(2011,7,25) + TIME(21,52,2)</f>
        <v>40749.911134259259</v>
      </c>
      <c r="C681">
        <v>80</v>
      </c>
      <c r="D681">
        <v>79.893623352000006</v>
      </c>
      <c r="E681">
        <v>40</v>
      </c>
      <c r="F681">
        <v>40.988838196000003</v>
      </c>
      <c r="G681">
        <v>1335.7008057</v>
      </c>
      <c r="H681">
        <v>1334.119751</v>
      </c>
      <c r="I681">
        <v>1328.3015137</v>
      </c>
      <c r="J681">
        <v>1327.1369629000001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451.82543500000003</v>
      </c>
      <c r="B682" s="1">
        <f>DATE(2011,7,26) + TIME(19,48,37)</f>
        <v>40750.825428240743</v>
      </c>
      <c r="C682">
        <v>80</v>
      </c>
      <c r="D682">
        <v>79.893623352000006</v>
      </c>
      <c r="E682">
        <v>40</v>
      </c>
      <c r="F682">
        <v>41.255310059000003</v>
      </c>
      <c r="G682">
        <v>1335.6988524999999</v>
      </c>
      <c r="H682">
        <v>1334.1191406</v>
      </c>
      <c r="I682">
        <v>1328.3010254000001</v>
      </c>
      <c r="J682">
        <v>1327.1347656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452.73972800000001</v>
      </c>
      <c r="B683" s="1">
        <f>DATE(2011,7,27) + TIME(17,45,12)</f>
        <v>40751.739722222221</v>
      </c>
      <c r="C683">
        <v>80</v>
      </c>
      <c r="D683">
        <v>79.893630981000001</v>
      </c>
      <c r="E683">
        <v>40</v>
      </c>
      <c r="F683">
        <v>41.526710510000001</v>
      </c>
      <c r="G683">
        <v>1335.6967772999999</v>
      </c>
      <c r="H683">
        <v>1334.1185303</v>
      </c>
      <c r="I683">
        <v>1328.3007812000001</v>
      </c>
      <c r="J683">
        <v>1327.1329346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453.65402</v>
      </c>
      <c r="B684" s="1">
        <f>DATE(2011,7,28) + TIME(15,41,47)</f>
        <v>40752.654016203705</v>
      </c>
      <c r="C684">
        <v>80</v>
      </c>
      <c r="D684">
        <v>79.893638611</v>
      </c>
      <c r="E684">
        <v>40</v>
      </c>
      <c r="F684">
        <v>41.802692413000003</v>
      </c>
      <c r="G684">
        <v>1335.6949463000001</v>
      </c>
      <c r="H684">
        <v>1334.1177978999999</v>
      </c>
      <c r="I684">
        <v>1328.3005370999999</v>
      </c>
      <c r="J684">
        <v>1327.1313477000001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454.56831299999999</v>
      </c>
      <c r="B685" s="1">
        <f>DATE(2011,7,29) + TIME(13,38,22)</f>
        <v>40753.568310185183</v>
      </c>
      <c r="C685">
        <v>80</v>
      </c>
      <c r="D685">
        <v>79.893653869999994</v>
      </c>
      <c r="E685">
        <v>40</v>
      </c>
      <c r="F685">
        <v>42.082996368000003</v>
      </c>
      <c r="G685">
        <v>1335.6929932</v>
      </c>
      <c r="H685">
        <v>1334.1171875</v>
      </c>
      <c r="I685">
        <v>1328.3005370999999</v>
      </c>
      <c r="J685">
        <v>1327.1300048999999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456.39689900000002</v>
      </c>
      <c r="B686" s="1">
        <f>DATE(2011,7,31) + TIME(9,31,32)</f>
        <v>40755.396898148145</v>
      </c>
      <c r="C686">
        <v>80</v>
      </c>
      <c r="D686">
        <v>79.893730164000004</v>
      </c>
      <c r="E686">
        <v>40</v>
      </c>
      <c r="F686">
        <v>42.544525145999998</v>
      </c>
      <c r="G686">
        <v>1335.6910399999999</v>
      </c>
      <c r="H686">
        <v>1334.1164550999999</v>
      </c>
      <c r="I686">
        <v>1328.2979736</v>
      </c>
      <c r="J686">
        <v>1327.1281738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457</v>
      </c>
      <c r="B687" s="1">
        <f>DATE(2011,8,1) + TIME(0,0,0)</f>
        <v>40756</v>
      </c>
      <c r="C687">
        <v>80</v>
      </c>
      <c r="D687">
        <v>79.893714904999996</v>
      </c>
      <c r="E687">
        <v>40</v>
      </c>
      <c r="F687">
        <v>42.762149811</v>
      </c>
      <c r="G687">
        <v>1335.6873779</v>
      </c>
      <c r="H687">
        <v>1334.1153564000001</v>
      </c>
      <c r="I687">
        <v>1328.3022461</v>
      </c>
      <c r="J687">
        <v>1327.1270752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458.83480800000001</v>
      </c>
      <c r="B688" s="1">
        <f>DATE(2011,8,2) + TIME(20,2,7)</f>
        <v>40757.834803240738</v>
      </c>
      <c r="C688">
        <v>80</v>
      </c>
      <c r="D688">
        <v>79.893775939999998</v>
      </c>
      <c r="E688">
        <v>40</v>
      </c>
      <c r="F688">
        <v>43.248641968000001</v>
      </c>
      <c r="G688">
        <v>1335.6860352000001</v>
      </c>
      <c r="H688">
        <v>1334.1147461</v>
      </c>
      <c r="I688">
        <v>1328.2990723</v>
      </c>
      <c r="J688">
        <v>1327.1259766000001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460.78852499999999</v>
      </c>
      <c r="B689" s="1">
        <f>DATE(2011,8,4) + TIME(18,55,28)</f>
        <v>40759.788518518515</v>
      </c>
      <c r="C689">
        <v>80</v>
      </c>
      <c r="D689">
        <v>79.893836974999999</v>
      </c>
      <c r="E689">
        <v>40</v>
      </c>
      <c r="F689">
        <v>43.798412323000001</v>
      </c>
      <c r="G689">
        <v>1335.6824951000001</v>
      </c>
      <c r="H689">
        <v>1334.1135254000001</v>
      </c>
      <c r="I689">
        <v>1328.3001709</v>
      </c>
      <c r="J689">
        <v>1327.1247559000001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462.82014800000002</v>
      </c>
      <c r="B690" s="1">
        <f>DATE(2011,8,6) + TIME(19,41,0)</f>
        <v>40761.820138888892</v>
      </c>
      <c r="C690">
        <v>80</v>
      </c>
      <c r="D690">
        <v>79.893890381000006</v>
      </c>
      <c r="E690">
        <v>40</v>
      </c>
      <c r="F690">
        <v>44.407260895</v>
      </c>
      <c r="G690">
        <v>1335.6787108999999</v>
      </c>
      <c r="H690">
        <v>1334.1123047000001</v>
      </c>
      <c r="I690">
        <v>1328.3016356999999</v>
      </c>
      <c r="J690">
        <v>1327.1243896000001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464.88549499999999</v>
      </c>
      <c r="B691" s="1">
        <f>DATE(2011,8,8) + TIME(21,15,6)</f>
        <v>40763.88548611111</v>
      </c>
      <c r="C691">
        <v>80</v>
      </c>
      <c r="D691">
        <v>79.893943786999998</v>
      </c>
      <c r="E691">
        <v>40</v>
      </c>
      <c r="F691">
        <v>45.062202454000001</v>
      </c>
      <c r="G691">
        <v>1335.6748047000001</v>
      </c>
      <c r="H691">
        <v>1334.1109618999999</v>
      </c>
      <c r="I691">
        <v>1328.3035889</v>
      </c>
      <c r="J691">
        <v>1327.1247559000001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466.99674599999997</v>
      </c>
      <c r="B692" s="1">
        <f>DATE(2011,8,10) + TIME(23,55,18)</f>
        <v>40765.996736111112</v>
      </c>
      <c r="C692">
        <v>80</v>
      </c>
      <c r="D692">
        <v>79.894004821999999</v>
      </c>
      <c r="E692">
        <v>40</v>
      </c>
      <c r="F692">
        <v>45.754150391000003</v>
      </c>
      <c r="G692">
        <v>1335.6710204999999</v>
      </c>
      <c r="H692">
        <v>1334.1096190999999</v>
      </c>
      <c r="I692">
        <v>1328.3056641000001</v>
      </c>
      <c r="J692">
        <v>1327.1262207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469.18351899999999</v>
      </c>
      <c r="B693" s="1">
        <f>DATE(2011,8,13) + TIME(4,24,16)</f>
        <v>40768.183518518519</v>
      </c>
      <c r="C693">
        <v>80</v>
      </c>
      <c r="D693">
        <v>79.894065857000001</v>
      </c>
      <c r="E693">
        <v>40</v>
      </c>
      <c r="F693">
        <v>46.479171753000003</v>
      </c>
      <c r="G693">
        <v>1335.6672363</v>
      </c>
      <c r="H693">
        <v>1334.1082764</v>
      </c>
      <c r="I693">
        <v>1328.3081055</v>
      </c>
      <c r="J693">
        <v>1327.128418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471.41438199999999</v>
      </c>
      <c r="B694" s="1">
        <f>DATE(2011,8,15) + TIME(9,56,42)</f>
        <v>40770.414375</v>
      </c>
      <c r="C694">
        <v>80</v>
      </c>
      <c r="D694">
        <v>79.894134520999998</v>
      </c>
      <c r="E694">
        <v>40</v>
      </c>
      <c r="F694">
        <v>47.224609375</v>
      </c>
      <c r="G694">
        <v>1335.6634521000001</v>
      </c>
      <c r="H694">
        <v>1334.1069336</v>
      </c>
      <c r="I694">
        <v>1328.3109131000001</v>
      </c>
      <c r="J694">
        <v>1327.1314697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473.68509399999999</v>
      </c>
      <c r="B695" s="1">
        <f>DATE(2011,8,17) + TIME(16,26,32)</f>
        <v>40772.68509259259</v>
      </c>
      <c r="C695">
        <v>80</v>
      </c>
      <c r="D695">
        <v>79.894210814999994</v>
      </c>
      <c r="E695">
        <v>40</v>
      </c>
      <c r="F695">
        <v>47.980327606000003</v>
      </c>
      <c r="G695">
        <v>1335.6597899999999</v>
      </c>
      <c r="H695">
        <v>1334.1055908000001</v>
      </c>
      <c r="I695">
        <v>1328.3142089999999</v>
      </c>
      <c r="J695">
        <v>1327.135376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476.00869699999998</v>
      </c>
      <c r="B696" s="1">
        <f>DATE(2011,8,20) + TIME(0,12,31)</f>
        <v>40775.008692129632</v>
      </c>
      <c r="C696">
        <v>80</v>
      </c>
      <c r="D696">
        <v>79.894294739000003</v>
      </c>
      <c r="E696">
        <v>40</v>
      </c>
      <c r="F696">
        <v>48.740695952999999</v>
      </c>
      <c r="G696">
        <v>1335.6560059000001</v>
      </c>
      <c r="H696">
        <v>1334.1042480000001</v>
      </c>
      <c r="I696">
        <v>1328.317749</v>
      </c>
      <c r="J696">
        <v>1327.1400146000001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478.400824</v>
      </c>
      <c r="B697" s="1">
        <f>DATE(2011,8,22) + TIME(9,37,11)</f>
        <v>40777.400821759256</v>
      </c>
      <c r="C697">
        <v>80</v>
      </c>
      <c r="D697">
        <v>79.894378661999994</v>
      </c>
      <c r="E697">
        <v>40</v>
      </c>
      <c r="F697">
        <v>49.503299712999997</v>
      </c>
      <c r="G697">
        <v>1335.6523437999999</v>
      </c>
      <c r="H697">
        <v>1334.1029053</v>
      </c>
      <c r="I697">
        <v>1328.3216553</v>
      </c>
      <c r="J697">
        <v>1327.1452637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480.88717500000001</v>
      </c>
      <c r="B698" s="1">
        <f>DATE(2011,8,24) + TIME(21,17,31)</f>
        <v>40779.887164351851</v>
      </c>
      <c r="C698">
        <v>80</v>
      </c>
      <c r="D698">
        <v>79.894477843999994</v>
      </c>
      <c r="E698">
        <v>40</v>
      </c>
      <c r="F698">
        <v>50.268390656000001</v>
      </c>
      <c r="G698">
        <v>1335.6488036999999</v>
      </c>
      <c r="H698">
        <v>1334.1016846</v>
      </c>
      <c r="I698">
        <v>1328.3260498</v>
      </c>
      <c r="J698">
        <v>1327.1512451000001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483.41625199999999</v>
      </c>
      <c r="B699" s="1">
        <f>DATE(2011,8,27) + TIME(9,59,24)</f>
        <v>40782.416250000002</v>
      </c>
      <c r="C699">
        <v>80</v>
      </c>
      <c r="D699">
        <v>79.894577025999993</v>
      </c>
      <c r="E699">
        <v>40</v>
      </c>
      <c r="F699">
        <v>51.025562286000003</v>
      </c>
      <c r="G699">
        <v>1335.6451416</v>
      </c>
      <c r="H699">
        <v>1334.1003418</v>
      </c>
      <c r="I699">
        <v>1328.3309326000001</v>
      </c>
      <c r="J699">
        <v>1327.1578368999999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485.96778499999999</v>
      </c>
      <c r="B700" s="1">
        <f>DATE(2011,8,29) + TIME(23,13,36)</f>
        <v>40784.967777777776</v>
      </c>
      <c r="C700">
        <v>80</v>
      </c>
      <c r="D700">
        <v>79.894683838000006</v>
      </c>
      <c r="E700">
        <v>40</v>
      </c>
      <c r="F700">
        <v>51.766307830999999</v>
      </c>
      <c r="G700">
        <v>1335.6414795000001</v>
      </c>
      <c r="H700">
        <v>1334.0991211</v>
      </c>
      <c r="I700">
        <v>1328.3361815999999</v>
      </c>
      <c r="J700">
        <v>1327.1649170000001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488</v>
      </c>
      <c r="B701" s="1">
        <f>DATE(2011,9,1) + TIME(0,0,0)</f>
        <v>40787</v>
      </c>
      <c r="C701">
        <v>80</v>
      </c>
      <c r="D701">
        <v>79.894752502000003</v>
      </c>
      <c r="E701">
        <v>40</v>
      </c>
      <c r="F701">
        <v>52.401287078999999</v>
      </c>
      <c r="G701">
        <v>1335.6380615</v>
      </c>
      <c r="H701">
        <v>1334.0979004000001</v>
      </c>
      <c r="I701">
        <v>1328.3425293</v>
      </c>
      <c r="J701">
        <v>1327.1724853999999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490.59407399999998</v>
      </c>
      <c r="B702" s="1">
        <f>DATE(2011,9,3) + TIME(14,15,27)</f>
        <v>40789.5940625</v>
      </c>
      <c r="C702">
        <v>80</v>
      </c>
      <c r="D702">
        <v>79.894874572999996</v>
      </c>
      <c r="E702">
        <v>40</v>
      </c>
      <c r="F702">
        <v>53.067749022999998</v>
      </c>
      <c r="G702">
        <v>1335.635376</v>
      </c>
      <c r="H702">
        <v>1334.0969238</v>
      </c>
      <c r="I702">
        <v>1328.3461914</v>
      </c>
      <c r="J702">
        <v>1327.1793213000001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493.32644199999999</v>
      </c>
      <c r="B703" s="1">
        <f>DATE(2011,9,6) + TIME(7,50,4)</f>
        <v>40792.326435185183</v>
      </c>
      <c r="C703">
        <v>80</v>
      </c>
      <c r="D703">
        <v>79.895011901999993</v>
      </c>
      <c r="E703">
        <v>40</v>
      </c>
      <c r="F703">
        <v>53.738277435000001</v>
      </c>
      <c r="G703">
        <v>1335.6320800999999</v>
      </c>
      <c r="H703">
        <v>1334.0958252</v>
      </c>
      <c r="I703">
        <v>1328.3519286999999</v>
      </c>
      <c r="J703">
        <v>1327.1867675999999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496.170164</v>
      </c>
      <c r="B704" s="1">
        <f>DATE(2011,9,9) + TIME(4,5,2)</f>
        <v>40795.170162037037</v>
      </c>
      <c r="C704">
        <v>80</v>
      </c>
      <c r="D704">
        <v>79.895149231000005</v>
      </c>
      <c r="E704">
        <v>40</v>
      </c>
      <c r="F704">
        <v>54.405433655000003</v>
      </c>
      <c r="G704">
        <v>1335.6287841999999</v>
      </c>
      <c r="H704">
        <v>1334.0946045000001</v>
      </c>
      <c r="I704">
        <v>1328.3580322</v>
      </c>
      <c r="J704">
        <v>1327.1947021000001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499.03485000000001</v>
      </c>
      <c r="B705" s="1">
        <f>DATE(2011,9,12) + TIME(0,50,11)</f>
        <v>40798.034849537034</v>
      </c>
      <c r="C705">
        <v>80</v>
      </c>
      <c r="D705">
        <v>79.895286560000002</v>
      </c>
      <c r="E705">
        <v>40</v>
      </c>
      <c r="F705">
        <v>55.054519653</v>
      </c>
      <c r="G705">
        <v>1335.6253661999999</v>
      </c>
      <c r="H705">
        <v>1334.0935059000001</v>
      </c>
      <c r="I705">
        <v>1328.3645019999999</v>
      </c>
      <c r="J705">
        <v>1327.203125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501.92930999999999</v>
      </c>
      <c r="B706" s="1">
        <f>DATE(2011,9,14) + TIME(22,18,12)</f>
        <v>40800.929305555554</v>
      </c>
      <c r="C706">
        <v>80</v>
      </c>
      <c r="D706">
        <v>79.895423889</v>
      </c>
      <c r="E706">
        <v>40</v>
      </c>
      <c r="F706">
        <v>55.678737640000001</v>
      </c>
      <c r="G706">
        <v>1335.6221923999999</v>
      </c>
      <c r="H706">
        <v>1334.0924072</v>
      </c>
      <c r="I706">
        <v>1328.3710937999999</v>
      </c>
      <c r="J706">
        <v>1327.2117920000001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504.880199</v>
      </c>
      <c r="B707" s="1">
        <f>DATE(2011,9,17) + TIME(21,7,29)</f>
        <v>40803.880196759259</v>
      </c>
      <c r="C707">
        <v>80</v>
      </c>
      <c r="D707">
        <v>79.895576477000006</v>
      </c>
      <c r="E707">
        <v>40</v>
      </c>
      <c r="F707">
        <v>56.278015136999997</v>
      </c>
      <c r="G707">
        <v>1335.6190185999999</v>
      </c>
      <c r="H707">
        <v>1334.0914307</v>
      </c>
      <c r="I707">
        <v>1328.3778076000001</v>
      </c>
      <c r="J707">
        <v>1327.2204589999999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507.916562</v>
      </c>
      <c r="B708" s="1">
        <f>DATE(2011,9,20) + TIME(21,59,50)</f>
        <v>40806.916550925926</v>
      </c>
      <c r="C708">
        <v>80</v>
      </c>
      <c r="D708">
        <v>79.895729064999998</v>
      </c>
      <c r="E708">
        <v>40</v>
      </c>
      <c r="F708">
        <v>56.854675293</v>
      </c>
      <c r="G708">
        <v>1335.6159668</v>
      </c>
      <c r="H708">
        <v>1334.0904541</v>
      </c>
      <c r="I708">
        <v>1328.3845214999999</v>
      </c>
      <c r="J708">
        <v>1327.229126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511.06969099999998</v>
      </c>
      <c r="B709" s="1">
        <f>DATE(2011,9,24) + TIME(1,40,21)</f>
        <v>40810.069687499999</v>
      </c>
      <c r="C709">
        <v>80</v>
      </c>
      <c r="D709">
        <v>79.895896911999998</v>
      </c>
      <c r="E709">
        <v>40</v>
      </c>
      <c r="F709">
        <v>57.411449431999998</v>
      </c>
      <c r="G709">
        <v>1335.6129149999999</v>
      </c>
      <c r="H709">
        <v>1334.0894774999999</v>
      </c>
      <c r="I709">
        <v>1328.3913574000001</v>
      </c>
      <c r="J709">
        <v>1327.237793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514.31133599999998</v>
      </c>
      <c r="B710" s="1">
        <f>DATE(2011,9,27) + TIME(7,28,19)</f>
        <v>40813.311331018522</v>
      </c>
      <c r="C710">
        <v>80</v>
      </c>
      <c r="D710">
        <v>79.896072387999993</v>
      </c>
      <c r="E710">
        <v>40</v>
      </c>
      <c r="F710">
        <v>57.947776793999999</v>
      </c>
      <c r="G710">
        <v>1335.6099853999999</v>
      </c>
      <c r="H710">
        <v>1334.0886230000001</v>
      </c>
      <c r="I710">
        <v>1328.3983154</v>
      </c>
      <c r="J710">
        <v>1327.2464600000001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517.57323099999996</v>
      </c>
      <c r="B711" s="1">
        <f>DATE(2011,9,30) + TIME(13,45,27)</f>
        <v>40816.573229166665</v>
      </c>
      <c r="C711">
        <v>80</v>
      </c>
      <c r="D711">
        <v>79.896247864000003</v>
      </c>
      <c r="E711">
        <v>40</v>
      </c>
      <c r="F711">
        <v>58.458518982000001</v>
      </c>
      <c r="G711">
        <v>1335.6069336</v>
      </c>
      <c r="H711">
        <v>1334.0877685999999</v>
      </c>
      <c r="I711">
        <v>1328.4053954999999</v>
      </c>
      <c r="J711">
        <v>1327.2551269999999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518</v>
      </c>
      <c r="B712" s="1">
        <f>DATE(2011,10,1) + TIME(0,0,0)</f>
        <v>40817</v>
      </c>
      <c r="C712">
        <v>80</v>
      </c>
      <c r="D712">
        <v>79.896240234000004</v>
      </c>
      <c r="E712">
        <v>40</v>
      </c>
      <c r="F712">
        <v>58.586189269999998</v>
      </c>
      <c r="G712">
        <v>1335.6043701000001</v>
      </c>
      <c r="H712">
        <v>1334.0871582</v>
      </c>
      <c r="I712">
        <v>1328.4158935999999</v>
      </c>
      <c r="J712">
        <v>1327.2641602000001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521.31570599999998</v>
      </c>
      <c r="B713" s="1">
        <f>DATE(2011,10,4) + TIME(7,34,37)</f>
        <v>40820.315706018519</v>
      </c>
      <c r="C713">
        <v>80</v>
      </c>
      <c r="D713">
        <v>79.896446228000002</v>
      </c>
      <c r="E713">
        <v>40</v>
      </c>
      <c r="F713">
        <v>59.0299263</v>
      </c>
      <c r="G713">
        <v>1335.6037598</v>
      </c>
      <c r="H713">
        <v>1334.0867920000001</v>
      </c>
      <c r="I713">
        <v>1328.4136963000001</v>
      </c>
      <c r="J713">
        <v>1327.2661132999999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524.73320000000001</v>
      </c>
      <c r="B714" s="1">
        <f>DATE(2011,10,7) + TIME(17,35,48)</f>
        <v>40823.733194444445</v>
      </c>
      <c r="C714">
        <v>80</v>
      </c>
      <c r="D714">
        <v>79.896644592000001</v>
      </c>
      <c r="E714">
        <v>40</v>
      </c>
      <c r="F714">
        <v>59.472278594999999</v>
      </c>
      <c r="G714">
        <v>1335.6010742000001</v>
      </c>
      <c r="H714">
        <v>1334.0860596</v>
      </c>
      <c r="I714">
        <v>1328.4202881000001</v>
      </c>
      <c r="J714">
        <v>1327.2735596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528.27700500000003</v>
      </c>
      <c r="B715" s="1">
        <f>DATE(2011,10,11) + TIME(6,38,53)</f>
        <v>40827.277002314811</v>
      </c>
      <c r="C715">
        <v>80</v>
      </c>
      <c r="D715">
        <v>79.896842957000004</v>
      </c>
      <c r="E715">
        <v>40</v>
      </c>
      <c r="F715">
        <v>59.904853821000003</v>
      </c>
      <c r="G715">
        <v>1335.5982666</v>
      </c>
      <c r="H715">
        <v>1334.0853271000001</v>
      </c>
      <c r="I715">
        <v>1328.427124</v>
      </c>
      <c r="J715">
        <v>1327.2813721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531.97741299999996</v>
      </c>
      <c r="B716" s="1">
        <f>DATE(2011,10,14) + TIME(23,27,28)</f>
        <v>40830.977407407408</v>
      </c>
      <c r="C716">
        <v>80</v>
      </c>
      <c r="D716">
        <v>79.897056579999997</v>
      </c>
      <c r="E716">
        <v>40</v>
      </c>
      <c r="F716">
        <v>60.325302123999997</v>
      </c>
      <c r="G716">
        <v>1335.5955810999999</v>
      </c>
      <c r="H716">
        <v>1334.0845947</v>
      </c>
      <c r="I716">
        <v>1328.4339600000001</v>
      </c>
      <c r="J716">
        <v>1327.2893065999999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535.71945400000004</v>
      </c>
      <c r="B717" s="1">
        <f>DATE(2011,10,18) + TIME(17,16,0)</f>
        <v>40834.719444444447</v>
      </c>
      <c r="C717">
        <v>80</v>
      </c>
      <c r="D717">
        <v>79.897277832</v>
      </c>
      <c r="E717">
        <v>40</v>
      </c>
      <c r="F717">
        <v>60.728698729999998</v>
      </c>
      <c r="G717">
        <v>1335.5928954999999</v>
      </c>
      <c r="H717">
        <v>1334.0838623</v>
      </c>
      <c r="I717">
        <v>1328.4410399999999</v>
      </c>
      <c r="J717">
        <v>1327.2972411999999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539.50365899999997</v>
      </c>
      <c r="B718" s="1">
        <f>DATE(2011,10,22) + TIME(12,5,16)</f>
        <v>40838.503657407404</v>
      </c>
      <c r="C718">
        <v>80</v>
      </c>
      <c r="D718">
        <v>79.897491454999994</v>
      </c>
      <c r="E718">
        <v>40</v>
      </c>
      <c r="F718">
        <v>61.111312865999999</v>
      </c>
      <c r="G718">
        <v>1335.590332</v>
      </c>
      <c r="H718">
        <v>1334.0832519999999</v>
      </c>
      <c r="I718">
        <v>1328.4481201000001</v>
      </c>
      <c r="J718">
        <v>1327.3051757999999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543.34291499999995</v>
      </c>
      <c r="B719" s="1">
        <f>DATE(2011,10,26) + TIME(8,13,47)</f>
        <v>40842.342905092592</v>
      </c>
      <c r="C719">
        <v>80</v>
      </c>
      <c r="D719">
        <v>79.897720336999996</v>
      </c>
      <c r="E719">
        <v>40</v>
      </c>
      <c r="F719">
        <v>61.473327636999997</v>
      </c>
      <c r="G719">
        <v>1335.5878906</v>
      </c>
      <c r="H719">
        <v>1334.0826416</v>
      </c>
      <c r="I719">
        <v>1328.4549560999999</v>
      </c>
      <c r="J719">
        <v>1327.3128661999999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547.27875100000006</v>
      </c>
      <c r="B720" s="1">
        <f>DATE(2011,10,30) + TIME(6,41,24)</f>
        <v>40846.278749999998</v>
      </c>
      <c r="C720">
        <v>80</v>
      </c>
      <c r="D720">
        <v>79.897949218999997</v>
      </c>
      <c r="E720">
        <v>40</v>
      </c>
      <c r="F720">
        <v>61.817192077999998</v>
      </c>
      <c r="G720">
        <v>1335.5854492000001</v>
      </c>
      <c r="H720">
        <v>1334.0820312000001</v>
      </c>
      <c r="I720">
        <v>1328.4617920000001</v>
      </c>
      <c r="J720">
        <v>1327.3203125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549</v>
      </c>
      <c r="B721" s="1">
        <f>DATE(2011,11,1) + TIME(0,0,0)</f>
        <v>40848</v>
      </c>
      <c r="C721">
        <v>80</v>
      </c>
      <c r="D721">
        <v>79.898010253999999</v>
      </c>
      <c r="E721">
        <v>40</v>
      </c>
      <c r="F721">
        <v>62.038227081000002</v>
      </c>
      <c r="G721">
        <v>1335.5832519999999</v>
      </c>
      <c r="H721">
        <v>1334.0816649999999</v>
      </c>
      <c r="I721">
        <v>1328.4696045000001</v>
      </c>
      <c r="J721">
        <v>1327.3278809000001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549.000001</v>
      </c>
      <c r="B722" s="1">
        <f>DATE(2011,11,1) + TIME(0,0,0)</f>
        <v>40848</v>
      </c>
      <c r="C722">
        <v>80</v>
      </c>
      <c r="D722">
        <v>79.897979735999996</v>
      </c>
      <c r="E722">
        <v>40</v>
      </c>
      <c r="F722">
        <v>62.038253783999998</v>
      </c>
      <c r="G722">
        <v>1333.8713379000001</v>
      </c>
      <c r="H722">
        <v>1333.8746338000001</v>
      </c>
      <c r="I722">
        <v>1329.9510498</v>
      </c>
      <c r="J722">
        <v>1328.7430420000001</v>
      </c>
      <c r="K722">
        <v>0</v>
      </c>
      <c r="L722">
        <v>550</v>
      </c>
      <c r="M722">
        <v>550</v>
      </c>
      <c r="N722">
        <v>0</v>
      </c>
    </row>
    <row r="723" spans="1:14" x14ac:dyDescent="0.25">
      <c r="A723">
        <v>549.00000399999999</v>
      </c>
      <c r="B723" s="1">
        <f>DATE(2011,11,1) + TIME(0,0,0)</f>
        <v>40848</v>
      </c>
      <c r="C723">
        <v>80</v>
      </c>
      <c r="D723">
        <v>79.897926330999994</v>
      </c>
      <c r="E723">
        <v>40</v>
      </c>
      <c r="F723">
        <v>62.038295746000003</v>
      </c>
      <c r="G723">
        <v>1333.5118408000001</v>
      </c>
      <c r="H723">
        <v>1333.5356445</v>
      </c>
      <c r="I723">
        <v>1330.3505858999999</v>
      </c>
      <c r="J723">
        <v>1329.2341309000001</v>
      </c>
      <c r="K723">
        <v>0</v>
      </c>
      <c r="L723">
        <v>550</v>
      </c>
      <c r="M723">
        <v>550</v>
      </c>
      <c r="N723">
        <v>0</v>
      </c>
    </row>
    <row r="724" spans="1:14" x14ac:dyDescent="0.25">
      <c r="A724">
        <v>549.00001299999997</v>
      </c>
      <c r="B724" s="1">
        <f>DATE(2011,11,1) + TIME(0,0,1)</f>
        <v>40848.000011574077</v>
      </c>
      <c r="C724">
        <v>80</v>
      </c>
      <c r="D724">
        <v>79.897865295000003</v>
      </c>
      <c r="E724">
        <v>40</v>
      </c>
      <c r="F724">
        <v>62.038295746000003</v>
      </c>
      <c r="G724">
        <v>1333.0703125</v>
      </c>
      <c r="H724">
        <v>1333.0686035000001</v>
      </c>
      <c r="I724">
        <v>1330.9548339999999</v>
      </c>
      <c r="J724">
        <v>1329.8511963000001</v>
      </c>
      <c r="K724">
        <v>0</v>
      </c>
      <c r="L724">
        <v>550</v>
      </c>
      <c r="M724">
        <v>550</v>
      </c>
      <c r="N724">
        <v>0</v>
      </c>
    </row>
    <row r="725" spans="1:14" x14ac:dyDescent="0.25">
      <c r="A725">
        <v>549.00004000000001</v>
      </c>
      <c r="B725" s="1">
        <f>DATE(2011,11,1) + TIME(0,0,3)</f>
        <v>40848.000034722223</v>
      </c>
      <c r="C725">
        <v>80</v>
      </c>
      <c r="D725">
        <v>79.897796631000006</v>
      </c>
      <c r="E725">
        <v>40</v>
      </c>
      <c r="F725">
        <v>62.038127899000003</v>
      </c>
      <c r="G725">
        <v>1332.5950928</v>
      </c>
      <c r="H725">
        <v>1332.5556641000001</v>
      </c>
      <c r="I725">
        <v>1331.659668</v>
      </c>
      <c r="J725">
        <v>1330.5322266000001</v>
      </c>
      <c r="K725">
        <v>0</v>
      </c>
      <c r="L725">
        <v>550</v>
      </c>
      <c r="M725">
        <v>550</v>
      </c>
      <c r="N725">
        <v>0</v>
      </c>
    </row>
    <row r="726" spans="1:14" x14ac:dyDescent="0.25">
      <c r="A726">
        <v>549.00012100000004</v>
      </c>
      <c r="B726" s="1">
        <f>DATE(2011,11,1) + TIME(0,0,10)</f>
        <v>40848.000115740739</v>
      </c>
      <c r="C726">
        <v>80</v>
      </c>
      <c r="D726">
        <v>79.897720336999996</v>
      </c>
      <c r="E726">
        <v>40</v>
      </c>
      <c r="F726">
        <v>62.037429809999999</v>
      </c>
      <c r="G726">
        <v>1332.1035156</v>
      </c>
      <c r="H726">
        <v>1332.0231934000001</v>
      </c>
      <c r="I726">
        <v>1332.3762207</v>
      </c>
      <c r="J726">
        <v>1331.2211914</v>
      </c>
      <c r="K726">
        <v>0</v>
      </c>
      <c r="L726">
        <v>550</v>
      </c>
      <c r="M726">
        <v>550</v>
      </c>
      <c r="N726">
        <v>0</v>
      </c>
    </row>
    <row r="727" spans="1:14" x14ac:dyDescent="0.25">
      <c r="A727">
        <v>549.00036399999999</v>
      </c>
      <c r="B727" s="1">
        <f>DATE(2011,11,1) + TIME(0,0,31)</f>
        <v>40848.000358796293</v>
      </c>
      <c r="C727">
        <v>80</v>
      </c>
      <c r="D727">
        <v>79.897628784000005</v>
      </c>
      <c r="E727">
        <v>40</v>
      </c>
      <c r="F727">
        <v>62.035068512000002</v>
      </c>
      <c r="G727">
        <v>1331.6296387</v>
      </c>
      <c r="H727">
        <v>1331.5069579999999</v>
      </c>
      <c r="I727">
        <v>1333.0488281</v>
      </c>
      <c r="J727">
        <v>1331.8563231999999</v>
      </c>
      <c r="K727">
        <v>0</v>
      </c>
      <c r="L727">
        <v>550</v>
      </c>
      <c r="M727">
        <v>550</v>
      </c>
      <c r="N727">
        <v>0</v>
      </c>
    </row>
    <row r="728" spans="1:14" x14ac:dyDescent="0.25">
      <c r="A728">
        <v>549.00109299999997</v>
      </c>
      <c r="B728" s="1">
        <f>DATE(2011,11,1) + TIME(0,1,34)</f>
        <v>40848.001087962963</v>
      </c>
      <c r="C728">
        <v>80</v>
      </c>
      <c r="D728">
        <v>79.897506714000002</v>
      </c>
      <c r="E728">
        <v>40</v>
      </c>
      <c r="F728">
        <v>62.027545928999999</v>
      </c>
      <c r="G728">
        <v>1331.2526855000001</v>
      </c>
      <c r="H728">
        <v>1331.0981445</v>
      </c>
      <c r="I728">
        <v>1333.5769043</v>
      </c>
      <c r="J728">
        <v>1332.3424072</v>
      </c>
      <c r="K728">
        <v>0</v>
      </c>
      <c r="L728">
        <v>550</v>
      </c>
      <c r="M728">
        <v>550</v>
      </c>
      <c r="N728">
        <v>0</v>
      </c>
    </row>
    <row r="729" spans="1:14" x14ac:dyDescent="0.25">
      <c r="A729">
        <v>549.00328000000002</v>
      </c>
      <c r="B729" s="1">
        <f>DATE(2011,11,1) + TIME(0,4,43)</f>
        <v>40848.003275462965</v>
      </c>
      <c r="C729">
        <v>80</v>
      </c>
      <c r="D729">
        <v>79.897270203000005</v>
      </c>
      <c r="E729">
        <v>40</v>
      </c>
      <c r="F729">
        <v>62.004322051999999</v>
      </c>
      <c r="G729">
        <v>1331.0186768000001</v>
      </c>
      <c r="H729">
        <v>1330.8500977000001</v>
      </c>
      <c r="I729">
        <v>1333.8924560999999</v>
      </c>
      <c r="J729">
        <v>1332.6291504000001</v>
      </c>
      <c r="K729">
        <v>0</v>
      </c>
      <c r="L729">
        <v>550</v>
      </c>
      <c r="M729">
        <v>550</v>
      </c>
      <c r="N729">
        <v>0</v>
      </c>
    </row>
    <row r="730" spans="1:14" x14ac:dyDescent="0.25">
      <c r="A730">
        <v>549.00984100000005</v>
      </c>
      <c r="B730" s="1">
        <f>DATE(2011,11,1) + TIME(0,14,10)</f>
        <v>40848.009837962964</v>
      </c>
      <c r="C730">
        <v>80</v>
      </c>
      <c r="D730">
        <v>79.896621703999998</v>
      </c>
      <c r="E730">
        <v>40</v>
      </c>
      <c r="F730">
        <v>61.934154509999999</v>
      </c>
      <c r="G730">
        <v>1330.9024658000001</v>
      </c>
      <c r="H730">
        <v>1330.7298584</v>
      </c>
      <c r="I730">
        <v>1334.0279541</v>
      </c>
      <c r="J730">
        <v>1332.7519531</v>
      </c>
      <c r="K730">
        <v>0</v>
      </c>
      <c r="L730">
        <v>550</v>
      </c>
      <c r="M730">
        <v>550</v>
      </c>
      <c r="N730">
        <v>0</v>
      </c>
    </row>
    <row r="731" spans="1:14" x14ac:dyDescent="0.25">
      <c r="A731">
        <v>549.02952400000004</v>
      </c>
      <c r="B731" s="1">
        <f>DATE(2011,11,1) + TIME(0,42,30)</f>
        <v>40848.029513888891</v>
      </c>
      <c r="C731">
        <v>80</v>
      </c>
      <c r="D731">
        <v>79.894714355000005</v>
      </c>
      <c r="E731">
        <v>40</v>
      </c>
      <c r="F731">
        <v>61.725578308000003</v>
      </c>
      <c r="G731">
        <v>1330.8592529</v>
      </c>
      <c r="H731">
        <v>1330.6854248</v>
      </c>
      <c r="I731">
        <v>1334.0596923999999</v>
      </c>
      <c r="J731">
        <v>1332.7794189000001</v>
      </c>
      <c r="K731">
        <v>0</v>
      </c>
      <c r="L731">
        <v>550</v>
      </c>
      <c r="M731">
        <v>550</v>
      </c>
      <c r="N731">
        <v>0</v>
      </c>
    </row>
    <row r="732" spans="1:14" x14ac:dyDescent="0.25">
      <c r="A732">
        <v>549.088573</v>
      </c>
      <c r="B732" s="1">
        <f>DATE(2011,11,1) + TIME(2,7,32)</f>
        <v>40848.088564814818</v>
      </c>
      <c r="C732">
        <v>80</v>
      </c>
      <c r="D732">
        <v>79.889030457000004</v>
      </c>
      <c r="E732">
        <v>40</v>
      </c>
      <c r="F732">
        <v>61.121391295999999</v>
      </c>
      <c r="G732">
        <v>1330.8476562000001</v>
      </c>
      <c r="H732">
        <v>1330.6726074000001</v>
      </c>
      <c r="I732">
        <v>1334.0582274999999</v>
      </c>
      <c r="J732">
        <v>1332.7747803</v>
      </c>
      <c r="K732">
        <v>0</v>
      </c>
      <c r="L732">
        <v>550</v>
      </c>
      <c r="M732">
        <v>550</v>
      </c>
      <c r="N732">
        <v>0</v>
      </c>
    </row>
    <row r="733" spans="1:14" x14ac:dyDescent="0.25">
      <c r="A733">
        <v>549.18005900000003</v>
      </c>
      <c r="B733" s="1">
        <f>DATE(2011,11,1) + TIME(4,19,17)</f>
        <v>40848.18005787037</v>
      </c>
      <c r="C733">
        <v>80</v>
      </c>
      <c r="D733">
        <v>79.880226135000001</v>
      </c>
      <c r="E733">
        <v>40</v>
      </c>
      <c r="F733">
        <v>60.235378265000001</v>
      </c>
      <c r="G733">
        <v>1330.8405762</v>
      </c>
      <c r="H733">
        <v>1330.6625977000001</v>
      </c>
      <c r="I733">
        <v>1334.0496826000001</v>
      </c>
      <c r="J733">
        <v>1332.7640381000001</v>
      </c>
      <c r="K733">
        <v>0</v>
      </c>
      <c r="L733">
        <v>550</v>
      </c>
      <c r="M733">
        <v>550</v>
      </c>
      <c r="N733">
        <v>0</v>
      </c>
    </row>
    <row r="734" spans="1:14" x14ac:dyDescent="0.25">
      <c r="A734">
        <v>549.27576199999999</v>
      </c>
      <c r="B734" s="1">
        <f>DATE(2011,11,1) + TIME(6,37,5)</f>
        <v>40848.275752314818</v>
      </c>
      <c r="C734">
        <v>80</v>
      </c>
      <c r="D734">
        <v>79.870986938000001</v>
      </c>
      <c r="E734">
        <v>40</v>
      </c>
      <c r="F734">
        <v>59.360034943000002</v>
      </c>
      <c r="G734">
        <v>1330.8320312000001</v>
      </c>
      <c r="H734">
        <v>1330.6497803</v>
      </c>
      <c r="I734">
        <v>1334.0379639</v>
      </c>
      <c r="J734">
        <v>1332.7519531</v>
      </c>
      <c r="K734">
        <v>0</v>
      </c>
      <c r="L734">
        <v>550</v>
      </c>
      <c r="M734">
        <v>550</v>
      </c>
      <c r="N734">
        <v>0</v>
      </c>
    </row>
    <row r="735" spans="1:14" x14ac:dyDescent="0.25">
      <c r="A735">
        <v>549.37581</v>
      </c>
      <c r="B735" s="1">
        <f>DATE(2011,11,1) + TIME(9,1,10)</f>
        <v>40848.375810185185</v>
      </c>
      <c r="C735">
        <v>80</v>
      </c>
      <c r="D735">
        <v>79.861297606999997</v>
      </c>
      <c r="E735">
        <v>40</v>
      </c>
      <c r="F735">
        <v>58.497158051</v>
      </c>
      <c r="G735">
        <v>1330.8232422000001</v>
      </c>
      <c r="H735">
        <v>1330.6369629000001</v>
      </c>
      <c r="I735">
        <v>1334.0266113</v>
      </c>
      <c r="J735">
        <v>1332.7401123</v>
      </c>
      <c r="K735">
        <v>0</v>
      </c>
      <c r="L735">
        <v>550</v>
      </c>
      <c r="M735">
        <v>550</v>
      </c>
      <c r="N735">
        <v>0</v>
      </c>
    </row>
    <row r="736" spans="1:14" x14ac:dyDescent="0.25">
      <c r="A736">
        <v>549.48051399999997</v>
      </c>
      <c r="B736" s="1">
        <f>DATE(2011,11,1) + TIME(11,31,56)</f>
        <v>40848.480509259258</v>
      </c>
      <c r="C736">
        <v>80</v>
      </c>
      <c r="D736">
        <v>79.851127625000004</v>
      </c>
      <c r="E736">
        <v>40</v>
      </c>
      <c r="F736">
        <v>57.646957397000001</v>
      </c>
      <c r="G736">
        <v>1330.8144531</v>
      </c>
      <c r="H736">
        <v>1330.6239014</v>
      </c>
      <c r="I736">
        <v>1334.015625</v>
      </c>
      <c r="J736">
        <v>1332.7285156</v>
      </c>
      <c r="K736">
        <v>0</v>
      </c>
      <c r="L736">
        <v>550</v>
      </c>
      <c r="M736">
        <v>550</v>
      </c>
      <c r="N736">
        <v>0</v>
      </c>
    </row>
    <row r="737" spans="1:14" x14ac:dyDescent="0.25">
      <c r="A737">
        <v>549.59021399999995</v>
      </c>
      <c r="B737" s="1">
        <f>DATE(2011,11,1) + TIME(14,9,54)</f>
        <v>40848.590208333335</v>
      </c>
      <c r="C737">
        <v>80</v>
      </c>
      <c r="D737">
        <v>79.840431213000002</v>
      </c>
      <c r="E737">
        <v>40</v>
      </c>
      <c r="F737">
        <v>56.809314727999997</v>
      </c>
      <c r="G737">
        <v>1330.8055420000001</v>
      </c>
      <c r="H737">
        <v>1330.6107178</v>
      </c>
      <c r="I737">
        <v>1334.0050048999999</v>
      </c>
      <c r="J737">
        <v>1332.7171631000001</v>
      </c>
      <c r="K737">
        <v>0</v>
      </c>
      <c r="L737">
        <v>550</v>
      </c>
      <c r="M737">
        <v>550</v>
      </c>
      <c r="N737">
        <v>0</v>
      </c>
    </row>
    <row r="738" spans="1:14" x14ac:dyDescent="0.25">
      <c r="A738">
        <v>549.70529099999999</v>
      </c>
      <c r="B738" s="1">
        <f>DATE(2011,11,1) + TIME(16,55,37)</f>
        <v>40848.705289351848</v>
      </c>
      <c r="C738">
        <v>80</v>
      </c>
      <c r="D738">
        <v>79.829193114999995</v>
      </c>
      <c r="E738">
        <v>40</v>
      </c>
      <c r="F738">
        <v>55.984336853000002</v>
      </c>
      <c r="G738">
        <v>1330.7965088000001</v>
      </c>
      <c r="H738">
        <v>1330.5974120999999</v>
      </c>
      <c r="I738">
        <v>1333.9946289</v>
      </c>
      <c r="J738">
        <v>1332.7061768000001</v>
      </c>
      <c r="K738">
        <v>0</v>
      </c>
      <c r="L738">
        <v>550</v>
      </c>
      <c r="M738">
        <v>550</v>
      </c>
      <c r="N738">
        <v>0</v>
      </c>
    </row>
    <row r="739" spans="1:14" x14ac:dyDescent="0.25">
      <c r="A739">
        <v>549.82610699999998</v>
      </c>
      <c r="B739" s="1">
        <f>DATE(2011,11,1) + TIME(19,49,35)</f>
        <v>40848.826099537036</v>
      </c>
      <c r="C739">
        <v>80</v>
      </c>
      <c r="D739">
        <v>79.817352295000006</v>
      </c>
      <c r="E739">
        <v>40</v>
      </c>
      <c r="F739">
        <v>55.172519684000001</v>
      </c>
      <c r="G739">
        <v>1330.7873535000001</v>
      </c>
      <c r="H739">
        <v>1330.5838623</v>
      </c>
      <c r="I739">
        <v>1333.9846190999999</v>
      </c>
      <c r="J739">
        <v>1332.6953125</v>
      </c>
      <c r="K739">
        <v>0</v>
      </c>
      <c r="L739">
        <v>550</v>
      </c>
      <c r="M739">
        <v>550</v>
      </c>
      <c r="N739">
        <v>0</v>
      </c>
    </row>
    <row r="740" spans="1:14" x14ac:dyDescent="0.25">
      <c r="A740">
        <v>549.95313399999998</v>
      </c>
      <c r="B740" s="1">
        <f>DATE(2011,11,1) + TIME(22,52,30)</f>
        <v>40848.953125</v>
      </c>
      <c r="C740">
        <v>80</v>
      </c>
      <c r="D740">
        <v>79.804885863999999</v>
      </c>
      <c r="E740">
        <v>40</v>
      </c>
      <c r="F740">
        <v>54.373920441000003</v>
      </c>
      <c r="G740">
        <v>1330.7780762</v>
      </c>
      <c r="H740">
        <v>1330.5700684000001</v>
      </c>
      <c r="I740">
        <v>1333.9749756000001</v>
      </c>
      <c r="J740">
        <v>1332.6848144999999</v>
      </c>
      <c r="K740">
        <v>0</v>
      </c>
      <c r="L740">
        <v>550</v>
      </c>
      <c r="M740">
        <v>550</v>
      </c>
      <c r="N740">
        <v>0</v>
      </c>
    </row>
    <row r="741" spans="1:14" x14ac:dyDescent="0.25">
      <c r="A741">
        <v>550.08691299999998</v>
      </c>
      <c r="B741" s="1">
        <f>DATE(2011,11,2) + TIME(2,5,9)</f>
        <v>40849.086909722224</v>
      </c>
      <c r="C741">
        <v>80</v>
      </c>
      <c r="D741">
        <v>79.791725158999995</v>
      </c>
      <c r="E741">
        <v>40</v>
      </c>
      <c r="F741">
        <v>53.588562011999997</v>
      </c>
      <c r="G741">
        <v>1330.7685547000001</v>
      </c>
      <c r="H741">
        <v>1330.5561522999999</v>
      </c>
      <c r="I741">
        <v>1333.9656981999999</v>
      </c>
      <c r="J741">
        <v>1332.6745605000001</v>
      </c>
      <c r="K741">
        <v>0</v>
      </c>
      <c r="L741">
        <v>550</v>
      </c>
      <c r="M741">
        <v>550</v>
      </c>
      <c r="N741">
        <v>0</v>
      </c>
    </row>
    <row r="742" spans="1:14" x14ac:dyDescent="0.25">
      <c r="A742">
        <v>550.22801100000004</v>
      </c>
      <c r="B742" s="1">
        <f>DATE(2011,11,2) + TIME(5,28,20)</f>
        <v>40849.228009259263</v>
      </c>
      <c r="C742">
        <v>80</v>
      </c>
      <c r="D742">
        <v>79.777824401999993</v>
      </c>
      <c r="E742">
        <v>40</v>
      </c>
      <c r="F742">
        <v>52.816719055</v>
      </c>
      <c r="G742">
        <v>1330.7589111</v>
      </c>
      <c r="H742">
        <v>1330.5418701000001</v>
      </c>
      <c r="I742">
        <v>1333.9567870999999</v>
      </c>
      <c r="J742">
        <v>1332.6646728999999</v>
      </c>
      <c r="K742">
        <v>0</v>
      </c>
      <c r="L742">
        <v>550</v>
      </c>
      <c r="M742">
        <v>550</v>
      </c>
      <c r="N742">
        <v>0</v>
      </c>
    </row>
    <row r="743" spans="1:14" x14ac:dyDescent="0.25">
      <c r="A743">
        <v>550.37706100000003</v>
      </c>
      <c r="B743" s="1">
        <f>DATE(2011,11,2) + TIME(9,2,58)</f>
        <v>40849.377060185187</v>
      </c>
      <c r="C743">
        <v>80</v>
      </c>
      <c r="D743">
        <v>79.763114928999997</v>
      </c>
      <c r="E743">
        <v>40</v>
      </c>
      <c r="F743">
        <v>52.058723450000002</v>
      </c>
      <c r="G743">
        <v>1330.7491454999999</v>
      </c>
      <c r="H743">
        <v>1330.5274658000001</v>
      </c>
      <c r="I743">
        <v>1333.9483643000001</v>
      </c>
      <c r="J743">
        <v>1332.6550293</v>
      </c>
      <c r="K743">
        <v>0</v>
      </c>
      <c r="L743">
        <v>550</v>
      </c>
      <c r="M743">
        <v>550</v>
      </c>
      <c r="N743">
        <v>0</v>
      </c>
    </row>
    <row r="744" spans="1:14" x14ac:dyDescent="0.25">
      <c r="A744">
        <v>550.53476899999998</v>
      </c>
      <c r="B744" s="1">
        <f>DATE(2011,11,2) + TIME(12,50,4)</f>
        <v>40849.534768518519</v>
      </c>
      <c r="C744">
        <v>80</v>
      </c>
      <c r="D744">
        <v>79.747535705999994</v>
      </c>
      <c r="E744">
        <v>40</v>
      </c>
      <c r="F744">
        <v>51.314964293999999</v>
      </c>
      <c r="G744">
        <v>1330.7391356999999</v>
      </c>
      <c r="H744">
        <v>1330.5126952999999</v>
      </c>
      <c r="I744">
        <v>1333.9404297000001</v>
      </c>
      <c r="J744">
        <v>1332.6457519999999</v>
      </c>
      <c r="K744">
        <v>0</v>
      </c>
      <c r="L744">
        <v>550</v>
      </c>
      <c r="M744">
        <v>550</v>
      </c>
      <c r="N744">
        <v>0</v>
      </c>
    </row>
    <row r="745" spans="1:14" x14ac:dyDescent="0.25">
      <c r="A745">
        <v>550.70192699999996</v>
      </c>
      <c r="B745" s="1">
        <f>DATE(2011,11,2) + TIME(16,50,46)</f>
        <v>40849.701921296299</v>
      </c>
      <c r="C745">
        <v>80</v>
      </c>
      <c r="D745">
        <v>79.731010436999995</v>
      </c>
      <c r="E745">
        <v>40</v>
      </c>
      <c r="F745">
        <v>50.585903168000002</v>
      </c>
      <c r="G745">
        <v>1330.7288818</v>
      </c>
      <c r="H745">
        <v>1330.4976807</v>
      </c>
      <c r="I745">
        <v>1333.9328613</v>
      </c>
      <c r="J745">
        <v>1332.6368408000001</v>
      </c>
      <c r="K745">
        <v>0</v>
      </c>
      <c r="L745">
        <v>550</v>
      </c>
      <c r="M745">
        <v>550</v>
      </c>
      <c r="N745">
        <v>0</v>
      </c>
    </row>
    <row r="746" spans="1:14" x14ac:dyDescent="0.25">
      <c r="A746">
        <v>550.87942399999997</v>
      </c>
      <c r="B746" s="1">
        <f>DATE(2011,11,2) + TIME(21,6,22)</f>
        <v>40849.879421296297</v>
      </c>
      <c r="C746">
        <v>80</v>
      </c>
      <c r="D746">
        <v>79.713455199999999</v>
      </c>
      <c r="E746">
        <v>40</v>
      </c>
      <c r="F746">
        <v>49.872009276999997</v>
      </c>
      <c r="G746">
        <v>1330.7185059000001</v>
      </c>
      <c r="H746">
        <v>1330.4822998</v>
      </c>
      <c r="I746">
        <v>1333.9259033000001</v>
      </c>
      <c r="J746">
        <v>1332.6282959</v>
      </c>
      <c r="K746">
        <v>0</v>
      </c>
      <c r="L746">
        <v>550</v>
      </c>
      <c r="M746">
        <v>550</v>
      </c>
      <c r="N746">
        <v>0</v>
      </c>
    </row>
    <row r="747" spans="1:14" x14ac:dyDescent="0.25">
      <c r="A747">
        <v>551.068265</v>
      </c>
      <c r="B747" s="1">
        <f>DATE(2011,11,3) + TIME(1,38,18)</f>
        <v>40850.06826388889</v>
      </c>
      <c r="C747">
        <v>80</v>
      </c>
      <c r="D747">
        <v>79.694786071999999</v>
      </c>
      <c r="E747">
        <v>40</v>
      </c>
      <c r="F747">
        <v>49.173667907999999</v>
      </c>
      <c r="G747">
        <v>1330.7077637</v>
      </c>
      <c r="H747">
        <v>1330.4664307</v>
      </c>
      <c r="I747">
        <v>1333.9194336</v>
      </c>
      <c r="J747">
        <v>1332.6199951000001</v>
      </c>
      <c r="K747">
        <v>0</v>
      </c>
      <c r="L747">
        <v>550</v>
      </c>
      <c r="M747">
        <v>550</v>
      </c>
      <c r="N747">
        <v>0</v>
      </c>
    </row>
    <row r="748" spans="1:14" x14ac:dyDescent="0.25">
      <c r="A748">
        <v>551.26958500000001</v>
      </c>
      <c r="B748" s="1">
        <f>DATE(2011,11,3) + TIME(6,28,12)</f>
        <v>40850.269583333335</v>
      </c>
      <c r="C748">
        <v>80</v>
      </c>
      <c r="D748">
        <v>79.674888611</v>
      </c>
      <c r="E748">
        <v>40</v>
      </c>
      <c r="F748">
        <v>48.491847991999997</v>
      </c>
      <c r="G748">
        <v>1330.6967772999999</v>
      </c>
      <c r="H748">
        <v>1330.4503173999999</v>
      </c>
      <c r="I748">
        <v>1333.9134521000001</v>
      </c>
      <c r="J748">
        <v>1332.6121826000001</v>
      </c>
      <c r="K748">
        <v>0</v>
      </c>
      <c r="L748">
        <v>550</v>
      </c>
      <c r="M748">
        <v>550</v>
      </c>
      <c r="N748">
        <v>0</v>
      </c>
    </row>
    <row r="749" spans="1:14" x14ac:dyDescent="0.25">
      <c r="A749">
        <v>551.48466800000006</v>
      </c>
      <c r="B749" s="1">
        <f>DATE(2011,11,3) + TIME(11,37,55)</f>
        <v>40850.484664351854</v>
      </c>
      <c r="C749">
        <v>80</v>
      </c>
      <c r="D749">
        <v>79.653663635000001</v>
      </c>
      <c r="E749">
        <v>40</v>
      </c>
      <c r="F749">
        <v>47.827358246000003</v>
      </c>
      <c r="G749">
        <v>1330.6854248</v>
      </c>
      <c r="H749">
        <v>1330.4337158000001</v>
      </c>
      <c r="I749">
        <v>1333.9079589999999</v>
      </c>
      <c r="J749">
        <v>1332.6047363</v>
      </c>
      <c r="K749">
        <v>0</v>
      </c>
      <c r="L749">
        <v>550</v>
      </c>
      <c r="M749">
        <v>550</v>
      </c>
      <c r="N749">
        <v>0</v>
      </c>
    </row>
    <row r="750" spans="1:14" x14ac:dyDescent="0.25">
      <c r="A750">
        <v>551.71487100000002</v>
      </c>
      <c r="B750" s="1">
        <f>DATE(2011,11,3) + TIME(17,9,24)</f>
        <v>40850.714861111112</v>
      </c>
      <c r="C750">
        <v>80</v>
      </c>
      <c r="D750">
        <v>79.630973815999994</v>
      </c>
      <c r="E750">
        <v>40</v>
      </c>
      <c r="F750">
        <v>47.181365966999998</v>
      </c>
      <c r="G750">
        <v>1330.6738281</v>
      </c>
      <c r="H750">
        <v>1330.416626</v>
      </c>
      <c r="I750">
        <v>1333.9031981999999</v>
      </c>
      <c r="J750">
        <v>1332.5977783000001</v>
      </c>
      <c r="K750">
        <v>0</v>
      </c>
      <c r="L750">
        <v>550</v>
      </c>
      <c r="M750">
        <v>550</v>
      </c>
      <c r="N750">
        <v>0</v>
      </c>
    </row>
    <row r="751" spans="1:14" x14ac:dyDescent="0.25">
      <c r="A751">
        <v>551.96195</v>
      </c>
      <c r="B751" s="1">
        <f>DATE(2011,11,3) + TIME(23,5,12)</f>
        <v>40850.961944444447</v>
      </c>
      <c r="C751">
        <v>80</v>
      </c>
      <c r="D751">
        <v>79.606681824000006</v>
      </c>
      <c r="E751">
        <v>40</v>
      </c>
      <c r="F751">
        <v>46.554618834999999</v>
      </c>
      <c r="G751">
        <v>1330.6618652</v>
      </c>
      <c r="H751">
        <v>1330.3990478999999</v>
      </c>
      <c r="I751">
        <v>1333.8989257999999</v>
      </c>
      <c r="J751">
        <v>1332.5911865</v>
      </c>
      <c r="K751">
        <v>0</v>
      </c>
      <c r="L751">
        <v>550</v>
      </c>
      <c r="M751">
        <v>550</v>
      </c>
      <c r="N751">
        <v>0</v>
      </c>
    </row>
    <row r="752" spans="1:14" x14ac:dyDescent="0.25">
      <c r="A752">
        <v>552.22781999999995</v>
      </c>
      <c r="B752" s="1">
        <f>DATE(2011,11,4) + TIME(5,28,3)</f>
        <v>40851.227812500001</v>
      </c>
      <c r="C752">
        <v>80</v>
      </c>
      <c r="D752">
        <v>79.580627441000004</v>
      </c>
      <c r="E752">
        <v>40</v>
      </c>
      <c r="F752">
        <v>45.948234558000003</v>
      </c>
      <c r="G752">
        <v>1330.6494141000001</v>
      </c>
      <c r="H752">
        <v>1330.3808594</v>
      </c>
      <c r="I752">
        <v>1333.8952637</v>
      </c>
      <c r="J752">
        <v>1332.5850829999999</v>
      </c>
      <c r="K752">
        <v>0</v>
      </c>
      <c r="L752">
        <v>550</v>
      </c>
      <c r="M752">
        <v>550</v>
      </c>
      <c r="N752">
        <v>0</v>
      </c>
    </row>
    <row r="753" spans="1:14" x14ac:dyDescent="0.25">
      <c r="A753">
        <v>552.51467700000001</v>
      </c>
      <c r="B753" s="1">
        <f>DATE(2011,11,4) + TIME(12,21,8)</f>
        <v>40851.514675925922</v>
      </c>
      <c r="C753">
        <v>80</v>
      </c>
      <c r="D753">
        <v>79.552619934000006</v>
      </c>
      <c r="E753">
        <v>40</v>
      </c>
      <c r="F753">
        <v>45.363479613999999</v>
      </c>
      <c r="G753">
        <v>1330.6365966999999</v>
      </c>
      <c r="H753">
        <v>1330.3619385</v>
      </c>
      <c r="I753">
        <v>1333.8923339999999</v>
      </c>
      <c r="J753">
        <v>1332.5794678</v>
      </c>
      <c r="K753">
        <v>0</v>
      </c>
      <c r="L753">
        <v>550</v>
      </c>
      <c r="M753">
        <v>550</v>
      </c>
      <c r="N753">
        <v>0</v>
      </c>
    </row>
    <row r="754" spans="1:14" x14ac:dyDescent="0.25">
      <c r="A754">
        <v>552.82505500000002</v>
      </c>
      <c r="B754" s="1">
        <f>DATE(2011,11,4) + TIME(19,48,4)</f>
        <v>40851.825046296297</v>
      </c>
      <c r="C754">
        <v>80</v>
      </c>
      <c r="D754">
        <v>79.522460937999995</v>
      </c>
      <c r="E754">
        <v>40</v>
      </c>
      <c r="F754">
        <v>44.801734924000002</v>
      </c>
      <c r="G754">
        <v>1330.6231689000001</v>
      </c>
      <c r="H754">
        <v>1330.3424072</v>
      </c>
      <c r="I754">
        <v>1333.8900146000001</v>
      </c>
      <c r="J754">
        <v>1332.5742187999999</v>
      </c>
      <c r="K754">
        <v>0</v>
      </c>
      <c r="L754">
        <v>550</v>
      </c>
      <c r="M754">
        <v>550</v>
      </c>
      <c r="N754">
        <v>0</v>
      </c>
    </row>
    <row r="755" spans="1:14" x14ac:dyDescent="0.25">
      <c r="A755">
        <v>553.16188499999998</v>
      </c>
      <c r="B755" s="1">
        <f>DATE(2011,11,5) + TIME(3,53,6)</f>
        <v>40852.161874999998</v>
      </c>
      <c r="C755">
        <v>80</v>
      </c>
      <c r="D755">
        <v>79.489913939999994</v>
      </c>
      <c r="E755">
        <v>40</v>
      </c>
      <c r="F755">
        <v>44.264507293999998</v>
      </c>
      <c r="G755">
        <v>1330.6091309000001</v>
      </c>
      <c r="H755">
        <v>1330.3220214999999</v>
      </c>
      <c r="I755">
        <v>1333.8884277</v>
      </c>
      <c r="J755">
        <v>1332.5695800999999</v>
      </c>
      <c r="K755">
        <v>0</v>
      </c>
      <c r="L755">
        <v>550</v>
      </c>
      <c r="M755">
        <v>550</v>
      </c>
      <c r="N755">
        <v>0</v>
      </c>
    </row>
    <row r="756" spans="1:14" x14ac:dyDescent="0.25">
      <c r="A756">
        <v>553.52856999999995</v>
      </c>
      <c r="B756" s="1">
        <f>DATE(2011,11,5) + TIME(12,41,8)</f>
        <v>40852.528564814813</v>
      </c>
      <c r="C756">
        <v>80</v>
      </c>
      <c r="D756">
        <v>79.454719542999996</v>
      </c>
      <c r="E756">
        <v>40</v>
      </c>
      <c r="F756">
        <v>43.753421783</v>
      </c>
      <c r="G756">
        <v>1330.5946045000001</v>
      </c>
      <c r="H756">
        <v>1330.3006591999999</v>
      </c>
      <c r="I756">
        <v>1333.8873291</v>
      </c>
      <c r="J756">
        <v>1332.5653076000001</v>
      </c>
      <c r="K756">
        <v>0</v>
      </c>
      <c r="L756">
        <v>550</v>
      </c>
      <c r="M756">
        <v>550</v>
      </c>
      <c r="N756">
        <v>0</v>
      </c>
    </row>
    <row r="757" spans="1:14" x14ac:dyDescent="0.25">
      <c r="A757">
        <v>553.92907300000002</v>
      </c>
      <c r="B757" s="1">
        <f>DATE(2011,11,5) + TIME(22,17,51)</f>
        <v>40852.929062499999</v>
      </c>
      <c r="C757">
        <v>80</v>
      </c>
      <c r="D757">
        <v>79.416587829999997</v>
      </c>
      <c r="E757">
        <v>40</v>
      </c>
      <c r="F757">
        <v>43.270195006999998</v>
      </c>
      <c r="G757">
        <v>1330.5792236</v>
      </c>
      <c r="H757">
        <v>1330.2784423999999</v>
      </c>
      <c r="I757">
        <v>1333.8870850000001</v>
      </c>
      <c r="J757">
        <v>1332.5616454999999</v>
      </c>
      <c r="K757">
        <v>0</v>
      </c>
      <c r="L757">
        <v>550</v>
      </c>
      <c r="M757">
        <v>550</v>
      </c>
      <c r="N757">
        <v>0</v>
      </c>
    </row>
    <row r="758" spans="1:14" x14ac:dyDescent="0.25">
      <c r="A758">
        <v>554.36802299999999</v>
      </c>
      <c r="B758" s="1">
        <f>DATE(2011,11,6) + TIME(8,49,57)</f>
        <v>40853.368020833332</v>
      </c>
      <c r="C758">
        <v>80</v>
      </c>
      <c r="D758">
        <v>79.375183105000005</v>
      </c>
      <c r="E758">
        <v>40</v>
      </c>
      <c r="F758">
        <v>42.816616058000001</v>
      </c>
      <c r="G758">
        <v>1330.5631103999999</v>
      </c>
      <c r="H758">
        <v>1330.2550048999999</v>
      </c>
      <c r="I758">
        <v>1333.8873291</v>
      </c>
      <c r="J758">
        <v>1332.5583495999999</v>
      </c>
      <c r="K758">
        <v>0</v>
      </c>
      <c r="L758">
        <v>550</v>
      </c>
      <c r="M758">
        <v>550</v>
      </c>
      <c r="N758">
        <v>0</v>
      </c>
    </row>
    <row r="759" spans="1:14" x14ac:dyDescent="0.25">
      <c r="A759">
        <v>554.85083899999995</v>
      </c>
      <c r="B759" s="1">
        <f>DATE(2011,11,6) + TIME(20,25,12)</f>
        <v>40853.85083333333</v>
      </c>
      <c r="C759">
        <v>80</v>
      </c>
      <c r="D759">
        <v>79.330116271999998</v>
      </c>
      <c r="E759">
        <v>40</v>
      </c>
      <c r="F759">
        <v>42.394485474</v>
      </c>
      <c r="G759">
        <v>1330.5460204999999</v>
      </c>
      <c r="H759">
        <v>1330.2302245999999</v>
      </c>
      <c r="I759">
        <v>1333.8883057</v>
      </c>
      <c r="J759">
        <v>1332.5556641000001</v>
      </c>
      <c r="K759">
        <v>0</v>
      </c>
      <c r="L759">
        <v>550</v>
      </c>
      <c r="M759">
        <v>550</v>
      </c>
      <c r="N759">
        <v>0</v>
      </c>
    </row>
    <row r="760" spans="1:14" x14ac:dyDescent="0.25">
      <c r="A760">
        <v>555.38391000000001</v>
      </c>
      <c r="B760" s="1">
        <f>DATE(2011,11,7) + TIME(9,12,49)</f>
        <v>40854.383900462963</v>
      </c>
      <c r="C760">
        <v>80</v>
      </c>
      <c r="D760">
        <v>79.280952454000001</v>
      </c>
      <c r="E760">
        <v>40</v>
      </c>
      <c r="F760">
        <v>42.005535125999998</v>
      </c>
      <c r="G760">
        <v>1330.5279541</v>
      </c>
      <c r="H760">
        <v>1330.2041016000001</v>
      </c>
      <c r="I760">
        <v>1333.8897704999999</v>
      </c>
      <c r="J760">
        <v>1332.5534668</v>
      </c>
      <c r="K760">
        <v>0</v>
      </c>
      <c r="L760">
        <v>550</v>
      </c>
      <c r="M760">
        <v>550</v>
      </c>
      <c r="N760">
        <v>0</v>
      </c>
    </row>
    <row r="761" spans="1:14" x14ac:dyDescent="0.25">
      <c r="A761">
        <v>555.94903899999997</v>
      </c>
      <c r="B761" s="1">
        <f>DATE(2011,11,7) + TIME(22,46,37)</f>
        <v>40854.94903935185</v>
      </c>
      <c r="C761">
        <v>80</v>
      </c>
      <c r="D761">
        <v>79.229362488000007</v>
      </c>
      <c r="E761">
        <v>40</v>
      </c>
      <c r="F761">
        <v>41.664104461999997</v>
      </c>
      <c r="G761">
        <v>1330.5087891000001</v>
      </c>
      <c r="H761">
        <v>1330.1765137</v>
      </c>
      <c r="I761">
        <v>1333.8919678</v>
      </c>
      <c r="J761">
        <v>1332.5518798999999</v>
      </c>
      <c r="K761">
        <v>0</v>
      </c>
      <c r="L761">
        <v>550</v>
      </c>
      <c r="M761">
        <v>550</v>
      </c>
      <c r="N761">
        <v>0</v>
      </c>
    </row>
    <row r="762" spans="1:14" x14ac:dyDescent="0.25">
      <c r="A762">
        <v>556.53085099999998</v>
      </c>
      <c r="B762" s="1">
        <f>DATE(2011,11,8) + TIME(12,44,25)</f>
        <v>40855.530844907407</v>
      </c>
      <c r="C762">
        <v>80</v>
      </c>
      <c r="D762">
        <v>79.176666260000005</v>
      </c>
      <c r="E762">
        <v>40</v>
      </c>
      <c r="F762">
        <v>41.373992919999999</v>
      </c>
      <c r="G762">
        <v>1330.4891356999999</v>
      </c>
      <c r="H762">
        <v>1330.1483154</v>
      </c>
      <c r="I762">
        <v>1333.8947754000001</v>
      </c>
      <c r="J762">
        <v>1332.5507812000001</v>
      </c>
      <c r="K762">
        <v>0</v>
      </c>
      <c r="L762">
        <v>550</v>
      </c>
      <c r="M762">
        <v>550</v>
      </c>
      <c r="N762">
        <v>0</v>
      </c>
    </row>
    <row r="763" spans="1:14" x14ac:dyDescent="0.25">
      <c r="A763">
        <v>557.13165500000002</v>
      </c>
      <c r="B763" s="1">
        <f>DATE(2011,11,9) + TIME(3,9,35)</f>
        <v>40856.131655092591</v>
      </c>
      <c r="C763">
        <v>80</v>
      </c>
      <c r="D763">
        <v>79.122703552000004</v>
      </c>
      <c r="E763">
        <v>40</v>
      </c>
      <c r="F763">
        <v>41.127750397</v>
      </c>
      <c r="G763">
        <v>1330.4693603999999</v>
      </c>
      <c r="H763">
        <v>1330.1201172000001</v>
      </c>
      <c r="I763">
        <v>1333.8975829999999</v>
      </c>
      <c r="J763">
        <v>1332.5501709</v>
      </c>
      <c r="K763">
        <v>0</v>
      </c>
      <c r="L763">
        <v>550</v>
      </c>
      <c r="M763">
        <v>550</v>
      </c>
      <c r="N763">
        <v>0</v>
      </c>
    </row>
    <row r="764" spans="1:14" x14ac:dyDescent="0.25">
      <c r="A764">
        <v>557.75311599999998</v>
      </c>
      <c r="B764" s="1">
        <f>DATE(2011,11,9) + TIME(18,4,29)</f>
        <v>40856.753113425926</v>
      </c>
      <c r="C764">
        <v>80</v>
      </c>
      <c r="D764">
        <v>79.067375182999996</v>
      </c>
      <c r="E764">
        <v>40</v>
      </c>
      <c r="F764">
        <v>40.919376372999999</v>
      </c>
      <c r="G764">
        <v>1330.4494629000001</v>
      </c>
      <c r="H764">
        <v>1330.0915527</v>
      </c>
      <c r="I764">
        <v>1333.9003906</v>
      </c>
      <c r="J764">
        <v>1332.5495605000001</v>
      </c>
      <c r="K764">
        <v>0</v>
      </c>
      <c r="L764">
        <v>550</v>
      </c>
      <c r="M764">
        <v>550</v>
      </c>
      <c r="N764">
        <v>0</v>
      </c>
    </row>
    <row r="765" spans="1:14" x14ac:dyDescent="0.25">
      <c r="A765">
        <v>558.39702799999998</v>
      </c>
      <c r="B765" s="1">
        <f>DATE(2011,11,10) + TIME(9,31,43)</f>
        <v>40857.39702546296</v>
      </c>
      <c r="C765">
        <v>80</v>
      </c>
      <c r="D765">
        <v>79.010551453000005</v>
      </c>
      <c r="E765">
        <v>40</v>
      </c>
      <c r="F765">
        <v>40.743663787999999</v>
      </c>
      <c r="G765">
        <v>1330.4293213000001</v>
      </c>
      <c r="H765">
        <v>1330.0628661999999</v>
      </c>
      <c r="I765">
        <v>1333.9030762</v>
      </c>
      <c r="J765">
        <v>1332.5491943</v>
      </c>
      <c r="K765">
        <v>0</v>
      </c>
      <c r="L765">
        <v>550</v>
      </c>
      <c r="M765">
        <v>550</v>
      </c>
      <c r="N765">
        <v>0</v>
      </c>
    </row>
    <row r="766" spans="1:14" x14ac:dyDescent="0.25">
      <c r="A766">
        <v>559.06532100000004</v>
      </c>
      <c r="B766" s="1">
        <f>DATE(2011,11,11) + TIME(1,34,3)</f>
        <v>40858.065312500003</v>
      </c>
      <c r="C766">
        <v>80</v>
      </c>
      <c r="D766">
        <v>78.952110290999997</v>
      </c>
      <c r="E766">
        <v>40</v>
      </c>
      <c r="F766">
        <v>40.596099854000002</v>
      </c>
      <c r="G766">
        <v>1330.4089355000001</v>
      </c>
      <c r="H766">
        <v>1330.0339355000001</v>
      </c>
      <c r="I766">
        <v>1333.9057617000001</v>
      </c>
      <c r="J766">
        <v>1332.5489502</v>
      </c>
      <c r="K766">
        <v>0</v>
      </c>
      <c r="L766">
        <v>550</v>
      </c>
      <c r="M766">
        <v>550</v>
      </c>
      <c r="N766">
        <v>0</v>
      </c>
    </row>
    <row r="767" spans="1:14" x14ac:dyDescent="0.25">
      <c r="A767">
        <v>559.76008000000002</v>
      </c>
      <c r="B767" s="1">
        <f>DATE(2011,11,11) + TIME(18,14,30)</f>
        <v>40858.760069444441</v>
      </c>
      <c r="C767">
        <v>80</v>
      </c>
      <c r="D767">
        <v>78.891906738000003</v>
      </c>
      <c r="E767">
        <v>40</v>
      </c>
      <c r="F767">
        <v>40.472732544000003</v>
      </c>
      <c r="G767">
        <v>1330.3881836</v>
      </c>
      <c r="H767">
        <v>1330.0045166</v>
      </c>
      <c r="I767">
        <v>1333.9082031</v>
      </c>
      <c r="J767">
        <v>1332.5487060999999</v>
      </c>
      <c r="K767">
        <v>0</v>
      </c>
      <c r="L767">
        <v>550</v>
      </c>
      <c r="M767">
        <v>550</v>
      </c>
      <c r="N767">
        <v>0</v>
      </c>
    </row>
    <row r="768" spans="1:14" x14ac:dyDescent="0.25">
      <c r="A768">
        <v>560.48357999999996</v>
      </c>
      <c r="B768" s="1">
        <f>DATE(2011,11,12) + TIME(11,36,21)</f>
        <v>40859.483576388891</v>
      </c>
      <c r="C768">
        <v>80</v>
      </c>
      <c r="D768">
        <v>78.829772949000002</v>
      </c>
      <c r="E768">
        <v>40</v>
      </c>
      <c r="F768">
        <v>40.370113373000002</v>
      </c>
      <c r="G768">
        <v>1330.3671875</v>
      </c>
      <c r="H768">
        <v>1329.9746094</v>
      </c>
      <c r="I768">
        <v>1333.9104004000001</v>
      </c>
      <c r="J768">
        <v>1332.5484618999999</v>
      </c>
      <c r="K768">
        <v>0</v>
      </c>
      <c r="L768">
        <v>550</v>
      </c>
      <c r="M768">
        <v>550</v>
      </c>
      <c r="N768">
        <v>0</v>
      </c>
    </row>
    <row r="769" spans="1:14" x14ac:dyDescent="0.25">
      <c r="A769">
        <v>561.23830699999996</v>
      </c>
      <c r="B769" s="1">
        <f>DATE(2011,11,13) + TIME(5,43,9)</f>
        <v>40860.238298611112</v>
      </c>
      <c r="C769">
        <v>80</v>
      </c>
      <c r="D769">
        <v>78.765525818</v>
      </c>
      <c r="E769">
        <v>40</v>
      </c>
      <c r="F769">
        <v>40.285213470000002</v>
      </c>
      <c r="G769">
        <v>1330.3457031</v>
      </c>
      <c r="H769">
        <v>1329.9443358999999</v>
      </c>
      <c r="I769">
        <v>1333.9124756000001</v>
      </c>
      <c r="J769">
        <v>1332.5480957</v>
      </c>
      <c r="K769">
        <v>0</v>
      </c>
      <c r="L769">
        <v>550</v>
      </c>
      <c r="M769">
        <v>550</v>
      </c>
      <c r="N769">
        <v>0</v>
      </c>
    </row>
    <row r="770" spans="1:14" x14ac:dyDescent="0.25">
      <c r="A770">
        <v>562.02699900000005</v>
      </c>
      <c r="B770" s="1">
        <f>DATE(2011,11,14) + TIME(0,38,52)</f>
        <v>40861.026990740742</v>
      </c>
      <c r="C770">
        <v>80</v>
      </c>
      <c r="D770">
        <v>78.698974609000004</v>
      </c>
      <c r="E770">
        <v>40</v>
      </c>
      <c r="F770">
        <v>40.215377808</v>
      </c>
      <c r="G770">
        <v>1330.3237305</v>
      </c>
      <c r="H770">
        <v>1329.9133300999999</v>
      </c>
      <c r="I770">
        <v>1333.9143065999999</v>
      </c>
      <c r="J770">
        <v>1332.5478516000001</v>
      </c>
      <c r="K770">
        <v>0</v>
      </c>
      <c r="L770">
        <v>550</v>
      </c>
      <c r="M770">
        <v>550</v>
      </c>
      <c r="N770">
        <v>0</v>
      </c>
    </row>
    <row r="771" spans="1:14" x14ac:dyDescent="0.25">
      <c r="A771">
        <v>562.85268399999995</v>
      </c>
      <c r="B771" s="1">
        <f>DATE(2011,11,14) + TIME(20,27,51)</f>
        <v>40861.852673611109</v>
      </c>
      <c r="C771">
        <v>80</v>
      </c>
      <c r="D771">
        <v>78.629867554</v>
      </c>
      <c r="E771">
        <v>40</v>
      </c>
      <c r="F771">
        <v>40.158287047999998</v>
      </c>
      <c r="G771">
        <v>1330.3012695</v>
      </c>
      <c r="H771">
        <v>1329.8818358999999</v>
      </c>
      <c r="I771">
        <v>1333.9157714999999</v>
      </c>
      <c r="J771">
        <v>1332.5473632999999</v>
      </c>
      <c r="K771">
        <v>0</v>
      </c>
      <c r="L771">
        <v>550</v>
      </c>
      <c r="M771">
        <v>550</v>
      </c>
      <c r="N771">
        <v>0</v>
      </c>
    </row>
    <row r="772" spans="1:14" x14ac:dyDescent="0.25">
      <c r="A772">
        <v>563.718388</v>
      </c>
      <c r="B772" s="1">
        <f>DATE(2011,11,15) + TIME(17,14,28)</f>
        <v>40862.71837962963</v>
      </c>
      <c r="C772">
        <v>80</v>
      </c>
      <c r="D772">
        <v>78.557975768999995</v>
      </c>
      <c r="E772">
        <v>40</v>
      </c>
      <c r="F772">
        <v>40.111923218000001</v>
      </c>
      <c r="G772">
        <v>1330.2781981999999</v>
      </c>
      <c r="H772">
        <v>1329.8494873</v>
      </c>
      <c r="I772">
        <v>1333.9171143000001</v>
      </c>
      <c r="J772">
        <v>1332.546875</v>
      </c>
      <c r="K772">
        <v>0</v>
      </c>
      <c r="L772">
        <v>550</v>
      </c>
      <c r="M772">
        <v>550</v>
      </c>
      <c r="N772">
        <v>0</v>
      </c>
    </row>
    <row r="773" spans="1:14" x14ac:dyDescent="0.25">
      <c r="A773">
        <v>564.62808800000005</v>
      </c>
      <c r="B773" s="1">
        <f>DATE(2011,11,16) + TIME(15,4,26)</f>
        <v>40863.628078703703</v>
      </c>
      <c r="C773">
        <v>80</v>
      </c>
      <c r="D773">
        <v>78.482978821000003</v>
      </c>
      <c r="E773">
        <v>40</v>
      </c>
      <c r="F773">
        <v>40.074508667000003</v>
      </c>
      <c r="G773">
        <v>1330.2546387</v>
      </c>
      <c r="H773">
        <v>1329.8164062000001</v>
      </c>
      <c r="I773">
        <v>1333.9183350000001</v>
      </c>
      <c r="J773">
        <v>1332.5462646000001</v>
      </c>
      <c r="K773">
        <v>0</v>
      </c>
      <c r="L773">
        <v>550</v>
      </c>
      <c r="M773">
        <v>550</v>
      </c>
      <c r="N773">
        <v>0</v>
      </c>
    </row>
    <row r="774" spans="1:14" x14ac:dyDescent="0.25">
      <c r="A774">
        <v>565.58071700000005</v>
      </c>
      <c r="B774" s="1">
        <f>DATE(2011,11,17) + TIME(13,56,13)</f>
        <v>40864.580706018518</v>
      </c>
      <c r="C774">
        <v>80</v>
      </c>
      <c r="D774">
        <v>78.404876709000007</v>
      </c>
      <c r="E774">
        <v>40</v>
      </c>
      <c r="F774">
        <v>40.044635773000003</v>
      </c>
      <c r="G774">
        <v>1330.2303466999999</v>
      </c>
      <c r="H774">
        <v>1329.7824707</v>
      </c>
      <c r="I774">
        <v>1333.9191894999999</v>
      </c>
      <c r="J774">
        <v>1332.5456543</v>
      </c>
      <c r="K774">
        <v>0</v>
      </c>
      <c r="L774">
        <v>550</v>
      </c>
      <c r="M774">
        <v>550</v>
      </c>
      <c r="N774">
        <v>0</v>
      </c>
    </row>
    <row r="775" spans="1:14" x14ac:dyDescent="0.25">
      <c r="A775">
        <v>566.57746899999995</v>
      </c>
      <c r="B775" s="1">
        <f>DATE(2011,11,18) + TIME(13,51,33)</f>
        <v>40865.577465277776</v>
      </c>
      <c r="C775">
        <v>80</v>
      </c>
      <c r="D775">
        <v>78.323524474999999</v>
      </c>
      <c r="E775">
        <v>40</v>
      </c>
      <c r="F775">
        <v>40.020965576000002</v>
      </c>
      <c r="G775">
        <v>1330.2053223</v>
      </c>
      <c r="H775">
        <v>1329.7478027</v>
      </c>
      <c r="I775">
        <v>1333.9197998</v>
      </c>
      <c r="J775">
        <v>1332.5447998</v>
      </c>
      <c r="K775">
        <v>0</v>
      </c>
      <c r="L775">
        <v>550</v>
      </c>
      <c r="M775">
        <v>550</v>
      </c>
      <c r="N775">
        <v>0</v>
      </c>
    </row>
    <row r="776" spans="1:14" x14ac:dyDescent="0.25">
      <c r="A776">
        <v>567.62173399999995</v>
      </c>
      <c r="B776" s="1">
        <f>DATE(2011,11,19) + TIME(14,55,17)</f>
        <v>40866.621724537035</v>
      </c>
      <c r="C776">
        <v>80</v>
      </c>
      <c r="D776">
        <v>78.238578795999999</v>
      </c>
      <c r="E776">
        <v>40</v>
      </c>
      <c r="F776">
        <v>40.002300261999999</v>
      </c>
      <c r="G776">
        <v>1330.1798096</v>
      </c>
      <c r="H776">
        <v>1329.7121582</v>
      </c>
      <c r="I776">
        <v>1333.9202881000001</v>
      </c>
      <c r="J776">
        <v>1332.5439452999999</v>
      </c>
      <c r="K776">
        <v>0</v>
      </c>
      <c r="L776">
        <v>550</v>
      </c>
      <c r="M776">
        <v>550</v>
      </c>
      <c r="N776">
        <v>0</v>
      </c>
    </row>
    <row r="777" spans="1:14" x14ac:dyDescent="0.25">
      <c r="A777">
        <v>568.71787600000005</v>
      </c>
      <c r="B777" s="1">
        <f>DATE(2011,11,20) + TIME(17,13,44)</f>
        <v>40867.717870370368</v>
      </c>
      <c r="C777">
        <v>80</v>
      </c>
      <c r="D777">
        <v>78.149635314999998</v>
      </c>
      <c r="E777">
        <v>40</v>
      </c>
      <c r="F777">
        <v>39.987644195999998</v>
      </c>
      <c r="G777">
        <v>1330.1535644999999</v>
      </c>
      <c r="H777">
        <v>1329.6757812000001</v>
      </c>
      <c r="I777">
        <v>1333.9206543</v>
      </c>
      <c r="J777">
        <v>1332.5428466999999</v>
      </c>
      <c r="K777">
        <v>0</v>
      </c>
      <c r="L777">
        <v>550</v>
      </c>
      <c r="M777">
        <v>550</v>
      </c>
      <c r="N777">
        <v>0</v>
      </c>
    </row>
    <row r="778" spans="1:14" x14ac:dyDescent="0.25">
      <c r="A778">
        <v>569.87080500000002</v>
      </c>
      <c r="B778" s="1">
        <f>DATE(2011,11,21) + TIME(20,53,57)</f>
        <v>40868.870798611111</v>
      </c>
      <c r="C778">
        <v>80</v>
      </c>
      <c r="D778">
        <v>78.056205750000004</v>
      </c>
      <c r="E778">
        <v>40</v>
      </c>
      <c r="F778">
        <v>39.976173400999997</v>
      </c>
      <c r="G778">
        <v>1330.1265868999999</v>
      </c>
      <c r="H778">
        <v>1329.6384277</v>
      </c>
      <c r="I778">
        <v>1333.9206543</v>
      </c>
      <c r="J778">
        <v>1332.5417480000001</v>
      </c>
      <c r="K778">
        <v>0</v>
      </c>
      <c r="L778">
        <v>550</v>
      </c>
      <c r="M778">
        <v>550</v>
      </c>
      <c r="N778">
        <v>0</v>
      </c>
    </row>
    <row r="779" spans="1:14" x14ac:dyDescent="0.25">
      <c r="A779">
        <v>571.08536800000002</v>
      </c>
      <c r="B779" s="1">
        <f>DATE(2011,11,23) + TIME(2,2,55)</f>
        <v>40870.085358796299</v>
      </c>
      <c r="C779">
        <v>80</v>
      </c>
      <c r="D779">
        <v>77.957801818999997</v>
      </c>
      <c r="E779">
        <v>40</v>
      </c>
      <c r="F779">
        <v>39.967216491999999</v>
      </c>
      <c r="G779">
        <v>1330.0987548999999</v>
      </c>
      <c r="H779">
        <v>1329.6000977000001</v>
      </c>
      <c r="I779">
        <v>1333.9206543</v>
      </c>
      <c r="J779">
        <v>1332.5405272999999</v>
      </c>
      <c r="K779">
        <v>0</v>
      </c>
      <c r="L779">
        <v>550</v>
      </c>
      <c r="M779">
        <v>550</v>
      </c>
      <c r="N779">
        <v>0</v>
      </c>
    </row>
    <row r="780" spans="1:14" x14ac:dyDescent="0.25">
      <c r="A780">
        <v>572.36793899999998</v>
      </c>
      <c r="B780" s="1">
        <f>DATE(2011,11,24) + TIME(8,49,49)</f>
        <v>40871.367928240739</v>
      </c>
      <c r="C780">
        <v>80</v>
      </c>
      <c r="D780">
        <v>77.853790282999995</v>
      </c>
      <c r="E780">
        <v>40</v>
      </c>
      <c r="F780">
        <v>39.960235595999997</v>
      </c>
      <c r="G780">
        <v>1330.0700684000001</v>
      </c>
      <c r="H780">
        <v>1329.5605469</v>
      </c>
      <c r="I780">
        <v>1333.9204102000001</v>
      </c>
      <c r="J780">
        <v>1332.5391846</v>
      </c>
      <c r="K780">
        <v>0</v>
      </c>
      <c r="L780">
        <v>550</v>
      </c>
      <c r="M780">
        <v>550</v>
      </c>
      <c r="N780">
        <v>0</v>
      </c>
    </row>
    <row r="781" spans="1:14" x14ac:dyDescent="0.25">
      <c r="A781">
        <v>573.72030299999994</v>
      </c>
      <c r="B781" s="1">
        <f>DATE(2011,11,25) + TIME(17,17,14)</f>
        <v>40872.720300925925</v>
      </c>
      <c r="C781">
        <v>80</v>
      </c>
      <c r="D781">
        <v>77.743774414000001</v>
      </c>
      <c r="E781">
        <v>40</v>
      </c>
      <c r="F781">
        <v>39.954803466999998</v>
      </c>
      <c r="G781">
        <v>1330.0405272999999</v>
      </c>
      <c r="H781">
        <v>1329.5197754000001</v>
      </c>
      <c r="I781">
        <v>1333.9201660000001</v>
      </c>
      <c r="J781">
        <v>1332.5377197</v>
      </c>
      <c r="K781">
        <v>0</v>
      </c>
      <c r="L781">
        <v>550</v>
      </c>
      <c r="M781">
        <v>550</v>
      </c>
      <c r="N781">
        <v>0</v>
      </c>
    </row>
    <row r="782" spans="1:14" x14ac:dyDescent="0.25">
      <c r="A782">
        <v>575.13398199999995</v>
      </c>
      <c r="B782" s="1">
        <f>DATE(2011,11,27) + TIME(3,12,56)</f>
        <v>40874.133981481478</v>
      </c>
      <c r="C782">
        <v>80</v>
      </c>
      <c r="D782">
        <v>77.627960204999994</v>
      </c>
      <c r="E782">
        <v>40</v>
      </c>
      <c r="F782">
        <v>39.950614928999997</v>
      </c>
      <c r="G782">
        <v>1330.0100098</v>
      </c>
      <c r="H782">
        <v>1329.4779053</v>
      </c>
      <c r="I782">
        <v>1333.9196777</v>
      </c>
      <c r="J782">
        <v>1332.5362548999999</v>
      </c>
      <c r="K782">
        <v>0</v>
      </c>
      <c r="L782">
        <v>550</v>
      </c>
      <c r="M782">
        <v>550</v>
      </c>
      <c r="N782">
        <v>0</v>
      </c>
    </row>
    <row r="783" spans="1:14" x14ac:dyDescent="0.25">
      <c r="A783">
        <v>576.62153000000001</v>
      </c>
      <c r="B783" s="1">
        <f>DATE(2011,11,28) + TIME(14,55,0)</f>
        <v>40875.621527777781</v>
      </c>
      <c r="C783">
        <v>80</v>
      </c>
      <c r="D783">
        <v>77.505302428999997</v>
      </c>
      <c r="E783">
        <v>40</v>
      </c>
      <c r="F783">
        <v>39.947353362999998</v>
      </c>
      <c r="G783">
        <v>1329.9787598</v>
      </c>
      <c r="H783">
        <v>1329.4350586</v>
      </c>
      <c r="I783">
        <v>1333.9191894999999</v>
      </c>
      <c r="J783">
        <v>1332.534668</v>
      </c>
      <c r="K783">
        <v>0</v>
      </c>
      <c r="L783">
        <v>550</v>
      </c>
      <c r="M783">
        <v>550</v>
      </c>
      <c r="N783">
        <v>0</v>
      </c>
    </row>
    <row r="784" spans="1:14" x14ac:dyDescent="0.25">
      <c r="A784">
        <v>578.19709</v>
      </c>
      <c r="B784" s="1">
        <f>DATE(2011,11,30) + TIME(4,43,48)</f>
        <v>40877.197083333333</v>
      </c>
      <c r="C784">
        <v>80</v>
      </c>
      <c r="D784">
        <v>77.374572753999999</v>
      </c>
      <c r="E784">
        <v>40</v>
      </c>
      <c r="F784">
        <v>39.944797516000001</v>
      </c>
      <c r="G784">
        <v>1329.9465332</v>
      </c>
      <c r="H784">
        <v>1329.3911132999999</v>
      </c>
      <c r="I784">
        <v>1333.9185791</v>
      </c>
      <c r="J784">
        <v>1332.5332031</v>
      </c>
      <c r="K784">
        <v>0</v>
      </c>
      <c r="L784">
        <v>550</v>
      </c>
      <c r="M784">
        <v>550</v>
      </c>
      <c r="N784">
        <v>0</v>
      </c>
    </row>
    <row r="785" spans="1:14" x14ac:dyDescent="0.25">
      <c r="A785">
        <v>579</v>
      </c>
      <c r="B785" s="1">
        <f>DATE(2011,12,1) + TIME(0,0,0)</f>
        <v>40878</v>
      </c>
      <c r="C785">
        <v>80</v>
      </c>
      <c r="D785">
        <v>77.295005798000005</v>
      </c>
      <c r="E785">
        <v>40</v>
      </c>
      <c r="F785">
        <v>39.943702698000003</v>
      </c>
      <c r="G785">
        <v>1329.9144286999999</v>
      </c>
      <c r="H785">
        <v>1329.3479004000001</v>
      </c>
      <c r="I785">
        <v>1333.9179687999999</v>
      </c>
      <c r="J785">
        <v>1332.5316161999999</v>
      </c>
      <c r="K785">
        <v>0</v>
      </c>
      <c r="L785">
        <v>550</v>
      </c>
      <c r="M785">
        <v>550</v>
      </c>
      <c r="N785">
        <v>0</v>
      </c>
    </row>
    <row r="786" spans="1:14" x14ac:dyDescent="0.25">
      <c r="A786">
        <v>580.68043599999999</v>
      </c>
      <c r="B786" s="1">
        <f>DATE(2011,12,2) + TIME(16,19,49)</f>
        <v>40879.680428240739</v>
      </c>
      <c r="C786">
        <v>80</v>
      </c>
      <c r="D786">
        <v>77.156539917000003</v>
      </c>
      <c r="E786">
        <v>40</v>
      </c>
      <c r="F786">
        <v>39.941982269</v>
      </c>
      <c r="G786">
        <v>1329.8942870999999</v>
      </c>
      <c r="H786">
        <v>1329.3189697</v>
      </c>
      <c r="I786">
        <v>1333.9174805</v>
      </c>
      <c r="J786">
        <v>1332.5306396000001</v>
      </c>
      <c r="K786">
        <v>0</v>
      </c>
      <c r="L786">
        <v>550</v>
      </c>
      <c r="M786">
        <v>550</v>
      </c>
      <c r="N786">
        <v>0</v>
      </c>
    </row>
    <row r="787" spans="1:14" x14ac:dyDescent="0.25">
      <c r="A787">
        <v>582.41054799999995</v>
      </c>
      <c r="B787" s="1">
        <f>DATE(2011,12,4) + TIME(9,51,11)</f>
        <v>40881.410543981481</v>
      </c>
      <c r="C787">
        <v>80</v>
      </c>
      <c r="D787">
        <v>77.010154724000003</v>
      </c>
      <c r="E787">
        <v>40</v>
      </c>
      <c r="F787">
        <v>39.940654754999997</v>
      </c>
      <c r="G787">
        <v>1329.8609618999999</v>
      </c>
      <c r="H787">
        <v>1329.2738036999999</v>
      </c>
      <c r="I787">
        <v>1333.9167480000001</v>
      </c>
      <c r="J787">
        <v>1332.5290527</v>
      </c>
      <c r="K787">
        <v>0</v>
      </c>
      <c r="L787">
        <v>550</v>
      </c>
      <c r="M787">
        <v>550</v>
      </c>
      <c r="N787">
        <v>0</v>
      </c>
    </row>
    <row r="788" spans="1:14" x14ac:dyDescent="0.25">
      <c r="A788">
        <v>584.18272200000001</v>
      </c>
      <c r="B788" s="1">
        <f>DATE(2011,12,6) + TIME(4,23,7)</f>
        <v>40883.182719907411</v>
      </c>
      <c r="C788">
        <v>80</v>
      </c>
      <c r="D788">
        <v>76.856430054</v>
      </c>
      <c r="E788">
        <v>40</v>
      </c>
      <c r="F788">
        <v>39.939628601000003</v>
      </c>
      <c r="G788">
        <v>1329.8269043</v>
      </c>
      <c r="H788">
        <v>1329.2275391000001</v>
      </c>
      <c r="I788">
        <v>1333.9158935999999</v>
      </c>
      <c r="J788">
        <v>1332.5274658000001</v>
      </c>
      <c r="K788">
        <v>0</v>
      </c>
      <c r="L788">
        <v>550</v>
      </c>
      <c r="M788">
        <v>550</v>
      </c>
      <c r="N788">
        <v>0</v>
      </c>
    </row>
    <row r="789" spans="1:14" x14ac:dyDescent="0.25">
      <c r="A789">
        <v>586.00927799999999</v>
      </c>
      <c r="B789" s="1">
        <f>DATE(2011,12,8) + TIME(0,13,21)</f>
        <v>40885.009270833332</v>
      </c>
      <c r="C789">
        <v>80</v>
      </c>
      <c r="D789">
        <v>76.694793700999995</v>
      </c>
      <c r="E789">
        <v>40</v>
      </c>
      <c r="F789">
        <v>39.938831329000003</v>
      </c>
      <c r="G789">
        <v>1329.7924805</v>
      </c>
      <c r="H789">
        <v>1329.1809082</v>
      </c>
      <c r="I789">
        <v>1333.9151611</v>
      </c>
      <c r="J789">
        <v>1332.5258789</v>
      </c>
      <c r="K789">
        <v>0</v>
      </c>
      <c r="L789">
        <v>550</v>
      </c>
      <c r="M789">
        <v>550</v>
      </c>
      <c r="N789">
        <v>0</v>
      </c>
    </row>
    <row r="790" spans="1:14" x14ac:dyDescent="0.25">
      <c r="A790">
        <v>587.89562899999999</v>
      </c>
      <c r="B790" s="1">
        <f>DATE(2011,12,9) + TIME(21,29,42)</f>
        <v>40886.895624999997</v>
      </c>
      <c r="C790">
        <v>80</v>
      </c>
      <c r="D790">
        <v>76.524826050000001</v>
      </c>
      <c r="E790">
        <v>40</v>
      </c>
      <c r="F790">
        <v>39.938209534000002</v>
      </c>
      <c r="G790">
        <v>1329.7576904</v>
      </c>
      <c r="H790">
        <v>1329.1336670000001</v>
      </c>
      <c r="I790">
        <v>1333.9143065999999</v>
      </c>
      <c r="J790">
        <v>1332.5242920000001</v>
      </c>
      <c r="K790">
        <v>0</v>
      </c>
      <c r="L790">
        <v>550</v>
      </c>
      <c r="M790">
        <v>550</v>
      </c>
      <c r="N790">
        <v>0</v>
      </c>
    </row>
    <row r="791" spans="1:14" x14ac:dyDescent="0.25">
      <c r="A791">
        <v>589.85806500000001</v>
      </c>
      <c r="B791" s="1">
        <f>DATE(2011,12,11) + TIME(20,35,36)</f>
        <v>40888.858055555553</v>
      </c>
      <c r="C791">
        <v>80</v>
      </c>
      <c r="D791">
        <v>76.345375060999999</v>
      </c>
      <c r="E791">
        <v>40</v>
      </c>
      <c r="F791">
        <v>39.937728882000002</v>
      </c>
      <c r="G791">
        <v>1329.7224120999999</v>
      </c>
      <c r="H791">
        <v>1329.0859375</v>
      </c>
      <c r="I791">
        <v>1333.9134521000001</v>
      </c>
      <c r="J791">
        <v>1332.5228271000001</v>
      </c>
      <c r="K791">
        <v>0</v>
      </c>
      <c r="L791">
        <v>550</v>
      </c>
      <c r="M791">
        <v>550</v>
      </c>
      <c r="N791">
        <v>0</v>
      </c>
    </row>
    <row r="792" spans="1:14" x14ac:dyDescent="0.25">
      <c r="A792">
        <v>591.85826699999996</v>
      </c>
      <c r="B792" s="1">
        <f>DATE(2011,12,13) + TIME(20,35,54)</f>
        <v>40890.858263888891</v>
      </c>
      <c r="C792">
        <v>80</v>
      </c>
      <c r="D792">
        <v>76.158226013000004</v>
      </c>
      <c r="E792">
        <v>40</v>
      </c>
      <c r="F792">
        <v>39.937362671000002</v>
      </c>
      <c r="G792">
        <v>1329.6867675999999</v>
      </c>
      <c r="H792">
        <v>1329.0377197</v>
      </c>
      <c r="I792">
        <v>1333.9125977000001</v>
      </c>
      <c r="J792">
        <v>1332.5213623</v>
      </c>
      <c r="K792">
        <v>0</v>
      </c>
      <c r="L792">
        <v>550</v>
      </c>
      <c r="M792">
        <v>550</v>
      </c>
      <c r="N792">
        <v>0</v>
      </c>
    </row>
    <row r="793" spans="1:14" x14ac:dyDescent="0.25">
      <c r="A793">
        <v>593.905171</v>
      </c>
      <c r="B793" s="1">
        <f>DATE(2011,12,15) + TIME(21,43,26)</f>
        <v>40892.905162037037</v>
      </c>
      <c r="C793">
        <v>80</v>
      </c>
      <c r="D793">
        <v>75.963066100999995</v>
      </c>
      <c r="E793">
        <v>40</v>
      </c>
      <c r="F793">
        <v>39.937084198000001</v>
      </c>
      <c r="G793">
        <v>1329.6512451000001</v>
      </c>
      <c r="H793">
        <v>1328.9895019999999</v>
      </c>
      <c r="I793">
        <v>1333.9117432</v>
      </c>
      <c r="J793">
        <v>1332.5198975000001</v>
      </c>
      <c r="K793">
        <v>0</v>
      </c>
      <c r="L793">
        <v>550</v>
      </c>
      <c r="M793">
        <v>550</v>
      </c>
      <c r="N793">
        <v>0</v>
      </c>
    </row>
    <row r="794" spans="1:14" x14ac:dyDescent="0.25">
      <c r="A794">
        <v>596.01244199999996</v>
      </c>
      <c r="B794" s="1">
        <f>DATE(2011,12,18) + TIME(0,17,55)</f>
        <v>40895.012442129628</v>
      </c>
      <c r="C794">
        <v>80</v>
      </c>
      <c r="D794">
        <v>75.759071349999999</v>
      </c>
      <c r="E794">
        <v>40</v>
      </c>
      <c r="F794">
        <v>39.936878204000003</v>
      </c>
      <c r="G794">
        <v>1329.6156006000001</v>
      </c>
      <c r="H794">
        <v>1328.9412841999999</v>
      </c>
      <c r="I794">
        <v>1333.9110106999999</v>
      </c>
      <c r="J794">
        <v>1332.5185547000001</v>
      </c>
      <c r="K794">
        <v>0</v>
      </c>
      <c r="L794">
        <v>550</v>
      </c>
      <c r="M794">
        <v>550</v>
      </c>
      <c r="N794">
        <v>0</v>
      </c>
    </row>
    <row r="795" spans="1:14" x14ac:dyDescent="0.25">
      <c r="A795">
        <v>598.195064</v>
      </c>
      <c r="B795" s="1">
        <f>DATE(2011,12,20) + TIME(4,40,53)</f>
        <v>40897.195057870369</v>
      </c>
      <c r="C795">
        <v>80</v>
      </c>
      <c r="D795">
        <v>75.545074463000006</v>
      </c>
      <c r="E795">
        <v>40</v>
      </c>
      <c r="F795">
        <v>39.936725615999997</v>
      </c>
      <c r="G795">
        <v>1329.5799560999999</v>
      </c>
      <c r="H795">
        <v>1328.8929443</v>
      </c>
      <c r="I795">
        <v>1333.9101562000001</v>
      </c>
      <c r="J795">
        <v>1332.5172118999999</v>
      </c>
      <c r="K795">
        <v>0</v>
      </c>
      <c r="L795">
        <v>550</v>
      </c>
      <c r="M795">
        <v>550</v>
      </c>
      <c r="N795">
        <v>0</v>
      </c>
    </row>
    <row r="796" spans="1:14" x14ac:dyDescent="0.25">
      <c r="A796">
        <v>600.47007199999996</v>
      </c>
      <c r="B796" s="1">
        <f>DATE(2011,12,22) + TIME(11,16,54)</f>
        <v>40899.470069444447</v>
      </c>
      <c r="C796">
        <v>80</v>
      </c>
      <c r="D796">
        <v>75.319602966000005</v>
      </c>
      <c r="E796">
        <v>40</v>
      </c>
      <c r="F796">
        <v>39.936614990000002</v>
      </c>
      <c r="G796">
        <v>1329.5439452999999</v>
      </c>
      <c r="H796">
        <v>1328.8444824000001</v>
      </c>
      <c r="I796">
        <v>1333.9093018000001</v>
      </c>
      <c r="J796">
        <v>1332.5159911999999</v>
      </c>
      <c r="K796">
        <v>0</v>
      </c>
      <c r="L796">
        <v>550</v>
      </c>
      <c r="M796">
        <v>550</v>
      </c>
      <c r="N796">
        <v>0</v>
      </c>
    </row>
    <row r="797" spans="1:14" x14ac:dyDescent="0.25">
      <c r="A797">
        <v>602.85736899999995</v>
      </c>
      <c r="B797" s="1">
        <f>DATE(2011,12,24) + TIME(20,34,36)</f>
        <v>40901.857361111113</v>
      </c>
      <c r="C797">
        <v>80</v>
      </c>
      <c r="D797">
        <v>75.080848693999997</v>
      </c>
      <c r="E797">
        <v>40</v>
      </c>
      <c r="F797">
        <v>39.936538696</v>
      </c>
      <c r="G797">
        <v>1329.5075684000001</v>
      </c>
      <c r="H797">
        <v>1328.7954102000001</v>
      </c>
      <c r="I797">
        <v>1333.9084473</v>
      </c>
      <c r="J797">
        <v>1332.5147704999999</v>
      </c>
      <c r="K797">
        <v>0</v>
      </c>
      <c r="L797">
        <v>550</v>
      </c>
      <c r="M797">
        <v>550</v>
      </c>
      <c r="N797">
        <v>0</v>
      </c>
    </row>
    <row r="798" spans="1:14" x14ac:dyDescent="0.25">
      <c r="A798">
        <v>605.31420900000001</v>
      </c>
      <c r="B798" s="1">
        <f>DATE(2011,12,27) + TIME(7,32,27)</f>
        <v>40904.314201388886</v>
      </c>
      <c r="C798">
        <v>80</v>
      </c>
      <c r="D798">
        <v>74.830108643000003</v>
      </c>
      <c r="E798">
        <v>40</v>
      </c>
      <c r="F798">
        <v>39.936489105</v>
      </c>
      <c r="G798">
        <v>1329.4704589999999</v>
      </c>
      <c r="H798">
        <v>1328.7456055</v>
      </c>
      <c r="I798">
        <v>1333.9075928</v>
      </c>
      <c r="J798">
        <v>1332.5136719</v>
      </c>
      <c r="K798">
        <v>0</v>
      </c>
      <c r="L798">
        <v>550</v>
      </c>
      <c r="M798">
        <v>550</v>
      </c>
      <c r="N798">
        <v>0</v>
      </c>
    </row>
    <row r="799" spans="1:14" x14ac:dyDescent="0.25">
      <c r="A799">
        <v>607.82832499999995</v>
      </c>
      <c r="B799" s="1">
        <f>DATE(2011,12,29) + TIME(19,52,47)</f>
        <v>40906.828321759262</v>
      </c>
      <c r="C799">
        <v>80</v>
      </c>
      <c r="D799">
        <v>74.568405150999993</v>
      </c>
      <c r="E799">
        <v>40</v>
      </c>
      <c r="F799">
        <v>39.936470032000003</v>
      </c>
      <c r="G799">
        <v>1329.4333495999999</v>
      </c>
      <c r="H799">
        <v>1328.6956786999999</v>
      </c>
      <c r="I799">
        <v>1333.9067382999999</v>
      </c>
      <c r="J799">
        <v>1332.5125731999999</v>
      </c>
      <c r="K799">
        <v>0</v>
      </c>
      <c r="L799">
        <v>550</v>
      </c>
      <c r="M799">
        <v>550</v>
      </c>
      <c r="N799">
        <v>0</v>
      </c>
    </row>
    <row r="800" spans="1:14" x14ac:dyDescent="0.25">
      <c r="A800">
        <v>610</v>
      </c>
      <c r="B800" s="1">
        <f>DATE(2012,1,1) + TIME(0,0,0)</f>
        <v>40909</v>
      </c>
      <c r="C800">
        <v>80</v>
      </c>
      <c r="D800">
        <v>74.320777892999999</v>
      </c>
      <c r="E800">
        <v>40</v>
      </c>
      <c r="F800">
        <v>39.936466217000003</v>
      </c>
      <c r="G800">
        <v>1329.3964844</v>
      </c>
      <c r="H800">
        <v>1328.6463623</v>
      </c>
      <c r="I800">
        <v>1333.9057617000001</v>
      </c>
      <c r="J800">
        <v>1332.5114745999999</v>
      </c>
      <c r="K800">
        <v>0</v>
      </c>
      <c r="L800">
        <v>550</v>
      </c>
      <c r="M800">
        <v>550</v>
      </c>
      <c r="N800">
        <v>0</v>
      </c>
    </row>
    <row r="801" spans="1:14" x14ac:dyDescent="0.25">
      <c r="A801">
        <v>612.57743500000004</v>
      </c>
      <c r="B801" s="1">
        <f>DATE(2012,1,3) + TIME(13,51,30)</f>
        <v>40911.577430555553</v>
      </c>
      <c r="C801">
        <v>80</v>
      </c>
      <c r="D801">
        <v>74.050811768000003</v>
      </c>
      <c r="E801">
        <v>40</v>
      </c>
      <c r="F801">
        <v>39.936477660999998</v>
      </c>
      <c r="G801">
        <v>1329.3636475000001</v>
      </c>
      <c r="H801">
        <v>1328.6013184000001</v>
      </c>
      <c r="I801">
        <v>1333.9051514</v>
      </c>
      <c r="J801">
        <v>1332.5106201000001</v>
      </c>
      <c r="K801">
        <v>0</v>
      </c>
      <c r="L801">
        <v>550</v>
      </c>
      <c r="M801">
        <v>550</v>
      </c>
      <c r="N801">
        <v>0</v>
      </c>
    </row>
    <row r="802" spans="1:14" x14ac:dyDescent="0.25">
      <c r="A802">
        <v>615.32151599999997</v>
      </c>
      <c r="B802" s="1">
        <f>DATE(2012,1,6) + TIME(7,42,58)</f>
        <v>40914.321504629632</v>
      </c>
      <c r="C802">
        <v>80</v>
      </c>
      <c r="D802">
        <v>73.762199401999993</v>
      </c>
      <c r="E802">
        <v>40</v>
      </c>
      <c r="F802">
        <v>39.936496734999999</v>
      </c>
      <c r="G802">
        <v>1329.3278809000001</v>
      </c>
      <c r="H802">
        <v>1328.5534668</v>
      </c>
      <c r="I802">
        <v>1333.9042969</v>
      </c>
      <c r="J802">
        <v>1332.5097656</v>
      </c>
      <c r="K802">
        <v>0</v>
      </c>
      <c r="L802">
        <v>550</v>
      </c>
      <c r="M802">
        <v>550</v>
      </c>
      <c r="N802">
        <v>0</v>
      </c>
    </row>
    <row r="803" spans="1:14" x14ac:dyDescent="0.25">
      <c r="A803">
        <v>618.09696799999995</v>
      </c>
      <c r="B803" s="1">
        <f>DATE(2012,1,9) + TIME(2,19,38)</f>
        <v>40917.096967592595</v>
      </c>
      <c r="C803">
        <v>80</v>
      </c>
      <c r="D803">
        <v>73.460754394999995</v>
      </c>
      <c r="E803">
        <v>40</v>
      </c>
      <c r="F803">
        <v>39.936523438000002</v>
      </c>
      <c r="G803">
        <v>1329.2912598</v>
      </c>
      <c r="H803">
        <v>1328.5046387</v>
      </c>
      <c r="I803">
        <v>1333.9033202999999</v>
      </c>
      <c r="J803">
        <v>1332.5089111</v>
      </c>
      <c r="K803">
        <v>0</v>
      </c>
      <c r="L803">
        <v>550</v>
      </c>
      <c r="M803">
        <v>550</v>
      </c>
      <c r="N803">
        <v>0</v>
      </c>
    </row>
    <row r="804" spans="1:14" x14ac:dyDescent="0.25">
      <c r="A804">
        <v>620.92226800000003</v>
      </c>
      <c r="B804" s="1">
        <f>DATE(2012,1,11) + TIME(22,8,3)</f>
        <v>40919.922256944446</v>
      </c>
      <c r="C804">
        <v>80</v>
      </c>
      <c r="D804">
        <v>73.148536682</v>
      </c>
      <c r="E804">
        <v>40</v>
      </c>
      <c r="F804">
        <v>39.936553955000001</v>
      </c>
      <c r="G804">
        <v>1329.2547606999999</v>
      </c>
      <c r="H804">
        <v>1328.4558105000001</v>
      </c>
      <c r="I804">
        <v>1333.9024658000001</v>
      </c>
      <c r="J804">
        <v>1332.5081786999999</v>
      </c>
      <c r="K804">
        <v>0</v>
      </c>
      <c r="L804">
        <v>550</v>
      </c>
      <c r="M804">
        <v>550</v>
      </c>
      <c r="N804">
        <v>0</v>
      </c>
    </row>
    <row r="805" spans="1:14" x14ac:dyDescent="0.25">
      <c r="A805">
        <v>623.81707200000005</v>
      </c>
      <c r="B805" s="1">
        <f>DATE(2012,1,14) + TIME(19,36,35)</f>
        <v>40922.817071759258</v>
      </c>
      <c r="C805">
        <v>80</v>
      </c>
      <c r="D805">
        <v>72.825653075999995</v>
      </c>
      <c r="E805">
        <v>40</v>
      </c>
      <c r="F805">
        <v>39.936588286999999</v>
      </c>
      <c r="G805">
        <v>1329.2185059000001</v>
      </c>
      <c r="H805">
        <v>1328.4072266000001</v>
      </c>
      <c r="I805">
        <v>1333.9016113</v>
      </c>
      <c r="J805">
        <v>1332.5074463000001</v>
      </c>
      <c r="K805">
        <v>0</v>
      </c>
      <c r="L805">
        <v>550</v>
      </c>
      <c r="M805">
        <v>550</v>
      </c>
      <c r="N805">
        <v>0</v>
      </c>
    </row>
    <row r="806" spans="1:14" x14ac:dyDescent="0.25">
      <c r="A806">
        <v>626.80269799999996</v>
      </c>
      <c r="B806" s="1">
        <f>DATE(2012,1,17) + TIME(19,15,53)</f>
        <v>40925.80269675926</v>
      </c>
      <c r="C806">
        <v>80</v>
      </c>
      <c r="D806">
        <v>72.491096497000001</v>
      </c>
      <c r="E806">
        <v>40</v>
      </c>
      <c r="F806">
        <v>39.936626433999997</v>
      </c>
      <c r="G806">
        <v>1329.1824951000001</v>
      </c>
      <c r="H806">
        <v>1328.3590088000001</v>
      </c>
      <c r="I806">
        <v>1333.9006348</v>
      </c>
      <c r="J806">
        <v>1332.5068358999999</v>
      </c>
      <c r="K806">
        <v>0</v>
      </c>
      <c r="L806">
        <v>550</v>
      </c>
      <c r="M806">
        <v>550</v>
      </c>
      <c r="N806">
        <v>0</v>
      </c>
    </row>
    <row r="807" spans="1:14" x14ac:dyDescent="0.25">
      <c r="A807">
        <v>629.90309000000002</v>
      </c>
      <c r="B807" s="1">
        <f>DATE(2012,1,20) + TIME(21,40,26)</f>
        <v>40928.903078703705</v>
      </c>
      <c r="C807">
        <v>80</v>
      </c>
      <c r="D807">
        <v>72.143112183</v>
      </c>
      <c r="E807">
        <v>40</v>
      </c>
      <c r="F807">
        <v>39.936664581000002</v>
      </c>
      <c r="G807">
        <v>1329.1466064000001</v>
      </c>
      <c r="H807">
        <v>1328.3107910000001</v>
      </c>
      <c r="I807">
        <v>1333.8997803</v>
      </c>
      <c r="J807">
        <v>1332.5062256000001</v>
      </c>
      <c r="K807">
        <v>0</v>
      </c>
      <c r="L807">
        <v>550</v>
      </c>
      <c r="M807">
        <v>550</v>
      </c>
      <c r="N807">
        <v>0</v>
      </c>
    </row>
    <row r="808" spans="1:14" x14ac:dyDescent="0.25">
      <c r="A808">
        <v>633.13816899999995</v>
      </c>
      <c r="B808" s="1">
        <f>DATE(2012,1,24) + TIME(3,18,57)</f>
        <v>40932.138159722221</v>
      </c>
      <c r="C808">
        <v>80</v>
      </c>
      <c r="D808">
        <v>71.779747009000005</v>
      </c>
      <c r="E808">
        <v>40</v>
      </c>
      <c r="F808">
        <v>39.936702728</v>
      </c>
      <c r="G808">
        <v>1329.1104736</v>
      </c>
      <c r="H808">
        <v>1328.2625731999999</v>
      </c>
      <c r="I808">
        <v>1333.8988036999999</v>
      </c>
      <c r="J808">
        <v>1332.5057373</v>
      </c>
      <c r="K808">
        <v>0</v>
      </c>
      <c r="L808">
        <v>550</v>
      </c>
      <c r="M808">
        <v>550</v>
      </c>
      <c r="N808">
        <v>0</v>
      </c>
    </row>
    <row r="809" spans="1:14" x14ac:dyDescent="0.25">
      <c r="A809">
        <v>636.45503699999995</v>
      </c>
      <c r="B809" s="1">
        <f>DATE(2012,1,27) + TIME(10,55,15)</f>
        <v>40935.455034722225</v>
      </c>
      <c r="C809">
        <v>80</v>
      </c>
      <c r="D809">
        <v>71.402610779</v>
      </c>
      <c r="E809">
        <v>40</v>
      </c>
      <c r="F809">
        <v>39.936740874999998</v>
      </c>
      <c r="G809">
        <v>1329.0740966999999</v>
      </c>
      <c r="H809">
        <v>1328.2139893000001</v>
      </c>
      <c r="I809">
        <v>1333.8978271000001</v>
      </c>
      <c r="J809">
        <v>1332.505249</v>
      </c>
      <c r="K809">
        <v>0</v>
      </c>
      <c r="L809">
        <v>550</v>
      </c>
      <c r="M809">
        <v>550</v>
      </c>
      <c r="N809">
        <v>0</v>
      </c>
    </row>
    <row r="810" spans="1:14" x14ac:dyDescent="0.25">
      <c r="A810">
        <v>639.87841100000003</v>
      </c>
      <c r="B810" s="1">
        <f>DATE(2012,1,30) + TIME(21,4,54)</f>
        <v>40938.87840277778</v>
      </c>
      <c r="C810">
        <v>80</v>
      </c>
      <c r="D810">
        <v>71.011970520000006</v>
      </c>
      <c r="E810">
        <v>40</v>
      </c>
      <c r="F810">
        <v>39.936779022000003</v>
      </c>
      <c r="G810">
        <v>1329.0378418</v>
      </c>
      <c r="H810">
        <v>1328.1655272999999</v>
      </c>
      <c r="I810">
        <v>1333.8968506000001</v>
      </c>
      <c r="J810">
        <v>1332.5047606999999</v>
      </c>
      <c r="K810">
        <v>0</v>
      </c>
      <c r="L810">
        <v>550</v>
      </c>
      <c r="M810">
        <v>550</v>
      </c>
      <c r="N810">
        <v>0</v>
      </c>
    </row>
    <row r="811" spans="1:14" x14ac:dyDescent="0.25">
      <c r="A811">
        <v>641</v>
      </c>
      <c r="B811" s="1">
        <f>DATE(2012,2,1) + TIME(0,0,0)</f>
        <v>40940</v>
      </c>
      <c r="C811">
        <v>80</v>
      </c>
      <c r="D811">
        <v>70.800750731999997</v>
      </c>
      <c r="E811">
        <v>40</v>
      </c>
      <c r="F811">
        <v>39.936786652000002</v>
      </c>
      <c r="G811">
        <v>1329.0021973</v>
      </c>
      <c r="H811">
        <v>1328.1199951000001</v>
      </c>
      <c r="I811">
        <v>1333.8957519999999</v>
      </c>
      <c r="J811">
        <v>1332.5042725000001</v>
      </c>
      <c r="K811">
        <v>0</v>
      </c>
      <c r="L811">
        <v>550</v>
      </c>
      <c r="M811">
        <v>550</v>
      </c>
      <c r="N811">
        <v>0</v>
      </c>
    </row>
    <row r="812" spans="1:14" x14ac:dyDescent="0.25">
      <c r="A812">
        <v>644.48837500000002</v>
      </c>
      <c r="B812" s="1">
        <f>DATE(2012,2,4) + TIME(11,43,15)</f>
        <v>40943.488368055558</v>
      </c>
      <c r="C812">
        <v>80</v>
      </c>
      <c r="D812">
        <v>70.442893982000001</v>
      </c>
      <c r="E812">
        <v>40</v>
      </c>
      <c r="F812">
        <v>39.936828613000003</v>
      </c>
      <c r="G812">
        <v>1328.9862060999999</v>
      </c>
      <c r="H812">
        <v>1328.0944824000001</v>
      </c>
      <c r="I812">
        <v>1333.8955077999999</v>
      </c>
      <c r="J812">
        <v>1332.5042725000001</v>
      </c>
      <c r="K812">
        <v>0</v>
      </c>
      <c r="L812">
        <v>550</v>
      </c>
      <c r="M812">
        <v>550</v>
      </c>
      <c r="N812">
        <v>0</v>
      </c>
    </row>
    <row r="813" spans="1:14" x14ac:dyDescent="0.25">
      <c r="A813">
        <v>648.05144800000005</v>
      </c>
      <c r="B813" s="1">
        <f>DATE(2012,2,8) + TIME(1,14,5)</f>
        <v>40947.051446759258</v>
      </c>
      <c r="C813">
        <v>80</v>
      </c>
      <c r="D813">
        <v>70.049186707000004</v>
      </c>
      <c r="E813">
        <v>40</v>
      </c>
      <c r="F813">
        <v>39.936866760000001</v>
      </c>
      <c r="G813">
        <v>1328.9528809000001</v>
      </c>
      <c r="H813">
        <v>1328.0510254000001</v>
      </c>
      <c r="I813">
        <v>1333.8944091999999</v>
      </c>
      <c r="J813">
        <v>1332.5039062000001</v>
      </c>
      <c r="K813">
        <v>0</v>
      </c>
      <c r="L813">
        <v>550</v>
      </c>
      <c r="M813">
        <v>550</v>
      </c>
      <c r="N813">
        <v>0</v>
      </c>
    </row>
    <row r="814" spans="1:14" x14ac:dyDescent="0.25">
      <c r="A814">
        <v>651.696956</v>
      </c>
      <c r="B814" s="1">
        <f>DATE(2012,2,11) + TIME(16,43,37)</f>
        <v>40950.696956018517</v>
      </c>
      <c r="C814">
        <v>80</v>
      </c>
      <c r="D814">
        <v>69.634284973000007</v>
      </c>
      <c r="E814">
        <v>40</v>
      </c>
      <c r="F814">
        <v>39.936901093000003</v>
      </c>
      <c r="G814">
        <v>1328.9187012</v>
      </c>
      <c r="H814">
        <v>1328.0058594</v>
      </c>
      <c r="I814">
        <v>1333.8933105000001</v>
      </c>
      <c r="J814">
        <v>1332.5036620999999</v>
      </c>
      <c r="K814">
        <v>0</v>
      </c>
      <c r="L814">
        <v>550</v>
      </c>
      <c r="M814">
        <v>550</v>
      </c>
      <c r="N814">
        <v>0</v>
      </c>
    </row>
    <row r="815" spans="1:14" x14ac:dyDescent="0.25">
      <c r="A815">
        <v>655.44437200000004</v>
      </c>
      <c r="B815" s="1">
        <f>DATE(2012,2,15) + TIME(10,39,53)</f>
        <v>40954.444363425922</v>
      </c>
      <c r="C815">
        <v>80</v>
      </c>
      <c r="D815">
        <v>69.203933715999995</v>
      </c>
      <c r="E815">
        <v>40</v>
      </c>
      <c r="F815">
        <v>39.936935425000001</v>
      </c>
      <c r="G815">
        <v>1328.8845214999999</v>
      </c>
      <c r="H815">
        <v>1327.9602050999999</v>
      </c>
      <c r="I815">
        <v>1333.8922118999999</v>
      </c>
      <c r="J815">
        <v>1332.503418</v>
      </c>
      <c r="K815">
        <v>0</v>
      </c>
      <c r="L815">
        <v>550</v>
      </c>
      <c r="M815">
        <v>550</v>
      </c>
      <c r="N815">
        <v>0</v>
      </c>
    </row>
    <row r="816" spans="1:14" x14ac:dyDescent="0.25">
      <c r="A816">
        <v>659.31547599999999</v>
      </c>
      <c r="B816" s="1">
        <f>DATE(2012,2,19) + TIME(7,34,17)</f>
        <v>40958.315474537034</v>
      </c>
      <c r="C816">
        <v>80</v>
      </c>
      <c r="D816">
        <v>68.759384155000006</v>
      </c>
      <c r="E816">
        <v>40</v>
      </c>
      <c r="F816">
        <v>39.936969757</v>
      </c>
      <c r="G816">
        <v>1328.8503418</v>
      </c>
      <c r="H816">
        <v>1327.9146728999999</v>
      </c>
      <c r="I816">
        <v>1333.8911132999999</v>
      </c>
      <c r="J816">
        <v>1332.5032959</v>
      </c>
      <c r="K816">
        <v>0</v>
      </c>
      <c r="L816">
        <v>550</v>
      </c>
      <c r="M816">
        <v>550</v>
      </c>
      <c r="N816">
        <v>0</v>
      </c>
    </row>
    <row r="817" spans="1:14" x14ac:dyDescent="0.25">
      <c r="A817">
        <v>663.34553800000003</v>
      </c>
      <c r="B817" s="1">
        <f>DATE(2012,2,23) + TIME(8,17,34)</f>
        <v>40962.345532407409</v>
      </c>
      <c r="C817">
        <v>80</v>
      </c>
      <c r="D817">
        <v>68.299255371000001</v>
      </c>
      <c r="E817">
        <v>40</v>
      </c>
      <c r="F817">
        <v>39.937004088999998</v>
      </c>
      <c r="G817">
        <v>1328.8162841999999</v>
      </c>
      <c r="H817">
        <v>1327.8691406</v>
      </c>
      <c r="I817">
        <v>1333.8898925999999</v>
      </c>
      <c r="J817">
        <v>1332.5031738</v>
      </c>
      <c r="K817">
        <v>0</v>
      </c>
      <c r="L817">
        <v>550</v>
      </c>
      <c r="M817">
        <v>550</v>
      </c>
      <c r="N817">
        <v>0</v>
      </c>
    </row>
    <row r="818" spans="1:14" x14ac:dyDescent="0.25">
      <c r="A818">
        <v>667.51667299999997</v>
      </c>
      <c r="B818" s="1">
        <f>DATE(2012,2,27) + TIME(12,24,0)</f>
        <v>40966.51666666667</v>
      </c>
      <c r="C818">
        <v>80</v>
      </c>
      <c r="D818">
        <v>67.823089600000003</v>
      </c>
      <c r="E818">
        <v>40</v>
      </c>
      <c r="F818">
        <v>39.937038422000001</v>
      </c>
      <c r="G818">
        <v>1328.7821045000001</v>
      </c>
      <c r="H818">
        <v>1327.8234863</v>
      </c>
      <c r="I818">
        <v>1333.8886719</v>
      </c>
      <c r="J818">
        <v>1332.5030518000001</v>
      </c>
      <c r="K818">
        <v>0</v>
      </c>
      <c r="L818">
        <v>550</v>
      </c>
      <c r="M818">
        <v>550</v>
      </c>
      <c r="N818">
        <v>0</v>
      </c>
    </row>
    <row r="819" spans="1:14" x14ac:dyDescent="0.25">
      <c r="A819">
        <v>670</v>
      </c>
      <c r="B819" s="1">
        <f>DATE(2012,3,1) + TIME(0,0,0)</f>
        <v>40969</v>
      </c>
      <c r="C819">
        <v>80</v>
      </c>
      <c r="D819">
        <v>67.435813904</v>
      </c>
      <c r="E819">
        <v>40</v>
      </c>
      <c r="F819">
        <v>39.937049866000002</v>
      </c>
      <c r="G819">
        <v>1328.7479248</v>
      </c>
      <c r="H819">
        <v>1327.7791748</v>
      </c>
      <c r="I819">
        <v>1333.8874512</v>
      </c>
      <c r="J819">
        <v>1332.5029297000001</v>
      </c>
      <c r="K819">
        <v>0</v>
      </c>
      <c r="L819">
        <v>550</v>
      </c>
      <c r="M819">
        <v>550</v>
      </c>
      <c r="N819">
        <v>0</v>
      </c>
    </row>
    <row r="820" spans="1:14" x14ac:dyDescent="0.25">
      <c r="A820">
        <v>674.22107800000003</v>
      </c>
      <c r="B820" s="1">
        <f>DATE(2012,3,5) + TIME(5,18,21)</f>
        <v>40973.221076388887</v>
      </c>
      <c r="C820">
        <v>80</v>
      </c>
      <c r="D820">
        <v>67.007415770999998</v>
      </c>
      <c r="E820">
        <v>40</v>
      </c>
      <c r="F820">
        <v>39.937088013</v>
      </c>
      <c r="G820">
        <v>1328.7247314000001</v>
      </c>
      <c r="H820">
        <v>1327.744751</v>
      </c>
      <c r="I820">
        <v>1333.8867187999999</v>
      </c>
      <c r="J820">
        <v>1332.5029297000001</v>
      </c>
      <c r="K820">
        <v>0</v>
      </c>
      <c r="L820">
        <v>550</v>
      </c>
      <c r="M820">
        <v>550</v>
      </c>
      <c r="N820">
        <v>0</v>
      </c>
    </row>
    <row r="821" spans="1:14" x14ac:dyDescent="0.25">
      <c r="A821">
        <v>678.57162500000004</v>
      </c>
      <c r="B821" s="1">
        <f>DATE(2012,3,9) + TIME(13,43,8)</f>
        <v>40977.571620370371</v>
      </c>
      <c r="C821">
        <v>80</v>
      </c>
      <c r="D821">
        <v>66.531616210999999</v>
      </c>
      <c r="E821">
        <v>40</v>
      </c>
      <c r="F821">
        <v>39.937122344999999</v>
      </c>
      <c r="G821">
        <v>1328.6938477000001</v>
      </c>
      <c r="H821">
        <v>1327.7045897999999</v>
      </c>
      <c r="I821">
        <v>1333.885376</v>
      </c>
      <c r="J821">
        <v>1332.5028076000001</v>
      </c>
      <c r="K821">
        <v>0</v>
      </c>
      <c r="L821">
        <v>550</v>
      </c>
      <c r="M821">
        <v>550</v>
      </c>
      <c r="N821">
        <v>0</v>
      </c>
    </row>
    <row r="822" spans="1:14" x14ac:dyDescent="0.25">
      <c r="A822">
        <v>683.04069800000002</v>
      </c>
      <c r="B822" s="1">
        <f>DATE(2012,3,14) + TIME(0,58,36)</f>
        <v>40982.040694444448</v>
      </c>
      <c r="C822">
        <v>80</v>
      </c>
      <c r="D822">
        <v>66.030883789000001</v>
      </c>
      <c r="E822">
        <v>40</v>
      </c>
      <c r="F822">
        <v>39.937152863000001</v>
      </c>
      <c r="G822">
        <v>1328.6622314000001</v>
      </c>
      <c r="H822">
        <v>1327.6627197</v>
      </c>
      <c r="I822">
        <v>1333.8840332</v>
      </c>
      <c r="J822">
        <v>1332.5028076000001</v>
      </c>
      <c r="K822">
        <v>0</v>
      </c>
      <c r="L822">
        <v>550</v>
      </c>
      <c r="M822">
        <v>550</v>
      </c>
      <c r="N822">
        <v>0</v>
      </c>
    </row>
    <row r="823" spans="1:14" x14ac:dyDescent="0.25">
      <c r="A823">
        <v>687.66091400000005</v>
      </c>
      <c r="B823" s="1">
        <f>DATE(2012,3,18) + TIME(15,51,42)</f>
        <v>40986.660902777781</v>
      </c>
      <c r="C823">
        <v>80</v>
      </c>
      <c r="D823">
        <v>65.512771606000001</v>
      </c>
      <c r="E823">
        <v>40</v>
      </c>
      <c r="F823">
        <v>39.937187195</v>
      </c>
      <c r="G823">
        <v>1328.6306152</v>
      </c>
      <c r="H823">
        <v>1327.6203613</v>
      </c>
      <c r="I823">
        <v>1333.8826904</v>
      </c>
      <c r="J823">
        <v>1332.5028076000001</v>
      </c>
      <c r="K823">
        <v>0</v>
      </c>
      <c r="L823">
        <v>550</v>
      </c>
      <c r="M823">
        <v>550</v>
      </c>
      <c r="N823">
        <v>0</v>
      </c>
    </row>
    <row r="824" spans="1:14" x14ac:dyDescent="0.25">
      <c r="A824">
        <v>692.47028399999999</v>
      </c>
      <c r="B824" s="1">
        <f>DATE(2012,3,23) + TIME(11,17,12)</f>
        <v>40991.470277777778</v>
      </c>
      <c r="C824">
        <v>80</v>
      </c>
      <c r="D824">
        <v>64.977783203000001</v>
      </c>
      <c r="E824">
        <v>40</v>
      </c>
      <c r="F824">
        <v>39.937221526999998</v>
      </c>
      <c r="G824">
        <v>1328.598999</v>
      </c>
      <c r="H824">
        <v>1327.578125</v>
      </c>
      <c r="I824">
        <v>1333.8812256000001</v>
      </c>
      <c r="J824">
        <v>1332.5029297000001</v>
      </c>
      <c r="K824">
        <v>0</v>
      </c>
      <c r="L824">
        <v>550</v>
      </c>
      <c r="M824">
        <v>550</v>
      </c>
      <c r="N824">
        <v>0</v>
      </c>
    </row>
    <row r="825" spans="1:14" x14ac:dyDescent="0.25">
      <c r="A825">
        <v>697.41831000000002</v>
      </c>
      <c r="B825" s="1">
        <f>DATE(2012,3,28) + TIME(10,2,22)</f>
        <v>40996.418310185189</v>
      </c>
      <c r="C825">
        <v>80</v>
      </c>
      <c r="D825">
        <v>64.427139281999999</v>
      </c>
      <c r="E825">
        <v>40</v>
      </c>
      <c r="F825">
        <v>39.937255858999997</v>
      </c>
      <c r="G825">
        <v>1328.5675048999999</v>
      </c>
      <c r="H825">
        <v>1327.5358887</v>
      </c>
      <c r="I825">
        <v>1333.8796387</v>
      </c>
      <c r="J825">
        <v>1332.5029297000001</v>
      </c>
      <c r="K825">
        <v>0</v>
      </c>
      <c r="L825">
        <v>550</v>
      </c>
      <c r="M825">
        <v>550</v>
      </c>
      <c r="N825">
        <v>0</v>
      </c>
    </row>
    <row r="826" spans="1:14" x14ac:dyDescent="0.25">
      <c r="A826">
        <v>701</v>
      </c>
      <c r="B826" s="1">
        <f>DATE(2012,4,1) + TIME(0,0,0)</f>
        <v>41000</v>
      </c>
      <c r="C826">
        <v>80</v>
      </c>
      <c r="D826">
        <v>63.930877686000002</v>
      </c>
      <c r="E826">
        <v>40</v>
      </c>
      <c r="F826">
        <v>39.937267302999999</v>
      </c>
      <c r="G826">
        <v>1328.5362548999999</v>
      </c>
      <c r="H826">
        <v>1327.4948730000001</v>
      </c>
      <c r="I826">
        <v>1333.8780518000001</v>
      </c>
      <c r="J826">
        <v>1332.5029297000001</v>
      </c>
      <c r="K826">
        <v>0</v>
      </c>
      <c r="L826">
        <v>550</v>
      </c>
      <c r="M826">
        <v>550</v>
      </c>
      <c r="N826">
        <v>0</v>
      </c>
    </row>
    <row r="827" spans="1:14" x14ac:dyDescent="0.25">
      <c r="A827">
        <v>706.043857</v>
      </c>
      <c r="B827" s="1">
        <f>DATE(2012,4,6) + TIME(1,3,9)</f>
        <v>41005.043854166666</v>
      </c>
      <c r="C827">
        <v>80</v>
      </c>
      <c r="D827">
        <v>63.429553986000002</v>
      </c>
      <c r="E827">
        <v>40</v>
      </c>
      <c r="F827">
        <v>39.937309265000003</v>
      </c>
      <c r="G827">
        <v>1328.512207</v>
      </c>
      <c r="H827">
        <v>1327.4599608999999</v>
      </c>
      <c r="I827">
        <v>1333.8769531</v>
      </c>
      <c r="J827">
        <v>1332.5029297000001</v>
      </c>
      <c r="K827">
        <v>0</v>
      </c>
      <c r="L827">
        <v>550</v>
      </c>
      <c r="M827">
        <v>550</v>
      </c>
      <c r="N827">
        <v>0</v>
      </c>
    </row>
    <row r="828" spans="1:14" x14ac:dyDescent="0.25">
      <c r="A828">
        <v>711.32809799999995</v>
      </c>
      <c r="B828" s="1">
        <f>DATE(2012,4,11) + TIME(7,52,27)</f>
        <v>41010.328090277777</v>
      </c>
      <c r="C828">
        <v>80</v>
      </c>
      <c r="D828">
        <v>62.875686645999998</v>
      </c>
      <c r="E828">
        <v>40</v>
      </c>
      <c r="F828">
        <v>39.937347412000001</v>
      </c>
      <c r="G828">
        <v>1328.4841309000001</v>
      </c>
      <c r="H828">
        <v>1327.4232178</v>
      </c>
      <c r="I828">
        <v>1333.8753661999999</v>
      </c>
      <c r="J828">
        <v>1332.5030518000001</v>
      </c>
      <c r="K828">
        <v>0</v>
      </c>
      <c r="L828">
        <v>550</v>
      </c>
      <c r="M828">
        <v>550</v>
      </c>
      <c r="N828">
        <v>0</v>
      </c>
    </row>
    <row r="829" spans="1:14" x14ac:dyDescent="0.25">
      <c r="A829">
        <v>716.80707099999995</v>
      </c>
      <c r="B829" s="1">
        <f>DATE(2012,4,16) + TIME(19,22,10)</f>
        <v>41015.807060185187</v>
      </c>
      <c r="C829">
        <v>80</v>
      </c>
      <c r="D829">
        <v>62.292201996000003</v>
      </c>
      <c r="E829">
        <v>40</v>
      </c>
      <c r="F829">
        <v>39.937385558999999</v>
      </c>
      <c r="G829">
        <v>1328.4554443</v>
      </c>
      <c r="H829">
        <v>1327.3850098</v>
      </c>
      <c r="I829">
        <v>1333.8735352000001</v>
      </c>
      <c r="J829">
        <v>1332.5030518000001</v>
      </c>
      <c r="K829">
        <v>0</v>
      </c>
      <c r="L829">
        <v>550</v>
      </c>
      <c r="M829">
        <v>550</v>
      </c>
      <c r="N829">
        <v>0</v>
      </c>
    </row>
    <row r="830" spans="1:14" x14ac:dyDescent="0.25">
      <c r="A830">
        <v>722.52004899999997</v>
      </c>
      <c r="B830" s="1">
        <f>DATE(2012,4,22) + TIME(12,28,52)</f>
        <v>41021.520046296297</v>
      </c>
      <c r="C830">
        <v>80</v>
      </c>
      <c r="D830">
        <v>61.687770843999999</v>
      </c>
      <c r="E830">
        <v>40</v>
      </c>
      <c r="F830">
        <v>39.937423705999997</v>
      </c>
      <c r="G830">
        <v>1328.4268798999999</v>
      </c>
      <c r="H830">
        <v>1327.3466797000001</v>
      </c>
      <c r="I830">
        <v>1333.8718262</v>
      </c>
      <c r="J830">
        <v>1332.5030518000001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728.36538099999996</v>
      </c>
      <c r="B831" s="1">
        <f>DATE(2012,4,28) + TIME(8,46,8)</f>
        <v>41027.365370370368</v>
      </c>
      <c r="C831">
        <v>80</v>
      </c>
      <c r="D831">
        <v>61.067222594999997</v>
      </c>
      <c r="E831">
        <v>40</v>
      </c>
      <c r="F831">
        <v>39.937465668000002</v>
      </c>
      <c r="G831">
        <v>1328.3984375</v>
      </c>
      <c r="H831">
        <v>1327.3085937999999</v>
      </c>
      <c r="I831">
        <v>1333.8698730000001</v>
      </c>
      <c r="J831">
        <v>1332.5030518000001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731</v>
      </c>
      <c r="B832" s="1">
        <f>DATE(2012,5,1) + TIME(0,0,0)</f>
        <v>41030</v>
      </c>
      <c r="C832">
        <v>80</v>
      </c>
      <c r="D832">
        <v>60.606060028000002</v>
      </c>
      <c r="E832">
        <v>40</v>
      </c>
      <c r="F832">
        <v>39.937458038000003</v>
      </c>
      <c r="G832">
        <v>1328.3699951000001</v>
      </c>
      <c r="H832">
        <v>1327.2724608999999</v>
      </c>
      <c r="I832">
        <v>1333.8679199000001</v>
      </c>
      <c r="J832">
        <v>1332.5030518000001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731.000001</v>
      </c>
      <c r="B833" s="1">
        <f>DATE(2012,5,1) + TIME(0,0,0)</f>
        <v>41030</v>
      </c>
      <c r="C833">
        <v>80</v>
      </c>
      <c r="D833">
        <v>60.606105804000002</v>
      </c>
      <c r="E833">
        <v>40</v>
      </c>
      <c r="F833">
        <v>39.937438964999998</v>
      </c>
      <c r="G833">
        <v>1329.9438477000001</v>
      </c>
      <c r="H833">
        <v>1328.6424560999999</v>
      </c>
      <c r="I833">
        <v>1332.3260498</v>
      </c>
      <c r="J833">
        <v>1331.6019286999999</v>
      </c>
      <c r="K833">
        <v>550</v>
      </c>
      <c r="L833">
        <v>0</v>
      </c>
      <c r="M833">
        <v>0</v>
      </c>
      <c r="N833">
        <v>550</v>
      </c>
    </row>
    <row r="834" spans="1:14" x14ac:dyDescent="0.25">
      <c r="A834">
        <v>731.00000399999999</v>
      </c>
      <c r="B834" s="1">
        <f>DATE(2012,5,1) + TIME(0,0,0)</f>
        <v>41030</v>
      </c>
      <c r="C834">
        <v>80</v>
      </c>
      <c r="D834">
        <v>60.606193542</v>
      </c>
      <c r="E834">
        <v>40</v>
      </c>
      <c r="F834">
        <v>39.937393188000001</v>
      </c>
      <c r="G834">
        <v>1330.3474120999999</v>
      </c>
      <c r="H834">
        <v>1329.1289062000001</v>
      </c>
      <c r="I834">
        <v>1331.9616699000001</v>
      </c>
      <c r="J834">
        <v>1331.2374268000001</v>
      </c>
      <c r="K834">
        <v>550</v>
      </c>
      <c r="L834">
        <v>0</v>
      </c>
      <c r="M834">
        <v>0</v>
      </c>
      <c r="N834">
        <v>550</v>
      </c>
    </row>
    <row r="835" spans="1:14" x14ac:dyDescent="0.25">
      <c r="A835">
        <v>731.00001299999997</v>
      </c>
      <c r="B835" s="1">
        <f>DATE(2012,5,1) + TIME(0,0,1)</f>
        <v>41030.000011574077</v>
      </c>
      <c r="C835">
        <v>80</v>
      </c>
      <c r="D835">
        <v>60.606357574</v>
      </c>
      <c r="E835">
        <v>40</v>
      </c>
      <c r="F835">
        <v>39.937328338999997</v>
      </c>
      <c r="G835">
        <v>1330.9659423999999</v>
      </c>
      <c r="H835">
        <v>1329.7666016000001</v>
      </c>
      <c r="I835">
        <v>1331.4188231999999</v>
      </c>
      <c r="J835">
        <v>1330.6940918</v>
      </c>
      <c r="K835">
        <v>550</v>
      </c>
      <c r="L835">
        <v>0</v>
      </c>
      <c r="M835">
        <v>0</v>
      </c>
      <c r="N835">
        <v>550</v>
      </c>
    </row>
    <row r="836" spans="1:14" x14ac:dyDescent="0.25">
      <c r="A836">
        <v>731.00004000000001</v>
      </c>
      <c r="B836" s="1">
        <f>DATE(2012,5,1) + TIME(0,0,3)</f>
        <v>41030.000034722223</v>
      </c>
      <c r="C836">
        <v>80</v>
      </c>
      <c r="D836">
        <v>60.606685638000002</v>
      </c>
      <c r="E836">
        <v>40</v>
      </c>
      <c r="F836">
        <v>39.937255858999997</v>
      </c>
      <c r="G836">
        <v>1331.6823730000001</v>
      </c>
      <c r="H836">
        <v>1330.4539795000001</v>
      </c>
      <c r="I836">
        <v>1330.8103027</v>
      </c>
      <c r="J836">
        <v>1330.0838623</v>
      </c>
      <c r="K836">
        <v>550</v>
      </c>
      <c r="L836">
        <v>0</v>
      </c>
      <c r="M836">
        <v>0</v>
      </c>
      <c r="N836">
        <v>550</v>
      </c>
    </row>
    <row r="837" spans="1:14" x14ac:dyDescent="0.25">
      <c r="A837">
        <v>731.00012100000004</v>
      </c>
      <c r="B837" s="1">
        <f>DATE(2012,5,1) + TIME(0,0,10)</f>
        <v>41030.000115740739</v>
      </c>
      <c r="C837">
        <v>80</v>
      </c>
      <c r="D837">
        <v>60.607509612999998</v>
      </c>
      <c r="E837">
        <v>40</v>
      </c>
      <c r="F837">
        <v>39.937175750999998</v>
      </c>
      <c r="G837">
        <v>1332.4064940999999</v>
      </c>
      <c r="H837">
        <v>1331.1447754000001</v>
      </c>
      <c r="I837">
        <v>1330.1994629000001</v>
      </c>
      <c r="J837">
        <v>1329.4630127</v>
      </c>
      <c r="K837">
        <v>550</v>
      </c>
      <c r="L837">
        <v>0</v>
      </c>
      <c r="M837">
        <v>0</v>
      </c>
      <c r="N837">
        <v>550</v>
      </c>
    </row>
    <row r="838" spans="1:14" x14ac:dyDescent="0.25">
      <c r="A838">
        <v>731.00036399999999</v>
      </c>
      <c r="B838" s="1">
        <f>DATE(2012,5,1) + TIME(0,0,31)</f>
        <v>41030.000358796293</v>
      </c>
      <c r="C838">
        <v>80</v>
      </c>
      <c r="D838">
        <v>60.609840392999999</v>
      </c>
      <c r="E838">
        <v>40</v>
      </c>
      <c r="F838">
        <v>39.937091827000003</v>
      </c>
      <c r="G838">
        <v>1333.0849608999999</v>
      </c>
      <c r="H838">
        <v>1331.7929687999999</v>
      </c>
      <c r="I838">
        <v>1329.6121826000001</v>
      </c>
      <c r="J838">
        <v>1328.8469238</v>
      </c>
      <c r="K838">
        <v>550</v>
      </c>
      <c r="L838">
        <v>0</v>
      </c>
      <c r="M838">
        <v>0</v>
      </c>
      <c r="N838">
        <v>550</v>
      </c>
    </row>
    <row r="839" spans="1:14" x14ac:dyDescent="0.25">
      <c r="A839">
        <v>731.00109299999997</v>
      </c>
      <c r="B839" s="1">
        <f>DATE(2012,5,1) + TIME(0,1,34)</f>
        <v>41030.001087962963</v>
      </c>
      <c r="C839">
        <v>80</v>
      </c>
      <c r="D839">
        <v>60.616771698000001</v>
      </c>
      <c r="E839">
        <v>40</v>
      </c>
      <c r="F839">
        <v>39.936992644999997</v>
      </c>
      <c r="G839">
        <v>1333.6132812000001</v>
      </c>
      <c r="H839">
        <v>1332.2980957</v>
      </c>
      <c r="I839">
        <v>1329.1258545000001</v>
      </c>
      <c r="J839">
        <v>1328.3218993999999</v>
      </c>
      <c r="K839">
        <v>550</v>
      </c>
      <c r="L839">
        <v>0</v>
      </c>
      <c r="M839">
        <v>0</v>
      </c>
      <c r="N839">
        <v>550</v>
      </c>
    </row>
    <row r="840" spans="1:14" x14ac:dyDescent="0.25">
      <c r="A840">
        <v>731.00328000000002</v>
      </c>
      <c r="B840" s="1">
        <f>DATE(2012,5,1) + TIME(0,4,43)</f>
        <v>41030.003275462965</v>
      </c>
      <c r="C840">
        <v>80</v>
      </c>
      <c r="D840">
        <v>60.637542725000003</v>
      </c>
      <c r="E840">
        <v>40</v>
      </c>
      <c r="F840">
        <v>39.936820984000001</v>
      </c>
      <c r="G840">
        <v>1333.9235839999999</v>
      </c>
      <c r="H840">
        <v>1332.5982666</v>
      </c>
      <c r="I840">
        <v>1328.8095702999999</v>
      </c>
      <c r="J840">
        <v>1327.980957</v>
      </c>
      <c r="K840">
        <v>550</v>
      </c>
      <c r="L840">
        <v>0</v>
      </c>
      <c r="M840">
        <v>0</v>
      </c>
      <c r="N840">
        <v>550</v>
      </c>
    </row>
    <row r="841" spans="1:14" x14ac:dyDescent="0.25">
      <c r="A841">
        <v>731.00984100000005</v>
      </c>
      <c r="B841" s="1">
        <f>DATE(2012,5,1) + TIME(0,14,10)</f>
        <v>41030.009837962964</v>
      </c>
      <c r="C841">
        <v>80</v>
      </c>
      <c r="D841">
        <v>60.699699402</v>
      </c>
      <c r="E841">
        <v>40</v>
      </c>
      <c r="F841">
        <v>39.936408997000001</v>
      </c>
      <c r="G841">
        <v>1334.0638428</v>
      </c>
      <c r="H841">
        <v>1332.7366943</v>
      </c>
      <c r="I841">
        <v>1328.6591797000001</v>
      </c>
      <c r="J841">
        <v>1327.8218993999999</v>
      </c>
      <c r="K841">
        <v>550</v>
      </c>
      <c r="L841">
        <v>0</v>
      </c>
      <c r="M841">
        <v>0</v>
      </c>
      <c r="N841">
        <v>550</v>
      </c>
    </row>
    <row r="842" spans="1:14" x14ac:dyDescent="0.25">
      <c r="A842">
        <v>731.02952400000004</v>
      </c>
      <c r="B842" s="1">
        <f>DATE(2012,5,1) + TIME(0,42,30)</f>
        <v>41030.029513888891</v>
      </c>
      <c r="C842">
        <v>80</v>
      </c>
      <c r="D842">
        <v>60.884418488000001</v>
      </c>
      <c r="E842">
        <v>40</v>
      </c>
      <c r="F842">
        <v>39.935222625999998</v>
      </c>
      <c r="G842">
        <v>1334.1082764</v>
      </c>
      <c r="H842">
        <v>1332.7836914</v>
      </c>
      <c r="I842">
        <v>1328.6192627</v>
      </c>
      <c r="J842">
        <v>1327.7801514</v>
      </c>
      <c r="K842">
        <v>550</v>
      </c>
      <c r="L842">
        <v>0</v>
      </c>
      <c r="M842">
        <v>0</v>
      </c>
      <c r="N842">
        <v>550</v>
      </c>
    </row>
    <row r="843" spans="1:14" x14ac:dyDescent="0.25">
      <c r="A843">
        <v>731.088573</v>
      </c>
      <c r="B843" s="1">
        <f>DATE(2012,5,1) + TIME(2,7,32)</f>
        <v>41030.088564814818</v>
      </c>
      <c r="C843">
        <v>80</v>
      </c>
      <c r="D843">
        <v>61.423080444</v>
      </c>
      <c r="E843">
        <v>40</v>
      </c>
      <c r="F843">
        <v>39.931709290000001</v>
      </c>
      <c r="G843">
        <v>1334.1071777</v>
      </c>
      <c r="H843">
        <v>1332.7917480000001</v>
      </c>
      <c r="I843">
        <v>1328.6165771000001</v>
      </c>
      <c r="J843">
        <v>1327.7770995999999</v>
      </c>
      <c r="K843">
        <v>550</v>
      </c>
      <c r="L843">
        <v>0</v>
      </c>
      <c r="M843">
        <v>0</v>
      </c>
      <c r="N843">
        <v>550</v>
      </c>
    </row>
    <row r="844" spans="1:14" x14ac:dyDescent="0.25">
      <c r="A844">
        <v>731.16771200000005</v>
      </c>
      <c r="B844" s="1">
        <f>DATE(2012,5,1) + TIME(4,1,30)</f>
        <v>41030.167708333334</v>
      </c>
      <c r="C844">
        <v>80</v>
      </c>
      <c r="D844">
        <v>62.123703003000003</v>
      </c>
      <c r="E844">
        <v>40</v>
      </c>
      <c r="F844">
        <v>39.927043914999999</v>
      </c>
      <c r="G844">
        <v>1334.1186522999999</v>
      </c>
      <c r="H844">
        <v>1332.8045654</v>
      </c>
      <c r="I844">
        <v>1328.6170654</v>
      </c>
      <c r="J844">
        <v>1327.7770995999999</v>
      </c>
      <c r="K844">
        <v>550</v>
      </c>
      <c r="L844">
        <v>0</v>
      </c>
      <c r="M844">
        <v>0</v>
      </c>
      <c r="N844">
        <v>550</v>
      </c>
    </row>
    <row r="845" spans="1:14" x14ac:dyDescent="0.25">
      <c r="A845">
        <v>731.24842999999998</v>
      </c>
      <c r="B845" s="1">
        <f>DATE(2012,5,1) + TIME(5,57,44)</f>
        <v>41030.248425925929</v>
      </c>
      <c r="C845">
        <v>80</v>
      </c>
      <c r="D845">
        <v>62.819759369000003</v>
      </c>
      <c r="E845">
        <v>40</v>
      </c>
      <c r="F845">
        <v>39.922317505000002</v>
      </c>
      <c r="G845">
        <v>1334.1446533000001</v>
      </c>
      <c r="H845">
        <v>1332.8255615</v>
      </c>
      <c r="I845">
        <v>1328.6175536999999</v>
      </c>
      <c r="J845">
        <v>1327.7768555</v>
      </c>
      <c r="K845">
        <v>550</v>
      </c>
      <c r="L845">
        <v>0</v>
      </c>
      <c r="M845">
        <v>0</v>
      </c>
      <c r="N845">
        <v>550</v>
      </c>
    </row>
    <row r="846" spans="1:14" x14ac:dyDescent="0.25">
      <c r="A846">
        <v>731.33079299999997</v>
      </c>
      <c r="B846" s="1">
        <f>DATE(2012,5,1) + TIME(7,56,20)</f>
        <v>41030.330787037034</v>
      </c>
      <c r="C846">
        <v>80</v>
      </c>
      <c r="D846">
        <v>63.510932922000002</v>
      </c>
      <c r="E846">
        <v>40</v>
      </c>
      <c r="F846">
        <v>39.917522429999998</v>
      </c>
      <c r="G846">
        <v>1334.1727295000001</v>
      </c>
      <c r="H846">
        <v>1332.8477783000001</v>
      </c>
      <c r="I846">
        <v>1328.6180420000001</v>
      </c>
      <c r="J846">
        <v>1327.7766113</v>
      </c>
      <c r="K846">
        <v>550</v>
      </c>
      <c r="L846">
        <v>0</v>
      </c>
      <c r="M846">
        <v>0</v>
      </c>
      <c r="N846">
        <v>550</v>
      </c>
    </row>
    <row r="847" spans="1:14" x14ac:dyDescent="0.25">
      <c r="A847">
        <v>731.41486599999996</v>
      </c>
      <c r="B847" s="1">
        <f>DATE(2012,5,1) + TIME(9,57,24)</f>
        <v>41030.414861111109</v>
      </c>
      <c r="C847">
        <v>80</v>
      </c>
      <c r="D847">
        <v>64.196792603000006</v>
      </c>
      <c r="E847">
        <v>40</v>
      </c>
      <c r="F847">
        <v>39.912658690999997</v>
      </c>
      <c r="G847">
        <v>1334.2027588000001</v>
      </c>
      <c r="H847">
        <v>1332.8712158000001</v>
      </c>
      <c r="I847">
        <v>1328.6184082</v>
      </c>
      <c r="J847">
        <v>1327.7762451000001</v>
      </c>
      <c r="K847">
        <v>550</v>
      </c>
      <c r="L847">
        <v>0</v>
      </c>
      <c r="M847">
        <v>0</v>
      </c>
      <c r="N847">
        <v>550</v>
      </c>
    </row>
    <row r="848" spans="1:14" x14ac:dyDescent="0.25">
      <c r="A848">
        <v>731.50071700000001</v>
      </c>
      <c r="B848" s="1">
        <f>DATE(2012,5,1) + TIME(12,1,1)</f>
        <v>41030.500706018516</v>
      </c>
      <c r="C848">
        <v>80</v>
      </c>
      <c r="D848">
        <v>64.876823424999998</v>
      </c>
      <c r="E848">
        <v>40</v>
      </c>
      <c r="F848">
        <v>39.907722473</v>
      </c>
      <c r="G848">
        <v>1334.2347411999999</v>
      </c>
      <c r="H848">
        <v>1332.895874</v>
      </c>
      <c r="I848">
        <v>1328.6188964999999</v>
      </c>
      <c r="J848">
        <v>1327.7758789</v>
      </c>
      <c r="K848">
        <v>550</v>
      </c>
      <c r="L848">
        <v>0</v>
      </c>
      <c r="M848">
        <v>0</v>
      </c>
      <c r="N848">
        <v>550</v>
      </c>
    </row>
    <row r="849" spans="1:14" x14ac:dyDescent="0.25">
      <c r="A849">
        <v>731.58841800000005</v>
      </c>
      <c r="B849" s="1">
        <f>DATE(2012,5,1) + TIME(14,7,19)</f>
        <v>41030.588414351849</v>
      </c>
      <c r="C849">
        <v>80</v>
      </c>
      <c r="D849">
        <v>65.550613403</v>
      </c>
      <c r="E849">
        <v>40</v>
      </c>
      <c r="F849">
        <v>39.902713775999999</v>
      </c>
      <c r="G849">
        <v>1334.2686768000001</v>
      </c>
      <c r="H849">
        <v>1332.9217529</v>
      </c>
      <c r="I849">
        <v>1328.6193848</v>
      </c>
      <c r="J849">
        <v>1327.7755127</v>
      </c>
      <c r="K849">
        <v>550</v>
      </c>
      <c r="L849">
        <v>0</v>
      </c>
      <c r="M849">
        <v>0</v>
      </c>
      <c r="N849">
        <v>550</v>
      </c>
    </row>
    <row r="850" spans="1:14" x14ac:dyDescent="0.25">
      <c r="A850">
        <v>731.678044</v>
      </c>
      <c r="B850" s="1">
        <f>DATE(2012,5,1) + TIME(16,16,23)</f>
        <v>41030.678043981483</v>
      </c>
      <c r="C850">
        <v>80</v>
      </c>
      <c r="D850">
        <v>66.217422485</v>
      </c>
      <c r="E850">
        <v>40</v>
      </c>
      <c r="F850">
        <v>39.897624968999999</v>
      </c>
      <c r="G850">
        <v>1334.3043213000001</v>
      </c>
      <c r="H850">
        <v>1332.9486084</v>
      </c>
      <c r="I850">
        <v>1328.619751</v>
      </c>
      <c r="J850">
        <v>1327.7750243999999</v>
      </c>
      <c r="K850">
        <v>550</v>
      </c>
      <c r="L850">
        <v>0</v>
      </c>
      <c r="M850">
        <v>0</v>
      </c>
      <c r="N850">
        <v>550</v>
      </c>
    </row>
    <row r="851" spans="1:14" x14ac:dyDescent="0.25">
      <c r="A851">
        <v>731.76966100000004</v>
      </c>
      <c r="B851" s="1">
        <f>DATE(2012,5,1) + TIME(18,28,18)</f>
        <v>41030.769652777781</v>
      </c>
      <c r="C851">
        <v>80</v>
      </c>
      <c r="D851">
        <v>66.876441955999994</v>
      </c>
      <c r="E851">
        <v>40</v>
      </c>
      <c r="F851">
        <v>39.892459869</v>
      </c>
      <c r="G851">
        <v>1334.3416748</v>
      </c>
      <c r="H851">
        <v>1332.9766846</v>
      </c>
      <c r="I851">
        <v>1328.6202393000001</v>
      </c>
      <c r="J851">
        <v>1327.7746582</v>
      </c>
      <c r="K851">
        <v>550</v>
      </c>
      <c r="L851">
        <v>0</v>
      </c>
      <c r="M851">
        <v>0</v>
      </c>
      <c r="N851">
        <v>550</v>
      </c>
    </row>
    <row r="852" spans="1:14" x14ac:dyDescent="0.25">
      <c r="A852">
        <v>731.86336400000005</v>
      </c>
      <c r="B852" s="1">
        <f>DATE(2012,5,1) + TIME(20,43,14)</f>
        <v>41030.863356481481</v>
      </c>
      <c r="C852">
        <v>80</v>
      </c>
      <c r="D852">
        <v>67.527000427000004</v>
      </c>
      <c r="E852">
        <v>40</v>
      </c>
      <c r="F852">
        <v>39.887210846000002</v>
      </c>
      <c r="G852">
        <v>1334.3804932</v>
      </c>
      <c r="H852">
        <v>1333.0056152</v>
      </c>
      <c r="I852">
        <v>1328.6207274999999</v>
      </c>
      <c r="J852">
        <v>1327.7741699000001</v>
      </c>
      <c r="K852">
        <v>550</v>
      </c>
      <c r="L852">
        <v>0</v>
      </c>
      <c r="M852">
        <v>0</v>
      </c>
      <c r="N852">
        <v>550</v>
      </c>
    </row>
    <row r="853" spans="1:14" x14ac:dyDescent="0.25">
      <c r="A853">
        <v>731.95925299999999</v>
      </c>
      <c r="B853" s="1">
        <f>DATE(2012,5,1) + TIME(23,1,19)</f>
        <v>41030.959247685183</v>
      </c>
      <c r="C853">
        <v>80</v>
      </c>
      <c r="D853">
        <v>68.168403624999996</v>
      </c>
      <c r="E853">
        <v>40</v>
      </c>
      <c r="F853">
        <v>39.881877899000003</v>
      </c>
      <c r="G853">
        <v>1334.4210204999999</v>
      </c>
      <c r="H853">
        <v>1333.0356445</v>
      </c>
      <c r="I853">
        <v>1328.6212158000001</v>
      </c>
      <c r="J853">
        <v>1327.7735596</v>
      </c>
      <c r="K853">
        <v>550</v>
      </c>
      <c r="L853">
        <v>0</v>
      </c>
      <c r="M853">
        <v>0</v>
      </c>
      <c r="N853">
        <v>550</v>
      </c>
    </row>
    <row r="854" spans="1:14" x14ac:dyDescent="0.25">
      <c r="A854">
        <v>732.05742999999995</v>
      </c>
      <c r="B854" s="1">
        <f>DATE(2012,5,2) + TIME(1,22,41)</f>
        <v>41031.05741898148</v>
      </c>
      <c r="C854">
        <v>80</v>
      </c>
      <c r="D854">
        <v>68.799827575999998</v>
      </c>
      <c r="E854">
        <v>40</v>
      </c>
      <c r="F854">
        <v>39.876449585000003</v>
      </c>
      <c r="G854">
        <v>1334.4627685999999</v>
      </c>
      <c r="H854">
        <v>1333.0664062000001</v>
      </c>
      <c r="I854">
        <v>1328.6217041</v>
      </c>
      <c r="J854">
        <v>1327.7730713000001</v>
      </c>
      <c r="K854">
        <v>550</v>
      </c>
      <c r="L854">
        <v>0</v>
      </c>
      <c r="M854">
        <v>0</v>
      </c>
      <c r="N854">
        <v>550</v>
      </c>
    </row>
    <row r="855" spans="1:14" x14ac:dyDescent="0.25">
      <c r="A855">
        <v>732.15800899999999</v>
      </c>
      <c r="B855" s="1">
        <f>DATE(2012,5,2) + TIME(3,47,31)</f>
        <v>41031.157997685186</v>
      </c>
      <c r="C855">
        <v>80</v>
      </c>
      <c r="D855">
        <v>69.420463561999995</v>
      </c>
      <c r="E855">
        <v>40</v>
      </c>
      <c r="F855">
        <v>39.870929717999999</v>
      </c>
      <c r="G855">
        <v>1334.5059814000001</v>
      </c>
      <c r="H855">
        <v>1333.0981445</v>
      </c>
      <c r="I855">
        <v>1328.6221923999999</v>
      </c>
      <c r="J855">
        <v>1327.7724608999999</v>
      </c>
      <c r="K855">
        <v>550</v>
      </c>
      <c r="L855">
        <v>0</v>
      </c>
      <c r="M855">
        <v>0</v>
      </c>
      <c r="N855">
        <v>550</v>
      </c>
    </row>
    <row r="856" spans="1:14" x14ac:dyDescent="0.25">
      <c r="A856">
        <v>732.26111200000003</v>
      </c>
      <c r="B856" s="1">
        <f>DATE(2012,5,2) + TIME(6,16,0)</f>
        <v>41031.261111111111</v>
      </c>
      <c r="C856">
        <v>80</v>
      </c>
      <c r="D856">
        <v>70.029441833000007</v>
      </c>
      <c r="E856">
        <v>40</v>
      </c>
      <c r="F856">
        <v>39.865310669000003</v>
      </c>
      <c r="G856">
        <v>1334.5504149999999</v>
      </c>
      <c r="H856">
        <v>1333.1304932</v>
      </c>
      <c r="I856">
        <v>1328.6225586</v>
      </c>
      <c r="J856">
        <v>1327.7718506000001</v>
      </c>
      <c r="K856">
        <v>550</v>
      </c>
      <c r="L856">
        <v>0</v>
      </c>
      <c r="M856">
        <v>0</v>
      </c>
      <c r="N856">
        <v>550</v>
      </c>
    </row>
    <row r="857" spans="1:14" x14ac:dyDescent="0.25">
      <c r="A857">
        <v>732.36687099999995</v>
      </c>
      <c r="B857" s="1">
        <f>DATE(2012,5,2) + TIME(8,48,17)</f>
        <v>41031.366863425923</v>
      </c>
      <c r="C857">
        <v>80</v>
      </c>
      <c r="D857">
        <v>70.625488281000003</v>
      </c>
      <c r="E857">
        <v>40</v>
      </c>
      <c r="F857">
        <v>39.859588623</v>
      </c>
      <c r="G857">
        <v>1334.5959473</v>
      </c>
      <c r="H857">
        <v>1333.1636963000001</v>
      </c>
      <c r="I857">
        <v>1328.6230469</v>
      </c>
      <c r="J857">
        <v>1327.7712402</v>
      </c>
      <c r="K857">
        <v>550</v>
      </c>
      <c r="L857">
        <v>0</v>
      </c>
      <c r="M857">
        <v>0</v>
      </c>
      <c r="N857">
        <v>550</v>
      </c>
    </row>
    <row r="858" spans="1:14" x14ac:dyDescent="0.25">
      <c r="A858">
        <v>732.47542899999996</v>
      </c>
      <c r="B858" s="1">
        <f>DATE(2012,5,2) + TIME(11,24,37)</f>
        <v>41031.475428240738</v>
      </c>
      <c r="C858">
        <v>80</v>
      </c>
      <c r="D858">
        <v>71.208106994999994</v>
      </c>
      <c r="E858">
        <v>40</v>
      </c>
      <c r="F858">
        <v>39.853755950999997</v>
      </c>
      <c r="G858">
        <v>1334.6424560999999</v>
      </c>
      <c r="H858">
        <v>1333.1973877</v>
      </c>
      <c r="I858">
        <v>1328.6235352000001</v>
      </c>
      <c r="J858">
        <v>1327.7706298999999</v>
      </c>
      <c r="K858">
        <v>550</v>
      </c>
      <c r="L858">
        <v>0</v>
      </c>
      <c r="M858">
        <v>0</v>
      </c>
      <c r="N858">
        <v>550</v>
      </c>
    </row>
    <row r="859" spans="1:14" x14ac:dyDescent="0.25">
      <c r="A859">
        <v>732.58694100000002</v>
      </c>
      <c r="B859" s="1">
        <f>DATE(2012,5,2) + TIME(14,5,11)</f>
        <v>41031.58693287037</v>
      </c>
      <c r="C859">
        <v>80</v>
      </c>
      <c r="D859">
        <v>71.776405334000003</v>
      </c>
      <c r="E859">
        <v>40</v>
      </c>
      <c r="F859">
        <v>39.847812652999998</v>
      </c>
      <c r="G859">
        <v>1334.6900635</v>
      </c>
      <c r="H859">
        <v>1333.2318115</v>
      </c>
      <c r="I859">
        <v>1328.6240233999999</v>
      </c>
      <c r="J859">
        <v>1327.7698975000001</v>
      </c>
      <c r="K859">
        <v>550</v>
      </c>
      <c r="L859">
        <v>0</v>
      </c>
      <c r="M859">
        <v>0</v>
      </c>
      <c r="N859">
        <v>550</v>
      </c>
    </row>
    <row r="860" spans="1:14" x14ac:dyDescent="0.25">
      <c r="A860">
        <v>732.70158000000004</v>
      </c>
      <c r="B860" s="1">
        <f>DATE(2012,5,2) + TIME(16,50,16)</f>
        <v>41031.701574074075</v>
      </c>
      <c r="C860">
        <v>80</v>
      </c>
      <c r="D860">
        <v>72.329490661999998</v>
      </c>
      <c r="E860">
        <v>40</v>
      </c>
      <c r="F860">
        <v>39.841743469000001</v>
      </c>
      <c r="G860">
        <v>1334.7384033000001</v>
      </c>
      <c r="H860">
        <v>1333.2667236</v>
      </c>
      <c r="I860">
        <v>1328.6245117000001</v>
      </c>
      <c r="J860">
        <v>1327.7691649999999</v>
      </c>
      <c r="K860">
        <v>550</v>
      </c>
      <c r="L860">
        <v>0</v>
      </c>
      <c r="M860">
        <v>0</v>
      </c>
      <c r="N860">
        <v>550</v>
      </c>
    </row>
    <row r="861" spans="1:14" x14ac:dyDescent="0.25">
      <c r="A861">
        <v>732.81955600000003</v>
      </c>
      <c r="B861" s="1">
        <f>DATE(2012,5,2) + TIME(19,40,9)</f>
        <v>41031.819548611114</v>
      </c>
      <c r="C861">
        <v>80</v>
      </c>
      <c r="D861">
        <v>72.866592406999999</v>
      </c>
      <c r="E861">
        <v>40</v>
      </c>
      <c r="F861">
        <v>39.835548400999997</v>
      </c>
      <c r="G861">
        <v>1334.7874756000001</v>
      </c>
      <c r="H861">
        <v>1333.3020019999999</v>
      </c>
      <c r="I861">
        <v>1328.625</v>
      </c>
      <c r="J861">
        <v>1327.7684326000001</v>
      </c>
      <c r="K861">
        <v>550</v>
      </c>
      <c r="L861">
        <v>0</v>
      </c>
      <c r="M861">
        <v>0</v>
      </c>
      <c r="N861">
        <v>550</v>
      </c>
    </row>
    <row r="862" spans="1:14" x14ac:dyDescent="0.25">
      <c r="A862">
        <v>732.94108500000004</v>
      </c>
      <c r="B862" s="1">
        <f>DATE(2012,5,2) + TIME(22,35,9)</f>
        <v>41031.941076388888</v>
      </c>
      <c r="C862">
        <v>80</v>
      </c>
      <c r="D862">
        <v>73.386878967000001</v>
      </c>
      <c r="E862">
        <v>40</v>
      </c>
      <c r="F862">
        <v>39.829212189000003</v>
      </c>
      <c r="G862">
        <v>1334.8372803</v>
      </c>
      <c r="H862">
        <v>1333.3376464999999</v>
      </c>
      <c r="I862">
        <v>1328.6254882999999</v>
      </c>
      <c r="J862">
        <v>1327.7677002</v>
      </c>
      <c r="K862">
        <v>550</v>
      </c>
      <c r="L862">
        <v>0</v>
      </c>
      <c r="M862">
        <v>0</v>
      </c>
      <c r="N862">
        <v>550</v>
      </c>
    </row>
    <row r="863" spans="1:14" x14ac:dyDescent="0.25">
      <c r="A863">
        <v>733.06636600000002</v>
      </c>
      <c r="B863" s="1">
        <f>DATE(2012,5,3) + TIME(1,35,34)</f>
        <v>41032.066365740742</v>
      </c>
      <c r="C863">
        <v>80</v>
      </c>
      <c r="D863">
        <v>73.889389038000004</v>
      </c>
      <c r="E863">
        <v>40</v>
      </c>
      <c r="F863">
        <v>39.822734832999998</v>
      </c>
      <c r="G863">
        <v>1334.8875731999999</v>
      </c>
      <c r="H863">
        <v>1333.3736572</v>
      </c>
      <c r="I863">
        <v>1328.6259766000001</v>
      </c>
      <c r="J863">
        <v>1327.7668457</v>
      </c>
      <c r="K863">
        <v>550</v>
      </c>
      <c r="L863">
        <v>0</v>
      </c>
      <c r="M863">
        <v>0</v>
      </c>
      <c r="N863">
        <v>550</v>
      </c>
    </row>
    <row r="864" spans="1:14" x14ac:dyDescent="0.25">
      <c r="A864">
        <v>733.19564800000001</v>
      </c>
      <c r="B864" s="1">
        <f>DATE(2012,5,3) + TIME(4,41,43)</f>
        <v>41032.195636574077</v>
      </c>
      <c r="C864">
        <v>80</v>
      </c>
      <c r="D864">
        <v>74.373344420999999</v>
      </c>
      <c r="E864">
        <v>40</v>
      </c>
      <c r="F864">
        <v>39.816104889000002</v>
      </c>
      <c r="G864">
        <v>1334.9383545000001</v>
      </c>
      <c r="H864">
        <v>1333.4099120999999</v>
      </c>
      <c r="I864">
        <v>1328.6264647999999</v>
      </c>
      <c r="J864">
        <v>1327.7659911999999</v>
      </c>
      <c r="K864">
        <v>550</v>
      </c>
      <c r="L864">
        <v>0</v>
      </c>
      <c r="M864">
        <v>0</v>
      </c>
      <c r="N864">
        <v>550</v>
      </c>
    </row>
    <row r="865" spans="1:14" x14ac:dyDescent="0.25">
      <c r="A865">
        <v>733.32920899999999</v>
      </c>
      <c r="B865" s="1">
        <f>DATE(2012,5,3) + TIME(7,54,3)</f>
        <v>41032.329201388886</v>
      </c>
      <c r="C865">
        <v>80</v>
      </c>
      <c r="D865">
        <v>74.838005065999994</v>
      </c>
      <c r="E865">
        <v>40</v>
      </c>
      <c r="F865">
        <v>39.809314727999997</v>
      </c>
      <c r="G865">
        <v>1334.9893798999999</v>
      </c>
      <c r="H865">
        <v>1333.4462891000001</v>
      </c>
      <c r="I865">
        <v>1328.6268310999999</v>
      </c>
      <c r="J865">
        <v>1327.7651367000001</v>
      </c>
      <c r="K865">
        <v>550</v>
      </c>
      <c r="L865">
        <v>0</v>
      </c>
      <c r="M865">
        <v>0</v>
      </c>
      <c r="N865">
        <v>550</v>
      </c>
    </row>
    <row r="866" spans="1:14" x14ac:dyDescent="0.25">
      <c r="A866">
        <v>733.46735999999999</v>
      </c>
      <c r="B866" s="1">
        <f>DATE(2012,5,3) + TIME(11,12,59)</f>
        <v>41032.467349537037</v>
      </c>
      <c r="C866">
        <v>80</v>
      </c>
      <c r="D866">
        <v>75.282478333</v>
      </c>
      <c r="E866">
        <v>40</v>
      </c>
      <c r="F866">
        <v>39.802349091000004</v>
      </c>
      <c r="G866">
        <v>1335.0407714999999</v>
      </c>
      <c r="H866">
        <v>1333.4827881000001</v>
      </c>
      <c r="I866">
        <v>1328.6273193</v>
      </c>
      <c r="J866">
        <v>1327.7642822</v>
      </c>
      <c r="K866">
        <v>550</v>
      </c>
      <c r="L866">
        <v>0</v>
      </c>
      <c r="M866">
        <v>0</v>
      </c>
      <c r="N866">
        <v>550</v>
      </c>
    </row>
    <row r="867" spans="1:14" x14ac:dyDescent="0.25">
      <c r="A867">
        <v>733.61044600000002</v>
      </c>
      <c r="B867" s="1">
        <f>DATE(2012,5,3) + TIME(14,39,2)</f>
        <v>41032.610439814816</v>
      </c>
      <c r="C867">
        <v>80</v>
      </c>
      <c r="D867">
        <v>75.706268311000002</v>
      </c>
      <c r="E867">
        <v>40</v>
      </c>
      <c r="F867">
        <v>39.795196533000002</v>
      </c>
      <c r="G867">
        <v>1335.0921631000001</v>
      </c>
      <c r="H867">
        <v>1333.5192870999999</v>
      </c>
      <c r="I867">
        <v>1328.6278076000001</v>
      </c>
      <c r="J867">
        <v>1327.7634277</v>
      </c>
      <c r="K867">
        <v>550</v>
      </c>
      <c r="L867">
        <v>0</v>
      </c>
      <c r="M867">
        <v>0</v>
      </c>
      <c r="N867">
        <v>550</v>
      </c>
    </row>
    <row r="868" spans="1:14" x14ac:dyDescent="0.25">
      <c r="A868">
        <v>733.75885600000004</v>
      </c>
      <c r="B868" s="1">
        <f>DATE(2012,5,3) + TIME(18,12,45)</f>
        <v>41032.75885416667</v>
      </c>
      <c r="C868">
        <v>80</v>
      </c>
      <c r="D868">
        <v>76.108963012999993</v>
      </c>
      <c r="E868">
        <v>40</v>
      </c>
      <c r="F868">
        <v>39.787841796999999</v>
      </c>
      <c r="G868">
        <v>1335.1437988</v>
      </c>
      <c r="H868">
        <v>1333.5557861</v>
      </c>
      <c r="I868">
        <v>1328.6281738</v>
      </c>
      <c r="J868">
        <v>1327.7624512</v>
      </c>
      <c r="K868">
        <v>550</v>
      </c>
      <c r="L868">
        <v>0</v>
      </c>
      <c r="M868">
        <v>0</v>
      </c>
      <c r="N868">
        <v>550</v>
      </c>
    </row>
    <row r="869" spans="1:14" x14ac:dyDescent="0.25">
      <c r="A869">
        <v>733.91302900000005</v>
      </c>
      <c r="B869" s="1">
        <f>DATE(2012,5,3) + TIME(21,54,45)</f>
        <v>41032.91302083333</v>
      </c>
      <c r="C869">
        <v>80</v>
      </c>
      <c r="D869">
        <v>76.490127563000001</v>
      </c>
      <c r="E869">
        <v>40</v>
      </c>
      <c r="F869">
        <v>39.780277251999998</v>
      </c>
      <c r="G869">
        <v>1335.1951904</v>
      </c>
      <c r="H869">
        <v>1333.5921631000001</v>
      </c>
      <c r="I869">
        <v>1328.6285399999999</v>
      </c>
      <c r="J869">
        <v>1327.7614745999999</v>
      </c>
      <c r="K869">
        <v>550</v>
      </c>
      <c r="L869">
        <v>0</v>
      </c>
      <c r="M869">
        <v>0</v>
      </c>
      <c r="N869">
        <v>550</v>
      </c>
    </row>
    <row r="870" spans="1:14" x14ac:dyDescent="0.25">
      <c r="A870">
        <v>734.07346099999995</v>
      </c>
      <c r="B870" s="1">
        <f>DATE(2012,5,4) + TIME(1,45,47)</f>
        <v>41033.073460648149</v>
      </c>
      <c r="C870">
        <v>80</v>
      </c>
      <c r="D870">
        <v>76.849449157999999</v>
      </c>
      <c r="E870">
        <v>40</v>
      </c>
      <c r="F870">
        <v>39.772476196</v>
      </c>
      <c r="G870">
        <v>1335.2464600000001</v>
      </c>
      <c r="H870">
        <v>1333.6282959</v>
      </c>
      <c r="I870">
        <v>1328.6290283000001</v>
      </c>
      <c r="J870">
        <v>1327.760376</v>
      </c>
      <c r="K870">
        <v>550</v>
      </c>
      <c r="L870">
        <v>0</v>
      </c>
      <c r="M870">
        <v>0</v>
      </c>
      <c r="N870">
        <v>550</v>
      </c>
    </row>
    <row r="871" spans="1:14" x14ac:dyDescent="0.25">
      <c r="A871">
        <v>734.24072899999999</v>
      </c>
      <c r="B871" s="1">
        <f>DATE(2012,5,4) + TIME(5,46,38)</f>
        <v>41033.240717592591</v>
      </c>
      <c r="C871">
        <v>80</v>
      </c>
      <c r="D871">
        <v>77.186698914000004</v>
      </c>
      <c r="E871">
        <v>40</v>
      </c>
      <c r="F871">
        <v>39.764423370000003</v>
      </c>
      <c r="G871">
        <v>1335.2974853999999</v>
      </c>
      <c r="H871">
        <v>1333.6641846</v>
      </c>
      <c r="I871">
        <v>1328.6293945</v>
      </c>
      <c r="J871">
        <v>1327.7592772999999</v>
      </c>
      <c r="K871">
        <v>550</v>
      </c>
      <c r="L871">
        <v>0</v>
      </c>
      <c r="M871">
        <v>0</v>
      </c>
      <c r="N871">
        <v>550</v>
      </c>
    </row>
    <row r="872" spans="1:14" x14ac:dyDescent="0.25">
      <c r="A872">
        <v>734.41559700000005</v>
      </c>
      <c r="B872" s="1">
        <f>DATE(2012,5,4) + TIME(9,58,27)</f>
        <v>41033.415590277778</v>
      </c>
      <c r="C872">
        <v>80</v>
      </c>
      <c r="D872">
        <v>77.501937866000006</v>
      </c>
      <c r="E872">
        <v>40</v>
      </c>
      <c r="F872">
        <v>39.756092072000001</v>
      </c>
      <c r="G872">
        <v>1335.3480225000001</v>
      </c>
      <c r="H872">
        <v>1333.6998291</v>
      </c>
      <c r="I872">
        <v>1328.6296387</v>
      </c>
      <c r="J872">
        <v>1327.7581786999999</v>
      </c>
      <c r="K872">
        <v>550</v>
      </c>
      <c r="L872">
        <v>0</v>
      </c>
      <c r="M872">
        <v>0</v>
      </c>
      <c r="N872">
        <v>550</v>
      </c>
    </row>
    <row r="873" spans="1:14" x14ac:dyDescent="0.25">
      <c r="A873">
        <v>734.59872499999994</v>
      </c>
      <c r="B873" s="1">
        <f>DATE(2012,5,4) + TIME(14,22,9)</f>
        <v>41033.598715277774</v>
      </c>
      <c r="C873">
        <v>80</v>
      </c>
      <c r="D873">
        <v>77.794967650999993</v>
      </c>
      <c r="E873">
        <v>40</v>
      </c>
      <c r="F873">
        <v>39.747455596999998</v>
      </c>
      <c r="G873">
        <v>1335.3981934000001</v>
      </c>
      <c r="H873">
        <v>1333.7349853999999</v>
      </c>
      <c r="I873">
        <v>1328.6300048999999</v>
      </c>
      <c r="J873">
        <v>1327.7569579999999</v>
      </c>
      <c r="K873">
        <v>550</v>
      </c>
      <c r="L873">
        <v>0</v>
      </c>
      <c r="M873">
        <v>0</v>
      </c>
      <c r="N873">
        <v>550</v>
      </c>
    </row>
    <row r="874" spans="1:14" x14ac:dyDescent="0.25">
      <c r="A874">
        <v>734.79099099999996</v>
      </c>
      <c r="B874" s="1">
        <f>DATE(2012,5,4) + TIME(18,59,1)</f>
        <v>41033.790983796294</v>
      </c>
      <c r="C874">
        <v>80</v>
      </c>
      <c r="D874">
        <v>78.065895080999994</v>
      </c>
      <c r="E874">
        <v>40</v>
      </c>
      <c r="F874">
        <v>39.738487243999998</v>
      </c>
      <c r="G874">
        <v>1335.4477539</v>
      </c>
      <c r="H874">
        <v>1333.7697754000001</v>
      </c>
      <c r="I874">
        <v>1328.630249</v>
      </c>
      <c r="J874">
        <v>1327.7557373</v>
      </c>
      <c r="K874">
        <v>550</v>
      </c>
      <c r="L874">
        <v>0</v>
      </c>
      <c r="M874">
        <v>0</v>
      </c>
      <c r="N874">
        <v>550</v>
      </c>
    </row>
    <row r="875" spans="1:14" x14ac:dyDescent="0.25">
      <c r="A875">
        <v>734.993427</v>
      </c>
      <c r="B875" s="1">
        <f>DATE(2012,5,4) + TIME(23,50,32)</f>
        <v>41033.993425925924</v>
      </c>
      <c r="C875">
        <v>80</v>
      </c>
      <c r="D875">
        <v>78.314933776999993</v>
      </c>
      <c r="E875">
        <v>40</v>
      </c>
      <c r="F875">
        <v>39.729148864999999</v>
      </c>
      <c r="G875">
        <v>1335.496582</v>
      </c>
      <c r="H875">
        <v>1333.8039550999999</v>
      </c>
      <c r="I875">
        <v>1328.6304932</v>
      </c>
      <c r="J875">
        <v>1327.7545166</v>
      </c>
      <c r="K875">
        <v>550</v>
      </c>
      <c r="L875">
        <v>0</v>
      </c>
      <c r="M875">
        <v>0</v>
      </c>
      <c r="N875">
        <v>550</v>
      </c>
    </row>
    <row r="876" spans="1:14" x14ac:dyDescent="0.25">
      <c r="A876">
        <v>735.20725600000003</v>
      </c>
      <c r="B876" s="1">
        <f>DATE(2012,5,5) + TIME(4,58,26)</f>
        <v>41034.207245370373</v>
      </c>
      <c r="C876">
        <v>80</v>
      </c>
      <c r="D876">
        <v>78.542442321999999</v>
      </c>
      <c r="E876">
        <v>40</v>
      </c>
      <c r="F876">
        <v>39.719406128000003</v>
      </c>
      <c r="G876">
        <v>1335.5445557</v>
      </c>
      <c r="H876">
        <v>1333.8376464999999</v>
      </c>
      <c r="I876">
        <v>1328.6307373</v>
      </c>
      <c r="J876">
        <v>1327.7531738</v>
      </c>
      <c r="K876">
        <v>550</v>
      </c>
      <c r="L876">
        <v>0</v>
      </c>
      <c r="M876">
        <v>0</v>
      </c>
      <c r="N876">
        <v>550</v>
      </c>
    </row>
    <row r="877" spans="1:14" x14ac:dyDescent="0.25">
      <c r="A877">
        <v>735.43220899999994</v>
      </c>
      <c r="B877" s="1">
        <f>DATE(2012,5,5) + TIME(10,22,22)</f>
        <v>41034.432199074072</v>
      </c>
      <c r="C877">
        <v>80</v>
      </c>
      <c r="D877">
        <v>78.747528075999995</v>
      </c>
      <c r="E877">
        <v>40</v>
      </c>
      <c r="F877">
        <v>39.709278107000003</v>
      </c>
      <c r="G877">
        <v>1335.5915527</v>
      </c>
      <c r="H877">
        <v>1333.8706055</v>
      </c>
      <c r="I877">
        <v>1328.6308594</v>
      </c>
      <c r="J877">
        <v>1327.7517089999999</v>
      </c>
      <c r="K877">
        <v>550</v>
      </c>
      <c r="L877">
        <v>0</v>
      </c>
      <c r="M877">
        <v>0</v>
      </c>
      <c r="N877">
        <v>550</v>
      </c>
    </row>
    <row r="878" spans="1:14" x14ac:dyDescent="0.25">
      <c r="A878">
        <v>735.66856600000006</v>
      </c>
      <c r="B878" s="1">
        <f>DATE(2012,5,5) + TIME(16,2,44)</f>
        <v>41034.668564814812</v>
      </c>
      <c r="C878">
        <v>80</v>
      </c>
      <c r="D878">
        <v>78.930351256999998</v>
      </c>
      <c r="E878">
        <v>40</v>
      </c>
      <c r="F878">
        <v>39.698768616000002</v>
      </c>
      <c r="G878">
        <v>1335.6340332</v>
      </c>
      <c r="H878">
        <v>1333.9002685999999</v>
      </c>
      <c r="I878">
        <v>1328.6309814000001</v>
      </c>
      <c r="J878">
        <v>1327.7503661999999</v>
      </c>
      <c r="K878">
        <v>550</v>
      </c>
      <c r="L878">
        <v>0</v>
      </c>
      <c r="M878">
        <v>0</v>
      </c>
      <c r="N878">
        <v>550</v>
      </c>
    </row>
    <row r="879" spans="1:14" x14ac:dyDescent="0.25">
      <c r="A879">
        <v>735.91786200000001</v>
      </c>
      <c r="B879" s="1">
        <f>DATE(2012,5,5) + TIME(22,1,43)</f>
        <v>41034.917858796296</v>
      </c>
      <c r="C879">
        <v>80</v>
      </c>
      <c r="D879">
        <v>79.092277526999993</v>
      </c>
      <c r="E879">
        <v>40</v>
      </c>
      <c r="F879">
        <v>39.687824249000002</v>
      </c>
      <c r="G879">
        <v>1335.6749268000001</v>
      </c>
      <c r="H879">
        <v>1333.9289550999999</v>
      </c>
      <c r="I879">
        <v>1328.6309814000001</v>
      </c>
      <c r="J879">
        <v>1327.7487793</v>
      </c>
      <c r="K879">
        <v>550</v>
      </c>
      <c r="L879">
        <v>0</v>
      </c>
      <c r="M879">
        <v>0</v>
      </c>
      <c r="N879">
        <v>550</v>
      </c>
    </row>
    <row r="880" spans="1:14" x14ac:dyDescent="0.25">
      <c r="A880">
        <v>736.17923599999995</v>
      </c>
      <c r="B880" s="1">
        <f>DATE(2012,5,6) + TIME(4,18,5)</f>
        <v>41035.179224537038</v>
      </c>
      <c r="C880">
        <v>80</v>
      </c>
      <c r="D880">
        <v>79.233497619999994</v>
      </c>
      <c r="E880">
        <v>40</v>
      </c>
      <c r="F880">
        <v>39.676498412999997</v>
      </c>
      <c r="G880">
        <v>1335.7141113</v>
      </c>
      <c r="H880">
        <v>1333.956543</v>
      </c>
      <c r="I880">
        <v>1328.6308594</v>
      </c>
      <c r="J880">
        <v>1327.7471923999999</v>
      </c>
      <c r="K880">
        <v>550</v>
      </c>
      <c r="L880">
        <v>0</v>
      </c>
      <c r="M880">
        <v>0</v>
      </c>
      <c r="N880">
        <v>550</v>
      </c>
    </row>
    <row r="881" spans="1:14" x14ac:dyDescent="0.25">
      <c r="A881">
        <v>736.44235300000003</v>
      </c>
      <c r="B881" s="1">
        <f>DATE(2012,5,6) + TIME(10,36,59)</f>
        <v>41035.442349537036</v>
      </c>
      <c r="C881">
        <v>80</v>
      </c>
      <c r="D881">
        <v>79.351364136000001</v>
      </c>
      <c r="E881">
        <v>40</v>
      </c>
      <c r="F881">
        <v>39.665218353</v>
      </c>
      <c r="G881">
        <v>1335.7474365</v>
      </c>
      <c r="H881">
        <v>1333.9799805</v>
      </c>
      <c r="I881">
        <v>1328.6306152</v>
      </c>
      <c r="J881">
        <v>1327.7456055</v>
      </c>
      <c r="K881">
        <v>550</v>
      </c>
      <c r="L881">
        <v>0</v>
      </c>
      <c r="M881">
        <v>0</v>
      </c>
      <c r="N881">
        <v>550</v>
      </c>
    </row>
    <row r="882" spans="1:14" x14ac:dyDescent="0.25">
      <c r="A882">
        <v>736.70908099999997</v>
      </c>
      <c r="B882" s="1">
        <f>DATE(2012,5,6) + TIME(17,1,4)</f>
        <v>41035.709074074075</v>
      </c>
      <c r="C882">
        <v>80</v>
      </c>
      <c r="D882">
        <v>79.450073242000002</v>
      </c>
      <c r="E882">
        <v>40</v>
      </c>
      <c r="F882">
        <v>39.653915404999999</v>
      </c>
      <c r="G882">
        <v>1335.7773437999999</v>
      </c>
      <c r="H882">
        <v>1334.0010986</v>
      </c>
      <c r="I882">
        <v>1328.630249</v>
      </c>
      <c r="J882">
        <v>1327.7440185999999</v>
      </c>
      <c r="K882">
        <v>550</v>
      </c>
      <c r="L882">
        <v>0</v>
      </c>
      <c r="M882">
        <v>0</v>
      </c>
      <c r="N882">
        <v>550</v>
      </c>
    </row>
    <row r="883" spans="1:14" x14ac:dyDescent="0.25">
      <c r="A883">
        <v>736.98099400000001</v>
      </c>
      <c r="B883" s="1">
        <f>DATE(2012,5,6) + TIME(23,32,37)</f>
        <v>41035.980983796297</v>
      </c>
      <c r="C883">
        <v>80</v>
      </c>
      <c r="D883">
        <v>79.532836914000001</v>
      </c>
      <c r="E883">
        <v>40</v>
      </c>
      <c r="F883">
        <v>39.642520904999998</v>
      </c>
      <c r="G883">
        <v>1335.8046875</v>
      </c>
      <c r="H883">
        <v>1334.0206298999999</v>
      </c>
      <c r="I883">
        <v>1328.6300048999999</v>
      </c>
      <c r="J883">
        <v>1327.7424315999999</v>
      </c>
      <c r="K883">
        <v>550</v>
      </c>
      <c r="L883">
        <v>0</v>
      </c>
      <c r="M883">
        <v>0</v>
      </c>
      <c r="N883">
        <v>550</v>
      </c>
    </row>
    <row r="884" spans="1:14" x14ac:dyDescent="0.25">
      <c r="A884">
        <v>737.25926300000003</v>
      </c>
      <c r="B884" s="1">
        <f>DATE(2012,5,7) + TIME(6,13,20)</f>
        <v>41036.259259259263</v>
      </c>
      <c r="C884">
        <v>80</v>
      </c>
      <c r="D884">
        <v>79.602157593000001</v>
      </c>
      <c r="E884">
        <v>40</v>
      </c>
      <c r="F884">
        <v>39.630992888999998</v>
      </c>
      <c r="G884">
        <v>1335.8294678</v>
      </c>
      <c r="H884">
        <v>1334.0383300999999</v>
      </c>
      <c r="I884">
        <v>1328.6295166</v>
      </c>
      <c r="J884">
        <v>1327.7407227000001</v>
      </c>
      <c r="K884">
        <v>550</v>
      </c>
      <c r="L884">
        <v>0</v>
      </c>
      <c r="M884">
        <v>0</v>
      </c>
      <c r="N884">
        <v>550</v>
      </c>
    </row>
    <row r="885" spans="1:14" x14ac:dyDescent="0.25">
      <c r="A885">
        <v>737.54525599999999</v>
      </c>
      <c r="B885" s="1">
        <f>DATE(2012,5,7) + TIME(13,5,10)</f>
        <v>41036.545254629629</v>
      </c>
      <c r="C885">
        <v>80</v>
      </c>
      <c r="D885">
        <v>79.660102843999994</v>
      </c>
      <c r="E885">
        <v>40</v>
      </c>
      <c r="F885">
        <v>39.619285583</v>
      </c>
      <c r="G885">
        <v>1335.8480225000001</v>
      </c>
      <c r="H885">
        <v>1334.0520019999999</v>
      </c>
      <c r="I885">
        <v>1328.6290283000001</v>
      </c>
      <c r="J885">
        <v>1327.7391356999999</v>
      </c>
      <c r="K885">
        <v>550</v>
      </c>
      <c r="L885">
        <v>0</v>
      </c>
      <c r="M885">
        <v>0</v>
      </c>
      <c r="N885">
        <v>550</v>
      </c>
    </row>
    <row r="886" spans="1:14" x14ac:dyDescent="0.25">
      <c r="A886">
        <v>737.84076800000003</v>
      </c>
      <c r="B886" s="1">
        <f>DATE(2012,5,7) + TIME(20,10,42)</f>
        <v>41036.840763888889</v>
      </c>
      <c r="C886">
        <v>80</v>
      </c>
      <c r="D886">
        <v>79.708488463999998</v>
      </c>
      <c r="E886">
        <v>40</v>
      </c>
      <c r="F886">
        <v>39.607337952000002</v>
      </c>
      <c r="G886">
        <v>1335.864624</v>
      </c>
      <c r="H886">
        <v>1334.0643310999999</v>
      </c>
      <c r="I886">
        <v>1328.628418</v>
      </c>
      <c r="J886">
        <v>1327.7374268000001</v>
      </c>
      <c r="K886">
        <v>550</v>
      </c>
      <c r="L886">
        <v>0</v>
      </c>
      <c r="M886">
        <v>0</v>
      </c>
      <c r="N886">
        <v>550</v>
      </c>
    </row>
    <row r="887" spans="1:14" x14ac:dyDescent="0.25">
      <c r="A887">
        <v>738.14726700000006</v>
      </c>
      <c r="B887" s="1">
        <f>DATE(2012,5,8) + TIME(3,32,3)</f>
        <v>41037.147256944445</v>
      </c>
      <c r="C887">
        <v>80</v>
      </c>
      <c r="D887">
        <v>79.748779296999999</v>
      </c>
      <c r="E887">
        <v>40</v>
      </c>
      <c r="F887">
        <v>39.595100403000004</v>
      </c>
      <c r="G887">
        <v>1335.8796387</v>
      </c>
      <c r="H887">
        <v>1334.0756836</v>
      </c>
      <c r="I887">
        <v>1328.6278076000001</v>
      </c>
      <c r="J887">
        <v>1327.7357178</v>
      </c>
      <c r="K887">
        <v>550</v>
      </c>
      <c r="L887">
        <v>0</v>
      </c>
      <c r="M887">
        <v>0</v>
      </c>
      <c r="N887">
        <v>550</v>
      </c>
    </row>
    <row r="888" spans="1:14" x14ac:dyDescent="0.25">
      <c r="A888">
        <v>738.45753200000001</v>
      </c>
      <c r="B888" s="1">
        <f>DATE(2012,5,8) + TIME(10,58,50)</f>
        <v>41037.45752314815</v>
      </c>
      <c r="C888">
        <v>80</v>
      </c>
      <c r="D888">
        <v>79.781455993999998</v>
      </c>
      <c r="E888">
        <v>40</v>
      </c>
      <c r="F888">
        <v>39.582847594999997</v>
      </c>
      <c r="G888">
        <v>1335.8934326000001</v>
      </c>
      <c r="H888">
        <v>1334.0861815999999</v>
      </c>
      <c r="I888">
        <v>1328.6271973</v>
      </c>
      <c r="J888">
        <v>1327.7338867000001</v>
      </c>
      <c r="K888">
        <v>550</v>
      </c>
      <c r="L888">
        <v>0</v>
      </c>
      <c r="M888">
        <v>0</v>
      </c>
      <c r="N888">
        <v>550</v>
      </c>
    </row>
    <row r="889" spans="1:14" x14ac:dyDescent="0.25">
      <c r="A889">
        <v>738.77166399999999</v>
      </c>
      <c r="B889" s="1">
        <f>DATE(2012,5,8) + TIME(18,31,11)</f>
        <v>41037.771655092591</v>
      </c>
      <c r="C889">
        <v>80</v>
      </c>
      <c r="D889">
        <v>79.807929993000002</v>
      </c>
      <c r="E889">
        <v>40</v>
      </c>
      <c r="F889">
        <v>39.570579529</v>
      </c>
      <c r="G889">
        <v>1335.9055175999999</v>
      </c>
      <c r="H889">
        <v>1334.0957031</v>
      </c>
      <c r="I889">
        <v>1328.6264647999999</v>
      </c>
      <c r="J889">
        <v>1327.7320557</v>
      </c>
      <c r="K889">
        <v>550</v>
      </c>
      <c r="L889">
        <v>0</v>
      </c>
      <c r="M889">
        <v>0</v>
      </c>
      <c r="N889">
        <v>550</v>
      </c>
    </row>
    <row r="890" spans="1:14" x14ac:dyDescent="0.25">
      <c r="A890">
        <v>739.090419</v>
      </c>
      <c r="B890" s="1">
        <f>DATE(2012,5,9) + TIME(2,10,12)</f>
        <v>41038.090416666666</v>
      </c>
      <c r="C890">
        <v>80</v>
      </c>
      <c r="D890">
        <v>79.829376221000004</v>
      </c>
      <c r="E890">
        <v>40</v>
      </c>
      <c r="F890">
        <v>39.558265685999999</v>
      </c>
      <c r="G890">
        <v>1335.9161377</v>
      </c>
      <c r="H890">
        <v>1334.1042480000001</v>
      </c>
      <c r="I890">
        <v>1328.6257324000001</v>
      </c>
      <c r="J890">
        <v>1327.7301024999999</v>
      </c>
      <c r="K890">
        <v>550</v>
      </c>
      <c r="L890">
        <v>0</v>
      </c>
      <c r="M890">
        <v>0</v>
      </c>
      <c r="N890">
        <v>550</v>
      </c>
    </row>
    <row r="891" spans="1:14" x14ac:dyDescent="0.25">
      <c r="A891">
        <v>739.41447200000005</v>
      </c>
      <c r="B891" s="1">
        <f>DATE(2012,5,9) + TIME(9,56,50)</f>
        <v>41038.414467592593</v>
      </c>
      <c r="C891">
        <v>80</v>
      </c>
      <c r="D891">
        <v>79.846740722999996</v>
      </c>
      <c r="E891">
        <v>40</v>
      </c>
      <c r="F891">
        <v>39.545886993000003</v>
      </c>
      <c r="G891">
        <v>1335.9246826000001</v>
      </c>
      <c r="H891">
        <v>1334.1114502</v>
      </c>
      <c r="I891">
        <v>1328.6248779</v>
      </c>
      <c r="J891">
        <v>1327.7282714999999</v>
      </c>
      <c r="K891">
        <v>550</v>
      </c>
      <c r="L891">
        <v>0</v>
      </c>
      <c r="M891">
        <v>0</v>
      </c>
      <c r="N891">
        <v>550</v>
      </c>
    </row>
    <row r="892" spans="1:14" x14ac:dyDescent="0.25">
      <c r="A892">
        <v>739.74471200000005</v>
      </c>
      <c r="B892" s="1">
        <f>DATE(2012,5,9) + TIME(17,52,23)</f>
        <v>41038.744710648149</v>
      </c>
      <c r="C892">
        <v>80</v>
      </c>
      <c r="D892">
        <v>79.860801696999999</v>
      </c>
      <c r="E892">
        <v>40</v>
      </c>
      <c r="F892">
        <v>39.533412933000001</v>
      </c>
      <c r="G892">
        <v>1335.9294434000001</v>
      </c>
      <c r="H892">
        <v>1334.1160889</v>
      </c>
      <c r="I892">
        <v>1328.6240233999999</v>
      </c>
      <c r="J892">
        <v>1327.7263184000001</v>
      </c>
      <c r="K892">
        <v>550</v>
      </c>
      <c r="L892">
        <v>0</v>
      </c>
      <c r="M892">
        <v>0</v>
      </c>
      <c r="N892">
        <v>550</v>
      </c>
    </row>
    <row r="893" spans="1:14" x14ac:dyDescent="0.25">
      <c r="A893">
        <v>740.08236999999997</v>
      </c>
      <c r="B893" s="1">
        <f>DATE(2012,5,10) + TIME(1,58,36)</f>
        <v>41039.082361111112</v>
      </c>
      <c r="C893">
        <v>80</v>
      </c>
      <c r="D893">
        <v>79.872184752999999</v>
      </c>
      <c r="E893">
        <v>40</v>
      </c>
      <c r="F893">
        <v>39.520801544000001</v>
      </c>
      <c r="G893">
        <v>1335.9333495999999</v>
      </c>
      <c r="H893">
        <v>1334.1203613</v>
      </c>
      <c r="I893">
        <v>1328.6231689000001</v>
      </c>
      <c r="J893">
        <v>1327.7244873</v>
      </c>
      <c r="K893">
        <v>550</v>
      </c>
      <c r="L893">
        <v>0</v>
      </c>
      <c r="M893">
        <v>0</v>
      </c>
      <c r="N893">
        <v>550</v>
      </c>
    </row>
    <row r="894" spans="1:14" x14ac:dyDescent="0.25">
      <c r="A894">
        <v>740.42830200000003</v>
      </c>
      <c r="B894" s="1">
        <f>DATE(2012,5,10) + TIME(10,16,45)</f>
        <v>41039.428298611114</v>
      </c>
      <c r="C894">
        <v>80</v>
      </c>
      <c r="D894">
        <v>79.881408691000004</v>
      </c>
      <c r="E894">
        <v>40</v>
      </c>
      <c r="F894">
        <v>39.508033752000003</v>
      </c>
      <c r="G894">
        <v>1335.9365233999999</v>
      </c>
      <c r="H894">
        <v>1334.1240233999999</v>
      </c>
      <c r="I894">
        <v>1328.6221923999999</v>
      </c>
      <c r="J894">
        <v>1327.7224120999999</v>
      </c>
      <c r="K894">
        <v>550</v>
      </c>
      <c r="L894">
        <v>0</v>
      </c>
      <c r="M894">
        <v>0</v>
      </c>
      <c r="N894">
        <v>550</v>
      </c>
    </row>
    <row r="895" spans="1:14" x14ac:dyDescent="0.25">
      <c r="A895">
        <v>740.783457</v>
      </c>
      <c r="B895" s="1">
        <f>DATE(2012,5,10) + TIME(18,48,10)</f>
        <v>41039.783449074072</v>
      </c>
      <c r="C895">
        <v>80</v>
      </c>
      <c r="D895">
        <v>79.888862610000004</v>
      </c>
      <c r="E895">
        <v>40</v>
      </c>
      <c r="F895">
        <v>39.495079040999997</v>
      </c>
      <c r="G895">
        <v>1335.9390868999999</v>
      </c>
      <c r="H895">
        <v>1334.1274414</v>
      </c>
      <c r="I895">
        <v>1328.6212158000001</v>
      </c>
      <c r="J895">
        <v>1327.7203368999999</v>
      </c>
      <c r="K895">
        <v>550</v>
      </c>
      <c r="L895">
        <v>0</v>
      </c>
      <c r="M895">
        <v>0</v>
      </c>
      <c r="N895">
        <v>550</v>
      </c>
    </row>
    <row r="896" spans="1:14" x14ac:dyDescent="0.25">
      <c r="A896">
        <v>741.14887799999997</v>
      </c>
      <c r="B896" s="1">
        <f>DATE(2012,5,11) + TIME(3,34,23)</f>
        <v>41040.148877314816</v>
      </c>
      <c r="C896">
        <v>80</v>
      </c>
      <c r="D896">
        <v>79.894889832000004</v>
      </c>
      <c r="E896">
        <v>40</v>
      </c>
      <c r="F896">
        <v>39.481910706000001</v>
      </c>
      <c r="G896">
        <v>1335.940918</v>
      </c>
      <c r="H896">
        <v>1334.1303711</v>
      </c>
      <c r="I896">
        <v>1328.6202393000001</v>
      </c>
      <c r="J896">
        <v>1327.7182617000001</v>
      </c>
      <c r="K896">
        <v>550</v>
      </c>
      <c r="L896">
        <v>0</v>
      </c>
      <c r="M896">
        <v>0</v>
      </c>
      <c r="N896">
        <v>550</v>
      </c>
    </row>
    <row r="897" spans="1:14" x14ac:dyDescent="0.25">
      <c r="A897">
        <v>741.52573400000006</v>
      </c>
      <c r="B897" s="1">
        <f>DATE(2012,5,11) + TIME(12,37,3)</f>
        <v>41040.525729166664</v>
      </c>
      <c r="C897">
        <v>80</v>
      </c>
      <c r="D897">
        <v>79.899765015</v>
      </c>
      <c r="E897">
        <v>40</v>
      </c>
      <c r="F897">
        <v>39.468498230000002</v>
      </c>
      <c r="G897">
        <v>1335.9420166</v>
      </c>
      <c r="H897">
        <v>1334.1329346</v>
      </c>
      <c r="I897">
        <v>1328.6191406</v>
      </c>
      <c r="J897">
        <v>1327.7160644999999</v>
      </c>
      <c r="K897">
        <v>550</v>
      </c>
      <c r="L897">
        <v>0</v>
      </c>
      <c r="M897">
        <v>0</v>
      </c>
      <c r="N897">
        <v>550</v>
      </c>
    </row>
    <row r="898" spans="1:14" x14ac:dyDescent="0.25">
      <c r="A898">
        <v>741.91625799999997</v>
      </c>
      <c r="B898" s="1">
        <f>DATE(2012,5,11) + TIME(21,59,24)</f>
        <v>41040.916250000002</v>
      </c>
      <c r="C898">
        <v>80</v>
      </c>
      <c r="D898">
        <v>79.903701781999999</v>
      </c>
      <c r="E898">
        <v>40</v>
      </c>
      <c r="F898">
        <v>39.454776764000002</v>
      </c>
      <c r="G898">
        <v>1335.9426269999999</v>
      </c>
      <c r="H898">
        <v>1334.1352539</v>
      </c>
      <c r="I898">
        <v>1328.6180420000001</v>
      </c>
      <c r="J898">
        <v>1327.7137451000001</v>
      </c>
      <c r="K898">
        <v>550</v>
      </c>
      <c r="L898">
        <v>0</v>
      </c>
      <c r="M898">
        <v>0</v>
      </c>
      <c r="N898">
        <v>550</v>
      </c>
    </row>
    <row r="899" spans="1:14" x14ac:dyDescent="0.25">
      <c r="A899">
        <v>742.32289200000002</v>
      </c>
      <c r="B899" s="1">
        <f>DATE(2012,5,12) + TIME(7,44,57)</f>
        <v>41041.322881944441</v>
      </c>
      <c r="C899">
        <v>80</v>
      </c>
      <c r="D899">
        <v>79.906890868999994</v>
      </c>
      <c r="E899">
        <v>40</v>
      </c>
      <c r="F899">
        <v>39.440685272000003</v>
      </c>
      <c r="G899">
        <v>1335.942749</v>
      </c>
      <c r="H899">
        <v>1334.1373291</v>
      </c>
      <c r="I899">
        <v>1328.6168213000001</v>
      </c>
      <c r="J899">
        <v>1327.7114257999999</v>
      </c>
      <c r="K899">
        <v>550</v>
      </c>
      <c r="L899">
        <v>0</v>
      </c>
      <c r="M899">
        <v>0</v>
      </c>
      <c r="N899">
        <v>550</v>
      </c>
    </row>
    <row r="900" spans="1:14" x14ac:dyDescent="0.25">
      <c r="A900">
        <v>742.74791900000002</v>
      </c>
      <c r="B900" s="1">
        <f>DATE(2012,5,12) + TIME(17,57,0)</f>
        <v>41041.747916666667</v>
      </c>
      <c r="C900">
        <v>80</v>
      </c>
      <c r="D900">
        <v>79.909461974999999</v>
      </c>
      <c r="E900">
        <v>40</v>
      </c>
      <c r="F900">
        <v>39.426162720000001</v>
      </c>
      <c r="G900">
        <v>1335.9423827999999</v>
      </c>
      <c r="H900">
        <v>1334.1390381000001</v>
      </c>
      <c r="I900">
        <v>1328.6156006000001</v>
      </c>
      <c r="J900">
        <v>1327.7088623</v>
      </c>
      <c r="K900">
        <v>550</v>
      </c>
      <c r="L900">
        <v>0</v>
      </c>
      <c r="M900">
        <v>0</v>
      </c>
      <c r="N900">
        <v>550</v>
      </c>
    </row>
    <row r="901" spans="1:14" x14ac:dyDescent="0.25">
      <c r="A901">
        <v>743.18822699999998</v>
      </c>
      <c r="B901" s="1">
        <f>DATE(2012,5,13) + TIME(4,31,2)</f>
        <v>41042.188217592593</v>
      </c>
      <c r="C901">
        <v>80</v>
      </c>
      <c r="D901">
        <v>79.911521911999998</v>
      </c>
      <c r="E901">
        <v>40</v>
      </c>
      <c r="F901">
        <v>39.411319732999999</v>
      </c>
      <c r="G901">
        <v>1335.9415283000001</v>
      </c>
      <c r="H901">
        <v>1334.140625</v>
      </c>
      <c r="I901">
        <v>1328.6142577999999</v>
      </c>
      <c r="J901">
        <v>1327.7062988</v>
      </c>
      <c r="K901">
        <v>550</v>
      </c>
      <c r="L901">
        <v>0</v>
      </c>
      <c r="M901">
        <v>0</v>
      </c>
      <c r="N901">
        <v>550</v>
      </c>
    </row>
    <row r="902" spans="1:14" x14ac:dyDescent="0.25">
      <c r="A902">
        <v>743.64306699999997</v>
      </c>
      <c r="B902" s="1">
        <f>DATE(2012,5,13) + TIME(15,26,1)</f>
        <v>41042.643067129633</v>
      </c>
      <c r="C902">
        <v>80</v>
      </c>
      <c r="D902">
        <v>79.913154602000006</v>
      </c>
      <c r="E902">
        <v>40</v>
      </c>
      <c r="F902">
        <v>39.396198273000003</v>
      </c>
      <c r="G902">
        <v>1335.9401855000001</v>
      </c>
      <c r="H902">
        <v>1334.1419678</v>
      </c>
      <c r="I902">
        <v>1328.6129149999999</v>
      </c>
      <c r="J902">
        <v>1327.7036132999999</v>
      </c>
      <c r="K902">
        <v>550</v>
      </c>
      <c r="L902">
        <v>0</v>
      </c>
      <c r="M902">
        <v>0</v>
      </c>
      <c r="N902">
        <v>550</v>
      </c>
    </row>
    <row r="903" spans="1:14" x14ac:dyDescent="0.25">
      <c r="A903">
        <v>744.11415899999997</v>
      </c>
      <c r="B903" s="1">
        <f>DATE(2012,5,14) + TIME(2,44,23)</f>
        <v>41043.114155092589</v>
      </c>
      <c r="C903">
        <v>80</v>
      </c>
      <c r="D903">
        <v>79.914451599000003</v>
      </c>
      <c r="E903">
        <v>40</v>
      </c>
      <c r="F903">
        <v>39.380760193</v>
      </c>
      <c r="G903">
        <v>1335.9384766000001</v>
      </c>
      <c r="H903">
        <v>1334.1430664</v>
      </c>
      <c r="I903">
        <v>1328.6115723</v>
      </c>
      <c r="J903">
        <v>1327.7006836</v>
      </c>
      <c r="K903">
        <v>550</v>
      </c>
      <c r="L903">
        <v>0</v>
      </c>
      <c r="M903">
        <v>0</v>
      </c>
      <c r="N903">
        <v>550</v>
      </c>
    </row>
    <row r="904" spans="1:14" x14ac:dyDescent="0.25">
      <c r="A904">
        <v>744.603611</v>
      </c>
      <c r="B904" s="1">
        <f>DATE(2012,5,14) + TIME(14,29,12)</f>
        <v>41043.60361111111</v>
      </c>
      <c r="C904">
        <v>80</v>
      </c>
      <c r="D904">
        <v>79.915473938000005</v>
      </c>
      <c r="E904">
        <v>40</v>
      </c>
      <c r="F904">
        <v>39.364955901999998</v>
      </c>
      <c r="G904">
        <v>1335.9364014</v>
      </c>
      <c r="H904">
        <v>1334.144043</v>
      </c>
      <c r="I904">
        <v>1328.6101074000001</v>
      </c>
      <c r="J904">
        <v>1327.6977539</v>
      </c>
      <c r="K904">
        <v>550</v>
      </c>
      <c r="L904">
        <v>0</v>
      </c>
      <c r="M904">
        <v>0</v>
      </c>
      <c r="N904">
        <v>550</v>
      </c>
    </row>
    <row r="905" spans="1:14" x14ac:dyDescent="0.25">
      <c r="A905">
        <v>745.11333100000002</v>
      </c>
      <c r="B905" s="1">
        <f>DATE(2012,5,15) + TIME(2,43,11)</f>
        <v>41044.113321759258</v>
      </c>
      <c r="C905">
        <v>80</v>
      </c>
      <c r="D905">
        <v>79.916290282999995</v>
      </c>
      <c r="E905">
        <v>40</v>
      </c>
      <c r="F905">
        <v>39.348754882999998</v>
      </c>
      <c r="G905">
        <v>1335.9339600000001</v>
      </c>
      <c r="H905">
        <v>1334.1447754000001</v>
      </c>
      <c r="I905">
        <v>1328.6085204999999</v>
      </c>
      <c r="J905">
        <v>1327.6947021000001</v>
      </c>
      <c r="K905">
        <v>550</v>
      </c>
      <c r="L905">
        <v>0</v>
      </c>
      <c r="M905">
        <v>0</v>
      </c>
      <c r="N905">
        <v>550</v>
      </c>
    </row>
    <row r="906" spans="1:14" x14ac:dyDescent="0.25">
      <c r="A906">
        <v>745.649179</v>
      </c>
      <c r="B906" s="1">
        <f>DATE(2012,5,15) + TIME(15,34,49)</f>
        <v>41044.649178240739</v>
      </c>
      <c r="C906">
        <v>80</v>
      </c>
      <c r="D906">
        <v>79.916931152000004</v>
      </c>
      <c r="E906">
        <v>40</v>
      </c>
      <c r="F906">
        <v>39.332015990999999</v>
      </c>
      <c r="G906">
        <v>1335.9311522999999</v>
      </c>
      <c r="H906">
        <v>1334.1453856999999</v>
      </c>
      <c r="I906">
        <v>1328.6068115</v>
      </c>
      <c r="J906">
        <v>1327.6915283000001</v>
      </c>
      <c r="K906">
        <v>550</v>
      </c>
      <c r="L906">
        <v>0</v>
      </c>
      <c r="M906">
        <v>0</v>
      </c>
      <c r="N906">
        <v>550</v>
      </c>
    </row>
    <row r="907" spans="1:14" x14ac:dyDescent="0.25">
      <c r="A907">
        <v>746.21070599999996</v>
      </c>
      <c r="B907" s="1">
        <f>DATE(2012,5,16) + TIME(5,3,24)</f>
        <v>41045.210694444446</v>
      </c>
      <c r="C907">
        <v>80</v>
      </c>
      <c r="D907">
        <v>79.917434692</v>
      </c>
      <c r="E907">
        <v>40</v>
      </c>
      <c r="F907">
        <v>39.314777374000002</v>
      </c>
      <c r="G907">
        <v>1335.9278564000001</v>
      </c>
      <c r="H907">
        <v>1334.1457519999999</v>
      </c>
      <c r="I907">
        <v>1328.6051024999999</v>
      </c>
      <c r="J907">
        <v>1327.6881103999999</v>
      </c>
      <c r="K907">
        <v>550</v>
      </c>
      <c r="L907">
        <v>0</v>
      </c>
      <c r="M907">
        <v>0</v>
      </c>
      <c r="N907">
        <v>550</v>
      </c>
    </row>
    <row r="908" spans="1:14" x14ac:dyDescent="0.25">
      <c r="A908">
        <v>746.79681200000005</v>
      </c>
      <c r="B908" s="1">
        <f>DATE(2012,5,16) + TIME(19,7,24)</f>
        <v>41045.796805555554</v>
      </c>
      <c r="C908">
        <v>80</v>
      </c>
      <c r="D908">
        <v>79.917816161999994</v>
      </c>
      <c r="E908">
        <v>40</v>
      </c>
      <c r="F908">
        <v>39.297103882000002</v>
      </c>
      <c r="G908">
        <v>1335.9243164</v>
      </c>
      <c r="H908">
        <v>1334.1461182</v>
      </c>
      <c r="I908">
        <v>1328.6032714999999</v>
      </c>
      <c r="J908">
        <v>1327.6844481999999</v>
      </c>
      <c r="K908">
        <v>550</v>
      </c>
      <c r="L908">
        <v>0</v>
      </c>
      <c r="M908">
        <v>0</v>
      </c>
      <c r="N908">
        <v>550</v>
      </c>
    </row>
    <row r="909" spans="1:14" x14ac:dyDescent="0.25">
      <c r="A909">
        <v>747.39544599999999</v>
      </c>
      <c r="B909" s="1">
        <f>DATE(2012,5,17) + TIME(9,29,26)</f>
        <v>41046.395439814813</v>
      </c>
      <c r="C909">
        <v>80</v>
      </c>
      <c r="D909">
        <v>79.918098450000002</v>
      </c>
      <c r="E909">
        <v>40</v>
      </c>
      <c r="F909">
        <v>39.279335021999998</v>
      </c>
      <c r="G909">
        <v>1335.9205322</v>
      </c>
      <c r="H909">
        <v>1334.1462402</v>
      </c>
      <c r="I909">
        <v>1328.6014404</v>
      </c>
      <c r="J909">
        <v>1327.6807861</v>
      </c>
      <c r="K909">
        <v>550</v>
      </c>
      <c r="L909">
        <v>0</v>
      </c>
      <c r="M909">
        <v>0</v>
      </c>
      <c r="N909">
        <v>550</v>
      </c>
    </row>
    <row r="910" spans="1:14" x14ac:dyDescent="0.25">
      <c r="A910">
        <v>747.996173</v>
      </c>
      <c r="B910" s="1">
        <f>DATE(2012,5,17) + TIME(23,54,29)</f>
        <v>41046.996168981481</v>
      </c>
      <c r="C910">
        <v>80</v>
      </c>
      <c r="D910">
        <v>79.918289185000006</v>
      </c>
      <c r="E910">
        <v>40</v>
      </c>
      <c r="F910">
        <v>39.261760711999997</v>
      </c>
      <c r="G910">
        <v>1335.9165039</v>
      </c>
      <c r="H910">
        <v>1334.1463623</v>
      </c>
      <c r="I910">
        <v>1328.5994873</v>
      </c>
      <c r="J910">
        <v>1327.6768798999999</v>
      </c>
      <c r="K910">
        <v>550</v>
      </c>
      <c r="L910">
        <v>0</v>
      </c>
      <c r="M910">
        <v>0</v>
      </c>
      <c r="N910">
        <v>550</v>
      </c>
    </row>
    <row r="911" spans="1:14" x14ac:dyDescent="0.25">
      <c r="A911">
        <v>748.60114299999998</v>
      </c>
      <c r="B911" s="1">
        <f>DATE(2012,5,18) + TIME(14,25,38)</f>
        <v>41047.601134259261</v>
      </c>
      <c r="C911">
        <v>80</v>
      </c>
      <c r="D911">
        <v>79.918418884000005</v>
      </c>
      <c r="E911">
        <v>40</v>
      </c>
      <c r="F911">
        <v>39.244338988999999</v>
      </c>
      <c r="G911">
        <v>1335.9124756000001</v>
      </c>
      <c r="H911">
        <v>1334.1463623</v>
      </c>
      <c r="I911">
        <v>1328.5974120999999</v>
      </c>
      <c r="J911">
        <v>1327.6729736</v>
      </c>
      <c r="K911">
        <v>550</v>
      </c>
      <c r="L911">
        <v>0</v>
      </c>
      <c r="M911">
        <v>0</v>
      </c>
      <c r="N911">
        <v>550</v>
      </c>
    </row>
    <row r="912" spans="1:14" x14ac:dyDescent="0.25">
      <c r="A912">
        <v>749.21209199999998</v>
      </c>
      <c r="B912" s="1">
        <f>DATE(2012,5,19) + TIME(5,5,24)</f>
        <v>41048.212083333332</v>
      </c>
      <c r="C912">
        <v>80</v>
      </c>
      <c r="D912">
        <v>79.918495178000001</v>
      </c>
      <c r="E912">
        <v>40</v>
      </c>
      <c r="F912">
        <v>39.227043152</v>
      </c>
      <c r="G912">
        <v>1335.9083252</v>
      </c>
      <c r="H912">
        <v>1334.1462402</v>
      </c>
      <c r="I912">
        <v>1328.5954589999999</v>
      </c>
      <c r="J912">
        <v>1327.6690673999999</v>
      </c>
      <c r="K912">
        <v>550</v>
      </c>
      <c r="L912">
        <v>0</v>
      </c>
      <c r="M912">
        <v>0</v>
      </c>
      <c r="N912">
        <v>550</v>
      </c>
    </row>
    <row r="913" spans="1:14" x14ac:dyDescent="0.25">
      <c r="A913">
        <v>749.830915</v>
      </c>
      <c r="B913" s="1">
        <f>DATE(2012,5,19) + TIME(19,56,31)</f>
        <v>41048.830914351849</v>
      </c>
      <c r="C913">
        <v>80</v>
      </c>
      <c r="D913">
        <v>79.918533324999999</v>
      </c>
      <c r="E913">
        <v>40</v>
      </c>
      <c r="F913">
        <v>39.209838867000002</v>
      </c>
      <c r="G913">
        <v>1335.9040527</v>
      </c>
      <c r="H913">
        <v>1334.1461182</v>
      </c>
      <c r="I913">
        <v>1328.5933838000001</v>
      </c>
      <c r="J913">
        <v>1327.6650391000001</v>
      </c>
      <c r="K913">
        <v>550</v>
      </c>
      <c r="L913">
        <v>0</v>
      </c>
      <c r="M913">
        <v>0</v>
      </c>
      <c r="N913">
        <v>550</v>
      </c>
    </row>
    <row r="914" spans="1:14" x14ac:dyDescent="0.25">
      <c r="A914">
        <v>750.45954099999994</v>
      </c>
      <c r="B914" s="1">
        <f>DATE(2012,5,20) + TIME(11,1,44)</f>
        <v>41049.459537037037</v>
      </c>
      <c r="C914">
        <v>80</v>
      </c>
      <c r="D914">
        <v>79.918533324999999</v>
      </c>
      <c r="E914">
        <v>40</v>
      </c>
      <c r="F914">
        <v>39.192703246999997</v>
      </c>
      <c r="G914">
        <v>1335.8997803</v>
      </c>
      <c r="H914">
        <v>1334.145874</v>
      </c>
      <c r="I914">
        <v>1328.5913086</v>
      </c>
      <c r="J914">
        <v>1327.6610106999999</v>
      </c>
      <c r="K914">
        <v>550</v>
      </c>
      <c r="L914">
        <v>0</v>
      </c>
      <c r="M914">
        <v>0</v>
      </c>
      <c r="N914">
        <v>550</v>
      </c>
    </row>
    <row r="915" spans="1:14" x14ac:dyDescent="0.25">
      <c r="A915">
        <v>751.09995800000002</v>
      </c>
      <c r="B915" s="1">
        <f>DATE(2012,5,21) + TIME(2,23,56)</f>
        <v>41050.099953703706</v>
      </c>
      <c r="C915">
        <v>80</v>
      </c>
      <c r="D915">
        <v>79.918518066000004</v>
      </c>
      <c r="E915">
        <v>40</v>
      </c>
      <c r="F915">
        <v>39.175613403</v>
      </c>
      <c r="G915">
        <v>1335.8953856999999</v>
      </c>
      <c r="H915">
        <v>1334.1456298999999</v>
      </c>
      <c r="I915">
        <v>1328.5892334</v>
      </c>
      <c r="J915">
        <v>1327.6567382999999</v>
      </c>
      <c r="K915">
        <v>550</v>
      </c>
      <c r="L915">
        <v>0</v>
      </c>
      <c r="M915">
        <v>0</v>
      </c>
      <c r="N915">
        <v>550</v>
      </c>
    </row>
    <row r="916" spans="1:14" x14ac:dyDescent="0.25">
      <c r="A916">
        <v>751.75425199999995</v>
      </c>
      <c r="B916" s="1">
        <f>DATE(2012,5,21) + TIME(18,6,7)</f>
        <v>41050.754247685189</v>
      </c>
      <c r="C916">
        <v>80</v>
      </c>
      <c r="D916">
        <v>79.918472289999997</v>
      </c>
      <c r="E916">
        <v>40</v>
      </c>
      <c r="F916">
        <v>39.158542633000003</v>
      </c>
      <c r="G916">
        <v>1335.8909911999999</v>
      </c>
      <c r="H916">
        <v>1334.1453856999999</v>
      </c>
      <c r="I916">
        <v>1328.5870361</v>
      </c>
      <c r="J916">
        <v>1327.6524658000001</v>
      </c>
      <c r="K916">
        <v>550</v>
      </c>
      <c r="L916">
        <v>0</v>
      </c>
      <c r="M916">
        <v>0</v>
      </c>
      <c r="N916">
        <v>550</v>
      </c>
    </row>
    <row r="917" spans="1:14" x14ac:dyDescent="0.25">
      <c r="A917">
        <v>752.42465400000003</v>
      </c>
      <c r="B917" s="1">
        <f>DATE(2012,5,22) + TIME(10,11,30)</f>
        <v>41051.42465277778</v>
      </c>
      <c r="C917">
        <v>80</v>
      </c>
      <c r="D917">
        <v>79.918411254999995</v>
      </c>
      <c r="E917">
        <v>40</v>
      </c>
      <c r="F917">
        <v>39.141475677000003</v>
      </c>
      <c r="G917">
        <v>1335.8864745999999</v>
      </c>
      <c r="H917">
        <v>1334.1450195</v>
      </c>
      <c r="I917">
        <v>1328.5848389</v>
      </c>
      <c r="J917">
        <v>1327.6480713000001</v>
      </c>
      <c r="K917">
        <v>550</v>
      </c>
      <c r="L917">
        <v>0</v>
      </c>
      <c r="M917">
        <v>0</v>
      </c>
      <c r="N917">
        <v>550</v>
      </c>
    </row>
    <row r="918" spans="1:14" x14ac:dyDescent="0.25">
      <c r="A918">
        <v>753.11359200000004</v>
      </c>
      <c r="B918" s="1">
        <f>DATE(2012,5,23) + TIME(2,43,34)</f>
        <v>41052.113587962966</v>
      </c>
      <c r="C918">
        <v>80</v>
      </c>
      <c r="D918">
        <v>79.918334960999999</v>
      </c>
      <c r="E918">
        <v>40</v>
      </c>
      <c r="F918">
        <v>39.124393462999997</v>
      </c>
      <c r="G918">
        <v>1335.8819579999999</v>
      </c>
      <c r="H918">
        <v>1334.1447754000001</v>
      </c>
      <c r="I918">
        <v>1328.5825195</v>
      </c>
      <c r="J918">
        <v>1327.6435547000001</v>
      </c>
      <c r="K918">
        <v>550</v>
      </c>
      <c r="L918">
        <v>0</v>
      </c>
      <c r="M918">
        <v>0</v>
      </c>
      <c r="N918">
        <v>550</v>
      </c>
    </row>
    <row r="919" spans="1:14" x14ac:dyDescent="0.25">
      <c r="A919">
        <v>753.82377299999996</v>
      </c>
      <c r="B919" s="1">
        <f>DATE(2012,5,23) + TIME(19,46,13)</f>
        <v>41052.823761574073</v>
      </c>
      <c r="C919">
        <v>80</v>
      </c>
      <c r="D919">
        <v>79.918243407999995</v>
      </c>
      <c r="E919">
        <v>40</v>
      </c>
      <c r="F919">
        <v>39.107284546000002</v>
      </c>
      <c r="G919">
        <v>1335.8773193</v>
      </c>
      <c r="H919">
        <v>1334.1444091999999</v>
      </c>
      <c r="I919">
        <v>1328.5802002</v>
      </c>
      <c r="J919">
        <v>1327.6389160000001</v>
      </c>
      <c r="K919">
        <v>550</v>
      </c>
      <c r="L919">
        <v>0</v>
      </c>
      <c r="M919">
        <v>0</v>
      </c>
      <c r="N919">
        <v>550</v>
      </c>
    </row>
    <row r="920" spans="1:14" x14ac:dyDescent="0.25">
      <c r="A920">
        <v>754.56406800000002</v>
      </c>
      <c r="B920" s="1">
        <f>DATE(2012,5,24) + TIME(13,32,15)</f>
        <v>41053.564062500001</v>
      </c>
      <c r="C920">
        <v>80</v>
      </c>
      <c r="D920">
        <v>79.918136597</v>
      </c>
      <c r="E920">
        <v>40</v>
      </c>
      <c r="F920">
        <v>39.090019226000003</v>
      </c>
      <c r="G920">
        <v>1335.8726807</v>
      </c>
      <c r="H920">
        <v>1334.144043</v>
      </c>
      <c r="I920">
        <v>1328.5777588000001</v>
      </c>
      <c r="J920">
        <v>1327.6340332</v>
      </c>
      <c r="K920">
        <v>550</v>
      </c>
      <c r="L920">
        <v>0</v>
      </c>
      <c r="M920">
        <v>0</v>
      </c>
      <c r="N920">
        <v>550</v>
      </c>
    </row>
    <row r="921" spans="1:14" x14ac:dyDescent="0.25">
      <c r="A921">
        <v>755.33234400000003</v>
      </c>
      <c r="B921" s="1">
        <f>DATE(2012,5,25) + TIME(7,58,34)</f>
        <v>41054.332337962966</v>
      </c>
      <c r="C921">
        <v>80</v>
      </c>
      <c r="D921">
        <v>79.918022156000006</v>
      </c>
      <c r="E921">
        <v>40</v>
      </c>
      <c r="F921">
        <v>39.072708130000002</v>
      </c>
      <c r="G921">
        <v>1335.8679199000001</v>
      </c>
      <c r="H921">
        <v>1334.1436768000001</v>
      </c>
      <c r="I921">
        <v>1328.5751952999999</v>
      </c>
      <c r="J921">
        <v>1327.6289062000001</v>
      </c>
      <c r="K921">
        <v>550</v>
      </c>
      <c r="L921">
        <v>0</v>
      </c>
      <c r="M921">
        <v>0</v>
      </c>
      <c r="N921">
        <v>550</v>
      </c>
    </row>
    <row r="922" spans="1:14" x14ac:dyDescent="0.25">
      <c r="A922">
        <v>756.12034100000005</v>
      </c>
      <c r="B922" s="1">
        <f>DATE(2012,5,26) + TIME(2,53,17)</f>
        <v>41055.120335648149</v>
      </c>
      <c r="C922">
        <v>80</v>
      </c>
      <c r="D922">
        <v>79.917900084999999</v>
      </c>
      <c r="E922">
        <v>40</v>
      </c>
      <c r="F922">
        <v>39.055568694999998</v>
      </c>
      <c r="G922">
        <v>1335.8631591999999</v>
      </c>
      <c r="H922">
        <v>1334.1433105000001</v>
      </c>
      <c r="I922">
        <v>1328.5726318</v>
      </c>
      <c r="J922">
        <v>1327.6236572</v>
      </c>
      <c r="K922">
        <v>550</v>
      </c>
      <c r="L922">
        <v>0</v>
      </c>
      <c r="M922">
        <v>0</v>
      </c>
      <c r="N922">
        <v>550</v>
      </c>
    </row>
    <row r="923" spans="1:14" x14ac:dyDescent="0.25">
      <c r="A923">
        <v>756.93112399999995</v>
      </c>
      <c r="B923" s="1">
        <f>DATE(2012,5,26) + TIME(22,20,49)</f>
        <v>41055.931122685186</v>
      </c>
      <c r="C923">
        <v>80</v>
      </c>
      <c r="D923">
        <v>79.917770386000001</v>
      </c>
      <c r="E923">
        <v>40</v>
      </c>
      <c r="F923">
        <v>39.038616179999998</v>
      </c>
      <c r="G923">
        <v>1335.8582764</v>
      </c>
      <c r="H923">
        <v>1334.1429443</v>
      </c>
      <c r="I923">
        <v>1328.5699463000001</v>
      </c>
      <c r="J923">
        <v>1327.6182861</v>
      </c>
      <c r="K923">
        <v>550</v>
      </c>
      <c r="L923">
        <v>0</v>
      </c>
      <c r="M923">
        <v>0</v>
      </c>
      <c r="N923">
        <v>550</v>
      </c>
    </row>
    <row r="924" spans="1:14" x14ac:dyDescent="0.25">
      <c r="A924">
        <v>757.76793799999996</v>
      </c>
      <c r="B924" s="1">
        <f>DATE(2012,5,27) + TIME(18,25,49)</f>
        <v>41056.767928240741</v>
      </c>
      <c r="C924">
        <v>80</v>
      </c>
      <c r="D924">
        <v>79.917633057000003</v>
      </c>
      <c r="E924">
        <v>40</v>
      </c>
      <c r="F924">
        <v>39.021869658999996</v>
      </c>
      <c r="G924">
        <v>1335.8533935999999</v>
      </c>
      <c r="H924">
        <v>1334.1425781</v>
      </c>
      <c r="I924">
        <v>1328.5671387</v>
      </c>
      <c r="J924">
        <v>1327.612793</v>
      </c>
      <c r="K924">
        <v>550</v>
      </c>
      <c r="L924">
        <v>0</v>
      </c>
      <c r="M924">
        <v>0</v>
      </c>
      <c r="N924">
        <v>550</v>
      </c>
    </row>
    <row r="925" spans="1:14" x14ac:dyDescent="0.25">
      <c r="A925">
        <v>758.63468699999999</v>
      </c>
      <c r="B925" s="1">
        <f>DATE(2012,5,28) + TIME(15,13,56)</f>
        <v>41057.634675925925</v>
      </c>
      <c r="C925">
        <v>80</v>
      </c>
      <c r="D925">
        <v>79.917488098000007</v>
      </c>
      <c r="E925">
        <v>40</v>
      </c>
      <c r="F925">
        <v>39.005352019999997</v>
      </c>
      <c r="G925">
        <v>1335.8486327999999</v>
      </c>
      <c r="H925">
        <v>1334.1422118999999</v>
      </c>
      <c r="I925">
        <v>1328.5643310999999</v>
      </c>
      <c r="J925">
        <v>1327.6069336</v>
      </c>
      <c r="K925">
        <v>550</v>
      </c>
      <c r="L925">
        <v>0</v>
      </c>
      <c r="M925">
        <v>0</v>
      </c>
      <c r="N925">
        <v>550</v>
      </c>
    </row>
    <row r="926" spans="1:14" x14ac:dyDescent="0.25">
      <c r="A926">
        <v>759.53584599999999</v>
      </c>
      <c r="B926" s="1">
        <f>DATE(2012,5,29) + TIME(12,51,37)</f>
        <v>41058.535844907405</v>
      </c>
      <c r="C926">
        <v>80</v>
      </c>
      <c r="D926">
        <v>79.91734314</v>
      </c>
      <c r="E926">
        <v>40</v>
      </c>
      <c r="F926">
        <v>38.989105225000003</v>
      </c>
      <c r="G926">
        <v>1335.84375</v>
      </c>
      <c r="H926">
        <v>1334.1418457</v>
      </c>
      <c r="I926">
        <v>1328.5614014</v>
      </c>
      <c r="J926">
        <v>1327.6009521000001</v>
      </c>
      <c r="K926">
        <v>550</v>
      </c>
      <c r="L926">
        <v>0</v>
      </c>
      <c r="M926">
        <v>0</v>
      </c>
      <c r="N926">
        <v>550</v>
      </c>
    </row>
    <row r="927" spans="1:14" x14ac:dyDescent="0.25">
      <c r="A927">
        <v>760.47905100000003</v>
      </c>
      <c r="B927" s="1">
        <f>DATE(2012,5,30) + TIME(11,29,50)</f>
        <v>41059.479050925926</v>
      </c>
      <c r="C927">
        <v>80</v>
      </c>
      <c r="D927">
        <v>79.917190551999994</v>
      </c>
      <c r="E927">
        <v>40</v>
      </c>
      <c r="F927">
        <v>38.973152161000002</v>
      </c>
      <c r="G927">
        <v>1335.8387451000001</v>
      </c>
      <c r="H927">
        <v>1334.1414795000001</v>
      </c>
      <c r="I927">
        <v>1328.5583495999999</v>
      </c>
      <c r="J927">
        <v>1327.5947266000001</v>
      </c>
      <c r="K927">
        <v>550</v>
      </c>
      <c r="L927">
        <v>0</v>
      </c>
      <c r="M927">
        <v>0</v>
      </c>
      <c r="N927">
        <v>550</v>
      </c>
    </row>
    <row r="928" spans="1:14" x14ac:dyDescent="0.25">
      <c r="A928">
        <v>761.47391400000004</v>
      </c>
      <c r="B928" s="1">
        <f>DATE(2012,5,31) + TIME(11,22,26)</f>
        <v>41060.473912037036</v>
      </c>
      <c r="C928">
        <v>80</v>
      </c>
      <c r="D928">
        <v>79.917037964000002</v>
      </c>
      <c r="E928">
        <v>40</v>
      </c>
      <c r="F928">
        <v>38.957534789999997</v>
      </c>
      <c r="G928">
        <v>1335.8337402</v>
      </c>
      <c r="H928">
        <v>1334.1412353999999</v>
      </c>
      <c r="I928">
        <v>1328.5552978999999</v>
      </c>
      <c r="J928">
        <v>1327.5882568</v>
      </c>
      <c r="K928">
        <v>550</v>
      </c>
      <c r="L928">
        <v>0</v>
      </c>
      <c r="M928">
        <v>0</v>
      </c>
      <c r="N928">
        <v>550</v>
      </c>
    </row>
    <row r="929" spans="1:14" x14ac:dyDescent="0.25">
      <c r="A929">
        <v>762</v>
      </c>
      <c r="B929" s="1">
        <f>DATE(2012,6,1) + TIME(0,0,0)</f>
        <v>41061</v>
      </c>
      <c r="C929">
        <v>80</v>
      </c>
      <c r="D929">
        <v>79.916915893999999</v>
      </c>
      <c r="E929">
        <v>40</v>
      </c>
      <c r="F929">
        <v>38.949092864999997</v>
      </c>
      <c r="G929">
        <v>1335.8287353999999</v>
      </c>
      <c r="H929">
        <v>1334.1408690999999</v>
      </c>
      <c r="I929">
        <v>1328.5523682</v>
      </c>
      <c r="J929">
        <v>1327.5821533000001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762.99925199999996</v>
      </c>
      <c r="B930" s="1">
        <f>DATE(2012,6,1) + TIME(23,58,55)</f>
        <v>41061.999247685184</v>
      </c>
      <c r="C930">
        <v>80</v>
      </c>
      <c r="D930">
        <v>79.916770935000002</v>
      </c>
      <c r="E930">
        <v>40</v>
      </c>
      <c r="F930">
        <v>38.935390472000002</v>
      </c>
      <c r="G930">
        <v>1335.8260498</v>
      </c>
      <c r="H930">
        <v>1334.140625</v>
      </c>
      <c r="I930">
        <v>1328.5500488</v>
      </c>
      <c r="J930">
        <v>1327.5775146000001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764.01325899999995</v>
      </c>
      <c r="B931" s="1">
        <f>DATE(2012,6,3) + TIME(0,19,5)</f>
        <v>41063.013252314813</v>
      </c>
      <c r="C931">
        <v>80</v>
      </c>
      <c r="D931">
        <v>79.916625976999995</v>
      </c>
      <c r="E931">
        <v>40</v>
      </c>
      <c r="F931">
        <v>38.922805785999998</v>
      </c>
      <c r="G931">
        <v>1335.8212891000001</v>
      </c>
      <c r="H931">
        <v>1334.1403809000001</v>
      </c>
      <c r="I931">
        <v>1328.546875</v>
      </c>
      <c r="J931">
        <v>1327.5706786999999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765.04173900000001</v>
      </c>
      <c r="B932" s="1">
        <f>DATE(2012,6,4) + TIME(1,0,6)</f>
        <v>41064.04173611111</v>
      </c>
      <c r="C932">
        <v>80</v>
      </c>
      <c r="D932">
        <v>79.916473389000004</v>
      </c>
      <c r="E932">
        <v>40</v>
      </c>
      <c r="F932">
        <v>38.911483765</v>
      </c>
      <c r="G932">
        <v>1335.8164062000001</v>
      </c>
      <c r="H932">
        <v>1334.1401367000001</v>
      </c>
      <c r="I932">
        <v>1328.5435791</v>
      </c>
      <c r="J932">
        <v>1327.5637207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766.08891000000006</v>
      </c>
      <c r="B933" s="1">
        <f>DATE(2012,6,5) + TIME(2,8,1)</f>
        <v>41065.088900462964</v>
      </c>
      <c r="C933">
        <v>80</v>
      </c>
      <c r="D933">
        <v>79.916320800999998</v>
      </c>
      <c r="E933">
        <v>40</v>
      </c>
      <c r="F933">
        <v>38.901531218999999</v>
      </c>
      <c r="G933">
        <v>1335.8117675999999</v>
      </c>
      <c r="H933">
        <v>1334.1398925999999</v>
      </c>
      <c r="I933">
        <v>1328.5402832</v>
      </c>
      <c r="J933">
        <v>1327.5566406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767.15914899999996</v>
      </c>
      <c r="B934" s="1">
        <f>DATE(2012,6,6) + TIME(3,49,10)</f>
        <v>41066.159143518518</v>
      </c>
      <c r="C934">
        <v>80</v>
      </c>
      <c r="D934">
        <v>79.916168213000006</v>
      </c>
      <c r="E934">
        <v>40</v>
      </c>
      <c r="F934">
        <v>38.893096923999998</v>
      </c>
      <c r="G934">
        <v>1335.8071289</v>
      </c>
      <c r="H934">
        <v>1334.1397704999999</v>
      </c>
      <c r="I934">
        <v>1328.5369873</v>
      </c>
      <c r="J934">
        <v>1327.5494385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768.25742400000001</v>
      </c>
      <c r="B935" s="1">
        <f>DATE(2012,6,7) + TIME(6,10,41)</f>
        <v>41067.257418981484</v>
      </c>
      <c r="C935">
        <v>80</v>
      </c>
      <c r="D935">
        <v>79.916015625</v>
      </c>
      <c r="E935">
        <v>40</v>
      </c>
      <c r="F935">
        <v>38.886363983000003</v>
      </c>
      <c r="G935">
        <v>1335.8026123</v>
      </c>
      <c r="H935">
        <v>1334.1395264</v>
      </c>
      <c r="I935">
        <v>1328.5336914</v>
      </c>
      <c r="J935">
        <v>1327.5421143000001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769.39416500000004</v>
      </c>
      <c r="B936" s="1">
        <f>DATE(2012,6,8) + TIME(9,27,35)</f>
        <v>41068.394155092596</v>
      </c>
      <c r="C936">
        <v>80</v>
      </c>
      <c r="D936">
        <v>79.915870666999993</v>
      </c>
      <c r="E936">
        <v>40</v>
      </c>
      <c r="F936">
        <v>38.881542205999999</v>
      </c>
      <c r="G936">
        <v>1335.7980957</v>
      </c>
      <c r="H936">
        <v>1334.1392822</v>
      </c>
      <c r="I936">
        <v>1328.5302733999999</v>
      </c>
      <c r="J936">
        <v>1327.534668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770.563447</v>
      </c>
      <c r="B937" s="1">
        <f>DATE(2012,6,9) + TIME(13,31,21)</f>
        <v>41069.563437500001</v>
      </c>
      <c r="C937">
        <v>80</v>
      </c>
      <c r="D937">
        <v>79.915725707999997</v>
      </c>
      <c r="E937">
        <v>40</v>
      </c>
      <c r="F937">
        <v>38.878967285000002</v>
      </c>
      <c r="G937">
        <v>1335.7935791</v>
      </c>
      <c r="H937">
        <v>1334.1391602000001</v>
      </c>
      <c r="I937">
        <v>1328.5268555</v>
      </c>
      <c r="J937">
        <v>1327.5268555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771.780981</v>
      </c>
      <c r="B938" s="1">
        <f>DATE(2012,6,10) + TIME(18,44,36)</f>
        <v>41070.780972222223</v>
      </c>
      <c r="C938">
        <v>80</v>
      </c>
      <c r="D938">
        <v>79.915573120000005</v>
      </c>
      <c r="E938">
        <v>40</v>
      </c>
      <c r="F938">
        <v>38.878974915000001</v>
      </c>
      <c r="G938">
        <v>1335.7890625</v>
      </c>
      <c r="H938">
        <v>1334.1389160000001</v>
      </c>
      <c r="I938">
        <v>1328.5233154</v>
      </c>
      <c r="J938">
        <v>1327.519043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773.06030199999998</v>
      </c>
      <c r="B939" s="1">
        <f>DATE(2012,6,12) + TIME(1,26,50)</f>
        <v>41072.060300925928</v>
      </c>
      <c r="C939">
        <v>80</v>
      </c>
      <c r="D939">
        <v>79.915428161999998</v>
      </c>
      <c r="E939">
        <v>40</v>
      </c>
      <c r="F939">
        <v>38.882072448999999</v>
      </c>
      <c r="G939">
        <v>1335.7845459</v>
      </c>
      <c r="H939">
        <v>1334.1387939000001</v>
      </c>
      <c r="I939">
        <v>1328.5196533000001</v>
      </c>
      <c r="J939">
        <v>1327.5107422000001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774.40878899999996</v>
      </c>
      <c r="B940" s="1">
        <f>DATE(2012,6,13) + TIME(9,48,39)</f>
        <v>41073.408784722225</v>
      </c>
      <c r="C940">
        <v>80</v>
      </c>
      <c r="D940">
        <v>79.915283203000001</v>
      </c>
      <c r="E940">
        <v>40</v>
      </c>
      <c r="F940">
        <v>38.888923644999998</v>
      </c>
      <c r="G940">
        <v>1335.7799072</v>
      </c>
      <c r="H940">
        <v>1334.1385498</v>
      </c>
      <c r="I940">
        <v>1328.5159911999999</v>
      </c>
      <c r="J940">
        <v>1327.5023193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775.78122800000006</v>
      </c>
      <c r="B941" s="1">
        <f>DATE(2012,6,14) + TIME(18,44,58)</f>
        <v>41074.781226851854</v>
      </c>
      <c r="C941">
        <v>80</v>
      </c>
      <c r="D941">
        <v>79.915145874000004</v>
      </c>
      <c r="E941">
        <v>40</v>
      </c>
      <c r="F941">
        <v>38.900058745999999</v>
      </c>
      <c r="G941">
        <v>1335.7752685999999</v>
      </c>
      <c r="H941">
        <v>1334.1384277</v>
      </c>
      <c r="I941">
        <v>1328.5123291</v>
      </c>
      <c r="J941">
        <v>1327.4934082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777.18398100000002</v>
      </c>
      <c r="B942" s="1">
        <f>DATE(2012,6,16) + TIME(4,24,55)</f>
        <v>41076.183969907404</v>
      </c>
      <c r="C942">
        <v>80</v>
      </c>
      <c r="D942">
        <v>79.915000915999997</v>
      </c>
      <c r="E942">
        <v>40</v>
      </c>
      <c r="F942">
        <v>38.916080475000001</v>
      </c>
      <c r="G942">
        <v>1335.7706298999999</v>
      </c>
      <c r="H942">
        <v>1334.1383057</v>
      </c>
      <c r="I942">
        <v>1328.5086670000001</v>
      </c>
      <c r="J942">
        <v>1327.4844971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778.62363600000003</v>
      </c>
      <c r="B943" s="1">
        <f>DATE(2012,6,17) + TIME(14,58,2)</f>
        <v>41077.62363425926</v>
      </c>
      <c r="C943">
        <v>80</v>
      </c>
      <c r="D943">
        <v>79.914863585999996</v>
      </c>
      <c r="E943">
        <v>40</v>
      </c>
      <c r="F943">
        <v>38.937736510999997</v>
      </c>
      <c r="G943">
        <v>1335.7661132999999</v>
      </c>
      <c r="H943">
        <v>1334.1381836</v>
      </c>
      <c r="I943">
        <v>1328.5050048999999</v>
      </c>
      <c r="J943">
        <v>1327.4754639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780.10658899999999</v>
      </c>
      <c r="B944" s="1">
        <f>DATE(2012,6,19) + TIME(2,33,29)</f>
        <v>41079.106585648151</v>
      </c>
      <c r="C944">
        <v>80</v>
      </c>
      <c r="D944">
        <v>79.914726256999998</v>
      </c>
      <c r="E944">
        <v>40</v>
      </c>
      <c r="F944">
        <v>38.965942382999998</v>
      </c>
      <c r="G944">
        <v>1335.7617187999999</v>
      </c>
      <c r="H944">
        <v>1334.1379394999999</v>
      </c>
      <c r="I944">
        <v>1328.5013428</v>
      </c>
      <c r="J944">
        <v>1327.4663086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781.62237000000005</v>
      </c>
      <c r="B945" s="1">
        <f>DATE(2012,6,20) + TIME(14,56,12)</f>
        <v>41080.622361111113</v>
      </c>
      <c r="C945">
        <v>80</v>
      </c>
      <c r="D945">
        <v>79.914596558</v>
      </c>
      <c r="E945">
        <v>40</v>
      </c>
      <c r="F945">
        <v>39.001552582000002</v>
      </c>
      <c r="G945">
        <v>1335.7572021000001</v>
      </c>
      <c r="H945">
        <v>1334.1378173999999</v>
      </c>
      <c r="I945">
        <v>1328.4978027</v>
      </c>
      <c r="J945">
        <v>1327.4571533000001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783.15161000000001</v>
      </c>
      <c r="B946" s="1">
        <f>DATE(2012,6,22) + TIME(3,38,19)</f>
        <v>41082.151608796295</v>
      </c>
      <c r="C946">
        <v>80</v>
      </c>
      <c r="D946">
        <v>79.914474487000007</v>
      </c>
      <c r="E946">
        <v>40</v>
      </c>
      <c r="F946">
        <v>39.045219420999999</v>
      </c>
      <c r="G946">
        <v>1335.7528076000001</v>
      </c>
      <c r="H946">
        <v>1334.1376952999999</v>
      </c>
      <c r="I946">
        <v>1328.4942627</v>
      </c>
      <c r="J946">
        <v>1327.447876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784.70208000000002</v>
      </c>
      <c r="B947" s="1">
        <f>DATE(2012,6,23) + TIME(16,50,59)</f>
        <v>41083.70207175926</v>
      </c>
      <c r="C947">
        <v>80</v>
      </c>
      <c r="D947">
        <v>79.914352417000003</v>
      </c>
      <c r="E947">
        <v>40</v>
      </c>
      <c r="F947">
        <v>39.098003386999999</v>
      </c>
      <c r="G947">
        <v>1335.7485352000001</v>
      </c>
      <c r="H947">
        <v>1334.1374512</v>
      </c>
      <c r="I947">
        <v>1328.4909668</v>
      </c>
      <c r="J947">
        <v>1327.4385986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786.28221699999995</v>
      </c>
      <c r="B948" s="1">
        <f>DATE(2012,6,25) + TIME(6,46,23)</f>
        <v>41085.282210648147</v>
      </c>
      <c r="C948">
        <v>80</v>
      </c>
      <c r="D948">
        <v>79.914237975999995</v>
      </c>
      <c r="E948">
        <v>40</v>
      </c>
      <c r="F948">
        <v>39.161266327</v>
      </c>
      <c r="G948">
        <v>1335.7442627</v>
      </c>
      <c r="H948">
        <v>1334.137207</v>
      </c>
      <c r="I948">
        <v>1328.4876709</v>
      </c>
      <c r="J948">
        <v>1327.4294434000001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787.90102100000001</v>
      </c>
      <c r="B949" s="1">
        <f>DATE(2012,6,26) + TIME(21,37,28)</f>
        <v>41086.901018518518</v>
      </c>
      <c r="C949">
        <v>80</v>
      </c>
      <c r="D949">
        <v>79.914123535000002</v>
      </c>
      <c r="E949">
        <v>40</v>
      </c>
      <c r="F949">
        <v>39.236717224000003</v>
      </c>
      <c r="G949">
        <v>1335.7401123</v>
      </c>
      <c r="H949">
        <v>1334.1370850000001</v>
      </c>
      <c r="I949">
        <v>1328.4846190999999</v>
      </c>
      <c r="J949">
        <v>1327.4204102000001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789.56734500000005</v>
      </c>
      <c r="B950" s="1">
        <f>DATE(2012,6,28) + TIME(13,36,58)</f>
        <v>41088.567337962966</v>
      </c>
      <c r="C950">
        <v>80</v>
      </c>
      <c r="D950">
        <v>79.914024353000002</v>
      </c>
      <c r="E950">
        <v>40</v>
      </c>
      <c r="F950">
        <v>39.326473235999998</v>
      </c>
      <c r="G950">
        <v>1335.7359618999999</v>
      </c>
      <c r="H950">
        <v>1334.1368408000001</v>
      </c>
      <c r="I950">
        <v>1328.4816894999999</v>
      </c>
      <c r="J950">
        <v>1327.411499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791.29603199999997</v>
      </c>
      <c r="B951" s="1">
        <f>DATE(2012,6,30) + TIME(7,6,17)</f>
        <v>41090.296030092592</v>
      </c>
      <c r="C951">
        <v>80</v>
      </c>
      <c r="D951">
        <v>79.913925171000002</v>
      </c>
      <c r="E951">
        <v>40</v>
      </c>
      <c r="F951">
        <v>39.433372497999997</v>
      </c>
      <c r="G951">
        <v>1335.7318115</v>
      </c>
      <c r="H951">
        <v>1334.1364745999999</v>
      </c>
      <c r="I951">
        <v>1328.4788818</v>
      </c>
      <c r="J951">
        <v>1327.4025879000001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792</v>
      </c>
      <c r="B952" s="1">
        <f>DATE(2012,7,1) + TIME(0,0,0)</f>
        <v>41091</v>
      </c>
      <c r="C952">
        <v>80</v>
      </c>
      <c r="D952">
        <v>79.913841247999997</v>
      </c>
      <c r="E952">
        <v>40</v>
      </c>
      <c r="F952">
        <v>39.496028899999999</v>
      </c>
      <c r="G952">
        <v>1335.7276611</v>
      </c>
      <c r="H952">
        <v>1334.1363524999999</v>
      </c>
      <c r="I952">
        <v>1328.4777832</v>
      </c>
      <c r="J952">
        <v>1327.3950195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793.73210200000005</v>
      </c>
      <c r="B953" s="1">
        <f>DATE(2012,7,2) + TIME(17,34,13)</f>
        <v>41092.732094907406</v>
      </c>
      <c r="C953">
        <v>80</v>
      </c>
      <c r="D953">
        <v>79.913772582999997</v>
      </c>
      <c r="E953">
        <v>40</v>
      </c>
      <c r="F953">
        <v>39.623645781999997</v>
      </c>
      <c r="G953">
        <v>1335.7259521000001</v>
      </c>
      <c r="H953">
        <v>1334.1361084</v>
      </c>
      <c r="I953">
        <v>1328.4750977000001</v>
      </c>
      <c r="J953">
        <v>1327.3897704999999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795.49261999999999</v>
      </c>
      <c r="B954" s="1">
        <f>DATE(2012,7,4) + TIME(11,49,22)</f>
        <v>41094.492615740739</v>
      </c>
      <c r="C954">
        <v>80</v>
      </c>
      <c r="D954">
        <v>79.913696289000001</v>
      </c>
      <c r="E954">
        <v>40</v>
      </c>
      <c r="F954">
        <v>39.773246765000003</v>
      </c>
      <c r="G954">
        <v>1335.7219238</v>
      </c>
      <c r="H954">
        <v>1334.1357422000001</v>
      </c>
      <c r="I954">
        <v>1328.4730225000001</v>
      </c>
      <c r="J954">
        <v>1327.3817139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797.28989899999999</v>
      </c>
      <c r="B955" s="1">
        <f>DATE(2012,7,6) + TIME(6,57,27)</f>
        <v>41096.289895833332</v>
      </c>
      <c r="C955">
        <v>80</v>
      </c>
      <c r="D955">
        <v>79.913619995000005</v>
      </c>
      <c r="E955">
        <v>40</v>
      </c>
      <c r="F955">
        <v>39.947402953999998</v>
      </c>
      <c r="G955">
        <v>1335.7180175999999</v>
      </c>
      <c r="H955">
        <v>1334.1354980000001</v>
      </c>
      <c r="I955">
        <v>1328.4711914</v>
      </c>
      <c r="J955">
        <v>1327.3737793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798.21466599999997</v>
      </c>
      <c r="B956" s="1">
        <f>DATE(2012,7,7) + TIME(5,9,7)</f>
        <v>41097.21466435185</v>
      </c>
      <c r="C956">
        <v>80</v>
      </c>
      <c r="D956">
        <v>79.913536071999999</v>
      </c>
      <c r="E956">
        <v>40</v>
      </c>
      <c r="F956">
        <v>40.070224762000002</v>
      </c>
      <c r="G956">
        <v>1335.7141113</v>
      </c>
      <c r="H956">
        <v>1334.1351318</v>
      </c>
      <c r="I956">
        <v>1328.4710693</v>
      </c>
      <c r="J956">
        <v>1327.3673096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799.13943300000005</v>
      </c>
      <c r="B957" s="1">
        <f>DATE(2012,7,8) + TIME(3,20,47)</f>
        <v>41098.139432870368</v>
      </c>
      <c r="C957">
        <v>80</v>
      </c>
      <c r="D957">
        <v>79.913475036999998</v>
      </c>
      <c r="E957">
        <v>40</v>
      </c>
      <c r="F957">
        <v>40.196994781000001</v>
      </c>
      <c r="G957">
        <v>1335.7121582</v>
      </c>
      <c r="H957">
        <v>1334.1348877</v>
      </c>
      <c r="I957">
        <v>1328.4700928</v>
      </c>
      <c r="J957">
        <v>1327.3632812000001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800.06420100000003</v>
      </c>
      <c r="B958" s="1">
        <f>DATE(2012,7,9) + TIME(1,32,26)</f>
        <v>41099.064189814817</v>
      </c>
      <c r="C958">
        <v>80</v>
      </c>
      <c r="D958">
        <v>79.913429260000001</v>
      </c>
      <c r="E958">
        <v>40</v>
      </c>
      <c r="F958">
        <v>40.328804015999999</v>
      </c>
      <c r="G958">
        <v>1335.7102050999999</v>
      </c>
      <c r="H958">
        <v>1334.1346435999999</v>
      </c>
      <c r="I958">
        <v>1328.4692382999999</v>
      </c>
      <c r="J958">
        <v>1327.3594971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800.988968</v>
      </c>
      <c r="B959" s="1">
        <f>DATE(2012,7,9) + TIME(23,44,6)</f>
        <v>41099.988958333335</v>
      </c>
      <c r="C959">
        <v>80</v>
      </c>
      <c r="D959">
        <v>79.913383483999993</v>
      </c>
      <c r="E959">
        <v>40</v>
      </c>
      <c r="F959">
        <v>40.466480255</v>
      </c>
      <c r="G959">
        <v>1335.7082519999999</v>
      </c>
      <c r="H959">
        <v>1334.1343993999999</v>
      </c>
      <c r="I959">
        <v>1328.4685059000001</v>
      </c>
      <c r="J959">
        <v>1327.355957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801.91373499999997</v>
      </c>
      <c r="B960" s="1">
        <f>DATE(2012,7,10) + TIME(21,55,46)</f>
        <v>41100.913726851853</v>
      </c>
      <c r="C960">
        <v>80</v>
      </c>
      <c r="D960">
        <v>79.913352966000005</v>
      </c>
      <c r="E960">
        <v>40</v>
      </c>
      <c r="F960">
        <v>40.610630035</v>
      </c>
      <c r="G960">
        <v>1335.7062988</v>
      </c>
      <c r="H960">
        <v>1334.1342772999999</v>
      </c>
      <c r="I960">
        <v>1328.4678954999999</v>
      </c>
      <c r="J960">
        <v>1327.3526611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802.83850299999995</v>
      </c>
      <c r="B961" s="1">
        <f>DATE(2012,7,11) + TIME(20,7,26)</f>
        <v>41101.838495370372</v>
      </c>
      <c r="C961">
        <v>80</v>
      </c>
      <c r="D961">
        <v>79.913314818999993</v>
      </c>
      <c r="E961">
        <v>40</v>
      </c>
      <c r="F961">
        <v>40.761672974</v>
      </c>
      <c r="G961">
        <v>1335.7044678</v>
      </c>
      <c r="H961">
        <v>1334.1340332</v>
      </c>
      <c r="I961">
        <v>1328.4675293</v>
      </c>
      <c r="J961">
        <v>1327.3496094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803.76327000000003</v>
      </c>
      <c r="B962" s="1">
        <f>DATE(2012,7,12) + TIME(18,19,6)</f>
        <v>41102.76326388889</v>
      </c>
      <c r="C962">
        <v>80</v>
      </c>
      <c r="D962">
        <v>79.913284301999994</v>
      </c>
      <c r="E962">
        <v>40</v>
      </c>
      <c r="F962">
        <v>40.919898987000003</v>
      </c>
      <c r="G962">
        <v>1335.7026367000001</v>
      </c>
      <c r="H962">
        <v>1334.1337891000001</v>
      </c>
      <c r="I962">
        <v>1328.4671631000001</v>
      </c>
      <c r="J962">
        <v>1327.3468018000001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804.68803700000001</v>
      </c>
      <c r="B963" s="1">
        <f>DATE(2012,7,13) + TIME(16,30,46)</f>
        <v>41103.688032407408</v>
      </c>
      <c r="C963">
        <v>80</v>
      </c>
      <c r="D963">
        <v>79.913261414000004</v>
      </c>
      <c r="E963">
        <v>40</v>
      </c>
      <c r="F963">
        <v>41.085479736000003</v>
      </c>
      <c r="G963">
        <v>1335.7008057</v>
      </c>
      <c r="H963">
        <v>1334.1335449000001</v>
      </c>
      <c r="I963">
        <v>1328.4670410000001</v>
      </c>
      <c r="J963">
        <v>1327.3442382999999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805.61280399999998</v>
      </c>
      <c r="B964" s="1">
        <f>DATE(2012,7,14) + TIME(14,42,26)</f>
        <v>41104.612800925926</v>
      </c>
      <c r="C964">
        <v>80</v>
      </c>
      <c r="D964">
        <v>79.913230896000002</v>
      </c>
      <c r="E964">
        <v>40</v>
      </c>
      <c r="F964">
        <v>41.258525847999998</v>
      </c>
      <c r="G964">
        <v>1335.6989745999999</v>
      </c>
      <c r="H964">
        <v>1334.1333007999999</v>
      </c>
      <c r="I964">
        <v>1328.4669189000001</v>
      </c>
      <c r="J964">
        <v>1327.3419189000001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806.53757199999995</v>
      </c>
      <c r="B965" s="1">
        <f>DATE(2012,7,15) + TIME(12,54,6)</f>
        <v>41105.537569444445</v>
      </c>
      <c r="C965">
        <v>80</v>
      </c>
      <c r="D965">
        <v>79.913208007999998</v>
      </c>
      <c r="E965">
        <v>40</v>
      </c>
      <c r="F965">
        <v>41.439079284999998</v>
      </c>
      <c r="G965">
        <v>1335.6972656</v>
      </c>
      <c r="H965">
        <v>1334.1330565999999</v>
      </c>
      <c r="I965">
        <v>1328.4669189000001</v>
      </c>
      <c r="J965">
        <v>1327.3397216999999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808.38710600000002</v>
      </c>
      <c r="B966" s="1">
        <f>DATE(2012,7,17) + TIME(9,17,25)</f>
        <v>41107.387094907404</v>
      </c>
      <c r="C966">
        <v>80</v>
      </c>
      <c r="D966">
        <v>79.913215636999993</v>
      </c>
      <c r="E966">
        <v>40</v>
      </c>
      <c r="F966">
        <v>41.746818542</v>
      </c>
      <c r="G966">
        <v>1335.6954346</v>
      </c>
      <c r="H966">
        <v>1334.1326904</v>
      </c>
      <c r="I966">
        <v>1328.465332</v>
      </c>
      <c r="J966">
        <v>1327.3371582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810.25268200000005</v>
      </c>
      <c r="B967" s="1">
        <f>DATE(2012,7,19) + TIME(6,3,51)</f>
        <v>41109.25267361111</v>
      </c>
      <c r="C967">
        <v>80</v>
      </c>
      <c r="D967">
        <v>79.913192749000004</v>
      </c>
      <c r="E967">
        <v>40</v>
      </c>
      <c r="F967">
        <v>42.105110168000003</v>
      </c>
      <c r="G967">
        <v>1335.6918945</v>
      </c>
      <c r="H967">
        <v>1334.1322021000001</v>
      </c>
      <c r="I967">
        <v>1328.4663086</v>
      </c>
      <c r="J967">
        <v>1327.3339844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812.19594300000006</v>
      </c>
      <c r="B968" s="1">
        <f>DATE(2012,7,21) + TIME(4,42,9)</f>
        <v>41111.195937500001</v>
      </c>
      <c r="C968">
        <v>80</v>
      </c>
      <c r="D968">
        <v>79.913162231000001</v>
      </c>
      <c r="E968">
        <v>40</v>
      </c>
      <c r="F968">
        <v>42.513252258000001</v>
      </c>
      <c r="G968">
        <v>1335.6884766000001</v>
      </c>
      <c r="H968">
        <v>1334.1317139</v>
      </c>
      <c r="I968">
        <v>1328.4672852000001</v>
      </c>
      <c r="J968">
        <v>1327.3312988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813.21409400000005</v>
      </c>
      <c r="B969" s="1">
        <f>DATE(2012,7,22) + TIME(5,8,17)</f>
        <v>41112.214085648149</v>
      </c>
      <c r="C969">
        <v>80</v>
      </c>
      <c r="D969">
        <v>79.913108825999998</v>
      </c>
      <c r="E969">
        <v>40</v>
      </c>
      <c r="F969">
        <v>42.800094604000002</v>
      </c>
      <c r="G969">
        <v>1335.6850586</v>
      </c>
      <c r="H969">
        <v>1334.1312256000001</v>
      </c>
      <c r="I969">
        <v>1328.4710693</v>
      </c>
      <c r="J969">
        <v>1327.3300781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814.23224500000003</v>
      </c>
      <c r="B970" s="1">
        <f>DATE(2012,7,23) + TIME(5,34,26)</f>
        <v>41113.232245370367</v>
      </c>
      <c r="C970">
        <v>80</v>
      </c>
      <c r="D970">
        <v>79.913078307999996</v>
      </c>
      <c r="E970">
        <v>40</v>
      </c>
      <c r="F970">
        <v>43.092044829999999</v>
      </c>
      <c r="G970">
        <v>1335.6833495999999</v>
      </c>
      <c r="H970">
        <v>1334.1309814000001</v>
      </c>
      <c r="I970">
        <v>1328.4715576000001</v>
      </c>
      <c r="J970">
        <v>1327.3294678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815.25039600000002</v>
      </c>
      <c r="B971" s="1">
        <f>DATE(2012,7,24) + TIME(6,0,34)</f>
        <v>41114.250393518516</v>
      </c>
      <c r="C971">
        <v>80</v>
      </c>
      <c r="D971">
        <v>79.913055420000006</v>
      </c>
      <c r="E971">
        <v>40</v>
      </c>
      <c r="F971">
        <v>43.388061522999998</v>
      </c>
      <c r="G971">
        <v>1335.6816406</v>
      </c>
      <c r="H971">
        <v>1334.1306152</v>
      </c>
      <c r="I971">
        <v>1328.4722899999999</v>
      </c>
      <c r="J971">
        <v>1327.3292236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816.26854700000001</v>
      </c>
      <c r="B972" s="1">
        <f>DATE(2012,7,25) + TIME(6,26,42)</f>
        <v>41115.268541666665</v>
      </c>
      <c r="C972">
        <v>80</v>
      </c>
      <c r="D972">
        <v>79.913032532000003</v>
      </c>
      <c r="E972">
        <v>40</v>
      </c>
      <c r="F972">
        <v>43.687511444000002</v>
      </c>
      <c r="G972">
        <v>1335.6798096</v>
      </c>
      <c r="H972">
        <v>1334.1303711</v>
      </c>
      <c r="I972">
        <v>1328.4730225000001</v>
      </c>
      <c r="J972">
        <v>1327.3292236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817.286698</v>
      </c>
      <c r="B973" s="1">
        <f>DATE(2012,7,26) + TIME(6,52,50)</f>
        <v>41116.286689814813</v>
      </c>
      <c r="C973">
        <v>80</v>
      </c>
      <c r="D973">
        <v>79.913017272999994</v>
      </c>
      <c r="E973">
        <v>40</v>
      </c>
      <c r="F973">
        <v>43.990055083999998</v>
      </c>
      <c r="G973">
        <v>1335.6781006000001</v>
      </c>
      <c r="H973">
        <v>1334.1300048999999</v>
      </c>
      <c r="I973">
        <v>1328.473999</v>
      </c>
      <c r="J973">
        <v>1327.3293457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818.30484899999999</v>
      </c>
      <c r="B974" s="1">
        <f>DATE(2012,7,27) + TIME(7,18,58)</f>
        <v>41117.304837962962</v>
      </c>
      <c r="C974">
        <v>80</v>
      </c>
      <c r="D974">
        <v>79.913002014</v>
      </c>
      <c r="E974">
        <v>40</v>
      </c>
      <c r="F974">
        <v>44.295505523999999</v>
      </c>
      <c r="G974">
        <v>1335.6765137</v>
      </c>
      <c r="H974">
        <v>1334.1297606999999</v>
      </c>
      <c r="I974">
        <v>1328.4749756000001</v>
      </c>
      <c r="J974">
        <v>1327.3298339999999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819.32299999999998</v>
      </c>
      <c r="B975" s="1">
        <f>DATE(2012,7,28) + TIME(7,45,7)</f>
        <v>41118.322997685187</v>
      </c>
      <c r="C975">
        <v>80</v>
      </c>
      <c r="D975">
        <v>79.912994385000005</v>
      </c>
      <c r="E975">
        <v>40</v>
      </c>
      <c r="F975">
        <v>44.603733063</v>
      </c>
      <c r="G975">
        <v>1335.6748047000001</v>
      </c>
      <c r="H975">
        <v>1334.1293945</v>
      </c>
      <c r="I975">
        <v>1328.4761963000001</v>
      </c>
      <c r="J975">
        <v>1327.3304443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820.34115099999997</v>
      </c>
      <c r="B976" s="1">
        <f>DATE(2012,7,29) + TIME(8,11,15)</f>
        <v>41119.341145833336</v>
      </c>
      <c r="C976">
        <v>80</v>
      </c>
      <c r="D976">
        <v>79.912986755000006</v>
      </c>
      <c r="E976">
        <v>40</v>
      </c>
      <c r="F976">
        <v>44.914657593000001</v>
      </c>
      <c r="G976">
        <v>1335.6732178</v>
      </c>
      <c r="H976">
        <v>1334.1291504000001</v>
      </c>
      <c r="I976">
        <v>1328.4774170000001</v>
      </c>
      <c r="J976">
        <v>1327.3311768000001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822.37745299999995</v>
      </c>
      <c r="B977" s="1">
        <f>DATE(2012,7,31) + TIME(9,3,31)</f>
        <v>41121.377442129633</v>
      </c>
      <c r="C977">
        <v>80</v>
      </c>
      <c r="D977">
        <v>79.913017272999994</v>
      </c>
      <c r="E977">
        <v>40</v>
      </c>
      <c r="F977">
        <v>45.413112640000001</v>
      </c>
      <c r="G977">
        <v>1335.6715088000001</v>
      </c>
      <c r="H977">
        <v>1334.1287841999999</v>
      </c>
      <c r="I977">
        <v>1328.4763184000001</v>
      </c>
      <c r="J977">
        <v>1327.3317870999999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823</v>
      </c>
      <c r="B978" s="1">
        <f>DATE(2012,8,1) + TIME(0,0,0)</f>
        <v>41122</v>
      </c>
      <c r="C978">
        <v>80</v>
      </c>
      <c r="D978">
        <v>79.912986755000006</v>
      </c>
      <c r="E978">
        <v>40</v>
      </c>
      <c r="F978">
        <v>45.641090392999999</v>
      </c>
      <c r="G978">
        <v>1335.668457</v>
      </c>
      <c r="H978">
        <v>1334.1282959</v>
      </c>
      <c r="I978">
        <v>1328.4829102000001</v>
      </c>
      <c r="J978">
        <v>1327.3338623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825.05870400000003</v>
      </c>
      <c r="B979" s="1">
        <f>DATE(2012,8,3) + TIME(1,24,31)</f>
        <v>41124.058692129627</v>
      </c>
      <c r="C979">
        <v>80</v>
      </c>
      <c r="D979">
        <v>79.913009643999999</v>
      </c>
      <c r="E979">
        <v>40</v>
      </c>
      <c r="F979">
        <v>46.164878844999997</v>
      </c>
      <c r="G979">
        <v>1335.6673584</v>
      </c>
      <c r="H979">
        <v>1334.1280518000001</v>
      </c>
      <c r="I979">
        <v>1328.4805908000001</v>
      </c>
      <c r="J979">
        <v>1327.3344727000001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827.29848700000002</v>
      </c>
      <c r="B980" s="1">
        <f>DATE(2012,8,5) + TIME(7,9,49)</f>
        <v>41126.298483796294</v>
      </c>
      <c r="C980">
        <v>80</v>
      </c>
      <c r="D980">
        <v>79.913024902000004</v>
      </c>
      <c r="E980">
        <v>40</v>
      </c>
      <c r="F980">
        <v>46.766426086000003</v>
      </c>
      <c r="G980">
        <v>1335.6643065999999</v>
      </c>
      <c r="H980">
        <v>1334.1274414</v>
      </c>
      <c r="I980">
        <v>1328.4838867000001</v>
      </c>
      <c r="J980">
        <v>1327.3369141000001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829.62117999999998</v>
      </c>
      <c r="B981" s="1">
        <f>DATE(2012,8,7) + TIME(14,54,29)</f>
        <v>41128.621168981481</v>
      </c>
      <c r="C981">
        <v>80</v>
      </c>
      <c r="D981">
        <v>79.913032532000003</v>
      </c>
      <c r="E981">
        <v>40</v>
      </c>
      <c r="F981">
        <v>47.433227539000001</v>
      </c>
      <c r="G981">
        <v>1335.6610106999999</v>
      </c>
      <c r="H981">
        <v>1334.1267089999999</v>
      </c>
      <c r="I981">
        <v>1328.4880370999999</v>
      </c>
      <c r="J981">
        <v>1327.340332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831.97990100000004</v>
      </c>
      <c r="B982" s="1">
        <f>DATE(2012,8,9) + TIME(23,31,3)</f>
        <v>41130.979895833334</v>
      </c>
      <c r="C982">
        <v>80</v>
      </c>
      <c r="D982">
        <v>79.913040160999998</v>
      </c>
      <c r="E982">
        <v>40</v>
      </c>
      <c r="F982">
        <v>48.145225525000001</v>
      </c>
      <c r="G982">
        <v>1335.6577147999999</v>
      </c>
      <c r="H982">
        <v>1334.1260986</v>
      </c>
      <c r="I982">
        <v>1328.4926757999999</v>
      </c>
      <c r="J982">
        <v>1327.3449707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834.42427299999997</v>
      </c>
      <c r="B983" s="1">
        <f>DATE(2012,8,12) + TIME(10,10,57)</f>
        <v>41133.424270833333</v>
      </c>
      <c r="C983">
        <v>80</v>
      </c>
      <c r="D983">
        <v>79.913047790999997</v>
      </c>
      <c r="E983">
        <v>40</v>
      </c>
      <c r="F983">
        <v>48.894218445</v>
      </c>
      <c r="G983">
        <v>1335.6544189000001</v>
      </c>
      <c r="H983">
        <v>1334.1254882999999</v>
      </c>
      <c r="I983">
        <v>1328.4975586</v>
      </c>
      <c r="J983">
        <v>1327.3507079999999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836.96985400000005</v>
      </c>
      <c r="B984" s="1">
        <f>DATE(2012,8,14) + TIME(23,16,35)</f>
        <v>41135.969849537039</v>
      </c>
      <c r="C984">
        <v>80</v>
      </c>
      <c r="D984">
        <v>79.913070679</v>
      </c>
      <c r="E984">
        <v>40</v>
      </c>
      <c r="F984">
        <v>49.672504425</v>
      </c>
      <c r="G984">
        <v>1335.6512451000001</v>
      </c>
      <c r="H984">
        <v>1334.1247559000001</v>
      </c>
      <c r="I984">
        <v>1328.5028076000001</v>
      </c>
      <c r="J984">
        <v>1327.3572998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839.56190200000003</v>
      </c>
      <c r="B985" s="1">
        <f>DATE(2012,8,17) + TIME(13,29,8)</f>
        <v>41138.561898148146</v>
      </c>
      <c r="C985">
        <v>80</v>
      </c>
      <c r="D985">
        <v>79.913085937999995</v>
      </c>
      <c r="E985">
        <v>40</v>
      </c>
      <c r="F985">
        <v>50.461490630999997</v>
      </c>
      <c r="G985">
        <v>1335.6479492000001</v>
      </c>
      <c r="H985">
        <v>1334.1241454999999</v>
      </c>
      <c r="I985">
        <v>1328.5087891000001</v>
      </c>
      <c r="J985">
        <v>1327.3649902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842.227442</v>
      </c>
      <c r="B986" s="1">
        <f>DATE(2012,8,20) + TIME(5,27,31)</f>
        <v>41141.227442129632</v>
      </c>
      <c r="C986">
        <v>80</v>
      </c>
      <c r="D986">
        <v>79.913108825999998</v>
      </c>
      <c r="E986">
        <v>40</v>
      </c>
      <c r="F986">
        <v>51.254058837999999</v>
      </c>
      <c r="G986">
        <v>1335.6447754000001</v>
      </c>
      <c r="H986">
        <v>1334.1234131000001</v>
      </c>
      <c r="I986">
        <v>1328.5151367000001</v>
      </c>
      <c r="J986">
        <v>1327.3734131000001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845.00023899999997</v>
      </c>
      <c r="B987" s="1">
        <f>DATE(2012,8,23) + TIME(0,0,20)</f>
        <v>41144.000231481485</v>
      </c>
      <c r="C987">
        <v>80</v>
      </c>
      <c r="D987">
        <v>79.913146972999996</v>
      </c>
      <c r="E987">
        <v>40</v>
      </c>
      <c r="F987">
        <v>52.049087524000001</v>
      </c>
      <c r="G987">
        <v>1335.6416016000001</v>
      </c>
      <c r="H987">
        <v>1334.1228027</v>
      </c>
      <c r="I987">
        <v>1328.5218506000001</v>
      </c>
      <c r="J987">
        <v>1327.3826904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847.91331100000002</v>
      </c>
      <c r="B988" s="1">
        <f>DATE(2012,8,25) + TIME(21,55,10)</f>
        <v>41146.913310185184</v>
      </c>
      <c r="C988">
        <v>80</v>
      </c>
      <c r="D988">
        <v>79.913185119999994</v>
      </c>
      <c r="E988">
        <v>40</v>
      </c>
      <c r="F988">
        <v>52.847270966000004</v>
      </c>
      <c r="G988">
        <v>1335.6383057</v>
      </c>
      <c r="H988">
        <v>1334.1221923999999</v>
      </c>
      <c r="I988">
        <v>1328.5291748</v>
      </c>
      <c r="J988">
        <v>1327.3925781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850.87633500000004</v>
      </c>
      <c r="B989" s="1">
        <f>DATE(2012,8,28) + TIME(21,1,55)</f>
        <v>41149.876331018517</v>
      </c>
      <c r="C989">
        <v>80</v>
      </c>
      <c r="D989">
        <v>79.913230896000002</v>
      </c>
      <c r="E989">
        <v>40</v>
      </c>
      <c r="F989">
        <v>53.634983063</v>
      </c>
      <c r="G989">
        <v>1335.6351318</v>
      </c>
      <c r="H989">
        <v>1334.1214600000001</v>
      </c>
      <c r="I989">
        <v>1328.5369873</v>
      </c>
      <c r="J989">
        <v>1327.4033202999999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852.43816700000002</v>
      </c>
      <c r="B990" s="1">
        <f>DATE(2012,8,30) + TIME(10,30,57)</f>
        <v>41151.438159722224</v>
      </c>
      <c r="C990">
        <v>80</v>
      </c>
      <c r="D990">
        <v>79.913215636999993</v>
      </c>
      <c r="E990">
        <v>40</v>
      </c>
      <c r="F990">
        <v>54.173625946000001</v>
      </c>
      <c r="G990">
        <v>1335.6322021000001</v>
      </c>
      <c r="H990">
        <v>1334.1209716999999</v>
      </c>
      <c r="I990">
        <v>1328.5476074000001</v>
      </c>
      <c r="J990">
        <v>1327.4146728999999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854</v>
      </c>
      <c r="B991" s="1">
        <f>DATE(2012,9,1) + TIME(0,0,0)</f>
        <v>41153</v>
      </c>
      <c r="C991">
        <v>80</v>
      </c>
      <c r="D991">
        <v>79.913223267000006</v>
      </c>
      <c r="E991">
        <v>40</v>
      </c>
      <c r="F991">
        <v>54.648967743</v>
      </c>
      <c r="G991">
        <v>1335.6306152</v>
      </c>
      <c r="H991">
        <v>1334.1207274999999</v>
      </c>
      <c r="I991">
        <v>1328.552124</v>
      </c>
      <c r="J991">
        <v>1327.4228516000001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856.89956800000004</v>
      </c>
      <c r="B992" s="1">
        <f>DATE(2012,9,3) + TIME(21,35,22)</f>
        <v>41155.899560185186</v>
      </c>
      <c r="C992">
        <v>80</v>
      </c>
      <c r="D992">
        <v>79.913307189999998</v>
      </c>
      <c r="E992">
        <v>40</v>
      </c>
      <c r="F992">
        <v>55.254413605000003</v>
      </c>
      <c r="G992">
        <v>1335.6290283000001</v>
      </c>
      <c r="H992">
        <v>1334.1203613</v>
      </c>
      <c r="I992">
        <v>1328.5550536999999</v>
      </c>
      <c r="J992">
        <v>1327.4300536999999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860.096675</v>
      </c>
      <c r="B993" s="1">
        <f>DATE(2012,9,7) + TIME(2,19,12)</f>
        <v>41159.096666666665</v>
      </c>
      <c r="C993">
        <v>80</v>
      </c>
      <c r="D993">
        <v>79.913383483999993</v>
      </c>
      <c r="E993">
        <v>40</v>
      </c>
      <c r="F993">
        <v>55.909130095999998</v>
      </c>
      <c r="G993">
        <v>1335.6262207</v>
      </c>
      <c r="H993">
        <v>1334.119751</v>
      </c>
      <c r="I993">
        <v>1328.5626221</v>
      </c>
      <c r="J993">
        <v>1327.4396973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863.467893</v>
      </c>
      <c r="B994" s="1">
        <f>DATE(2012,9,10) + TIME(11,13,45)</f>
        <v>41162.467881944445</v>
      </c>
      <c r="C994">
        <v>80</v>
      </c>
      <c r="D994">
        <v>79.913459778000004</v>
      </c>
      <c r="E994">
        <v>40</v>
      </c>
      <c r="F994">
        <v>56.585891724</v>
      </c>
      <c r="G994">
        <v>1335.6231689000001</v>
      </c>
      <c r="H994">
        <v>1334.1192627</v>
      </c>
      <c r="I994">
        <v>1328.5714111</v>
      </c>
      <c r="J994">
        <v>1327.4506836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866.94624399999998</v>
      </c>
      <c r="B995" s="1">
        <f>DATE(2012,9,13) + TIME(22,42,35)</f>
        <v>41165.946238425924</v>
      </c>
      <c r="C995">
        <v>80</v>
      </c>
      <c r="D995">
        <v>79.913536071999999</v>
      </c>
      <c r="E995">
        <v>40</v>
      </c>
      <c r="F995">
        <v>57.261131286999998</v>
      </c>
      <c r="G995">
        <v>1335.6202393000001</v>
      </c>
      <c r="H995">
        <v>1334.1187743999999</v>
      </c>
      <c r="I995">
        <v>1328.5806885</v>
      </c>
      <c r="J995">
        <v>1327.4626464999999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870.49199199999998</v>
      </c>
      <c r="B996" s="1">
        <f>DATE(2012,9,17) + TIME(11,48,28)</f>
        <v>41169.491990740738</v>
      </c>
      <c r="C996">
        <v>80</v>
      </c>
      <c r="D996">
        <v>79.913612365999995</v>
      </c>
      <c r="E996">
        <v>40</v>
      </c>
      <c r="F996">
        <v>57.918125152999998</v>
      </c>
      <c r="G996">
        <v>1335.6173096</v>
      </c>
      <c r="H996">
        <v>1334.1182861</v>
      </c>
      <c r="I996">
        <v>1328.590332</v>
      </c>
      <c r="J996">
        <v>1327.4752197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874.14908500000001</v>
      </c>
      <c r="B997" s="1">
        <f>DATE(2012,9,21) + TIME(3,34,40)</f>
        <v>41173.149074074077</v>
      </c>
      <c r="C997">
        <v>80</v>
      </c>
      <c r="D997">
        <v>79.913703917999996</v>
      </c>
      <c r="E997">
        <v>40</v>
      </c>
      <c r="F997">
        <v>58.550876617</v>
      </c>
      <c r="G997">
        <v>1335.6145019999999</v>
      </c>
      <c r="H997">
        <v>1334.1177978999999</v>
      </c>
      <c r="I997">
        <v>1328.6000977000001</v>
      </c>
      <c r="J997">
        <v>1327.4879149999999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877.92813699999999</v>
      </c>
      <c r="B998" s="1">
        <f>DATE(2012,9,24) + TIME(22,16,31)</f>
        <v>41176.928136574075</v>
      </c>
      <c r="C998">
        <v>80</v>
      </c>
      <c r="D998">
        <v>79.913795471</v>
      </c>
      <c r="E998">
        <v>40</v>
      </c>
      <c r="F998">
        <v>59.15883255</v>
      </c>
      <c r="G998">
        <v>1335.6116943</v>
      </c>
      <c r="H998">
        <v>1334.1173096</v>
      </c>
      <c r="I998">
        <v>1328.6099853999999</v>
      </c>
      <c r="J998">
        <v>1327.5007324000001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881.87664900000004</v>
      </c>
      <c r="B999" s="1">
        <f>DATE(2012,9,28) + TIME(21,2,22)</f>
        <v>41180.876643518517</v>
      </c>
      <c r="C999">
        <v>80</v>
      </c>
      <c r="D999">
        <v>79.913902282999999</v>
      </c>
      <c r="E999">
        <v>40</v>
      </c>
      <c r="F999">
        <v>59.744483948000003</v>
      </c>
      <c r="G999">
        <v>1335.6090088000001</v>
      </c>
      <c r="H999">
        <v>1334.1169434000001</v>
      </c>
      <c r="I999">
        <v>1328.6198730000001</v>
      </c>
      <c r="J999">
        <v>1327.5134277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884</v>
      </c>
      <c r="B1000" s="1">
        <f>DATE(2012,10,1) + TIME(0,0,0)</f>
        <v>41183</v>
      </c>
      <c r="C1000">
        <v>80</v>
      </c>
      <c r="D1000">
        <v>79.913917541999993</v>
      </c>
      <c r="E1000">
        <v>40</v>
      </c>
      <c r="F1000">
        <v>60.164104461999997</v>
      </c>
      <c r="G1000">
        <v>1335.6064452999999</v>
      </c>
      <c r="H1000">
        <v>1334.1166992000001</v>
      </c>
      <c r="I1000">
        <v>1328.6312256000001</v>
      </c>
      <c r="J1000">
        <v>1327.5262451000001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888.01520300000004</v>
      </c>
      <c r="B1001" s="1">
        <f>DATE(2012,10,5) + TIME(0,21,53)</f>
        <v>41187.015196759261</v>
      </c>
      <c r="C1001">
        <v>80</v>
      </c>
      <c r="D1001">
        <v>79.9140625</v>
      </c>
      <c r="E1001">
        <v>40</v>
      </c>
      <c r="F1001">
        <v>60.629535675</v>
      </c>
      <c r="G1001">
        <v>1335.6049805</v>
      </c>
      <c r="H1001">
        <v>1334.1163329999999</v>
      </c>
      <c r="I1001">
        <v>1328.6362305</v>
      </c>
      <c r="J1001">
        <v>1327.5355225000001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892.15411800000004</v>
      </c>
      <c r="B1002" s="1">
        <f>DATE(2012,10,9) + TIME(3,41,55)</f>
        <v>41191.154108796298</v>
      </c>
      <c r="C1002">
        <v>80</v>
      </c>
      <c r="D1002">
        <v>79.914184570000003</v>
      </c>
      <c r="E1002">
        <v>40</v>
      </c>
      <c r="F1002">
        <v>61.111045836999999</v>
      </c>
      <c r="G1002">
        <v>1335.6024170000001</v>
      </c>
      <c r="H1002">
        <v>1334.1160889</v>
      </c>
      <c r="I1002">
        <v>1328.6453856999999</v>
      </c>
      <c r="J1002">
        <v>1327.5460204999999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896.43567399999995</v>
      </c>
      <c r="B1003" s="1">
        <f>DATE(2012,10,13) + TIME(10,27,22)</f>
        <v>41195.435671296298</v>
      </c>
      <c r="C1003">
        <v>80</v>
      </c>
      <c r="D1003">
        <v>79.914314270000006</v>
      </c>
      <c r="E1003">
        <v>40</v>
      </c>
      <c r="F1003">
        <v>61.584453582999998</v>
      </c>
      <c r="G1003">
        <v>1335.5999756000001</v>
      </c>
      <c r="H1003">
        <v>1334.1158447</v>
      </c>
      <c r="I1003">
        <v>1328.6549072</v>
      </c>
      <c r="J1003">
        <v>1327.5573730000001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900.91546100000005</v>
      </c>
      <c r="B1004" s="1">
        <f>DATE(2012,10,17) + TIME(21,58,15)</f>
        <v>41199.915451388886</v>
      </c>
      <c r="C1004">
        <v>80</v>
      </c>
      <c r="D1004">
        <v>79.914451599000003</v>
      </c>
      <c r="E1004">
        <v>40</v>
      </c>
      <c r="F1004">
        <v>62.043266295999999</v>
      </c>
      <c r="G1004">
        <v>1335.5975341999999</v>
      </c>
      <c r="H1004">
        <v>1334.1156006000001</v>
      </c>
      <c r="I1004">
        <v>1328.6644286999999</v>
      </c>
      <c r="J1004">
        <v>1327.5688477000001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905.51765799999998</v>
      </c>
      <c r="B1005" s="1">
        <f>DATE(2012,10,22) + TIME(12,25,25)</f>
        <v>41204.517650462964</v>
      </c>
      <c r="C1005">
        <v>80</v>
      </c>
      <c r="D1005">
        <v>79.914596558</v>
      </c>
      <c r="E1005">
        <v>40</v>
      </c>
      <c r="F1005">
        <v>62.483886718999997</v>
      </c>
      <c r="G1005">
        <v>1335.5952147999999</v>
      </c>
      <c r="H1005">
        <v>1334.1153564000001</v>
      </c>
      <c r="I1005">
        <v>1328.6740723</v>
      </c>
      <c r="J1005">
        <v>1327.5802002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910.20341599999995</v>
      </c>
      <c r="B1006" s="1">
        <f>DATE(2012,10,27) + TIME(4,52,55)</f>
        <v>41209.203414351854</v>
      </c>
      <c r="C1006">
        <v>80</v>
      </c>
      <c r="D1006">
        <v>79.914741516000007</v>
      </c>
      <c r="E1006">
        <v>40</v>
      </c>
      <c r="F1006">
        <v>62.901576996000003</v>
      </c>
      <c r="G1006">
        <v>1335.5928954999999</v>
      </c>
      <c r="H1006">
        <v>1334.1152344</v>
      </c>
      <c r="I1006">
        <v>1328.6835937999999</v>
      </c>
      <c r="J1006">
        <v>1327.5914307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915</v>
      </c>
      <c r="B1007" s="1">
        <f>DATE(2012,11,1) + TIME(0,0,0)</f>
        <v>41214</v>
      </c>
      <c r="C1007">
        <v>80</v>
      </c>
      <c r="D1007">
        <v>79.914894103999998</v>
      </c>
      <c r="E1007">
        <v>40</v>
      </c>
      <c r="F1007">
        <v>63.295318604000002</v>
      </c>
      <c r="G1007">
        <v>1335.5906981999999</v>
      </c>
      <c r="H1007">
        <v>1334.1151123</v>
      </c>
      <c r="I1007">
        <v>1328.6928711</v>
      </c>
      <c r="J1007">
        <v>1327.6024170000001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915.000001</v>
      </c>
      <c r="B1008" s="1">
        <f>DATE(2012,11,1) + TIME(0,0,0)</f>
        <v>41214</v>
      </c>
      <c r="C1008">
        <v>80</v>
      </c>
      <c r="D1008">
        <v>79.914863585999996</v>
      </c>
      <c r="E1008">
        <v>40</v>
      </c>
      <c r="F1008">
        <v>63.295345306000002</v>
      </c>
      <c r="G1008">
        <v>1333.9053954999999</v>
      </c>
      <c r="H1008">
        <v>1333.8840332</v>
      </c>
      <c r="I1008">
        <v>1330.137207</v>
      </c>
      <c r="J1008">
        <v>1328.9606934000001</v>
      </c>
      <c r="K1008">
        <v>0</v>
      </c>
      <c r="L1008">
        <v>550</v>
      </c>
      <c r="M1008">
        <v>550</v>
      </c>
      <c r="N1008">
        <v>0</v>
      </c>
    </row>
    <row r="1009" spans="1:14" x14ac:dyDescent="0.25">
      <c r="A1009">
        <v>915.00000399999999</v>
      </c>
      <c r="B1009" s="1">
        <f>DATE(2012,11,1) + TIME(0,0,0)</f>
        <v>41214</v>
      </c>
      <c r="C1009">
        <v>80</v>
      </c>
      <c r="D1009">
        <v>79.914817810000002</v>
      </c>
      <c r="E1009">
        <v>40</v>
      </c>
      <c r="F1009">
        <v>63.295383452999999</v>
      </c>
      <c r="G1009">
        <v>1333.5506591999999</v>
      </c>
      <c r="H1009">
        <v>1333.5429687999999</v>
      </c>
      <c r="I1009">
        <v>1330.5299072</v>
      </c>
      <c r="J1009">
        <v>1329.4384766000001</v>
      </c>
      <c r="K1009">
        <v>0</v>
      </c>
      <c r="L1009">
        <v>550</v>
      </c>
      <c r="M1009">
        <v>550</v>
      </c>
      <c r="N1009">
        <v>0</v>
      </c>
    </row>
    <row r="1010" spans="1:14" x14ac:dyDescent="0.25">
      <c r="A1010">
        <v>915.00001299999997</v>
      </c>
      <c r="B1010" s="1">
        <f>DATE(2012,11,1) + TIME(0,0,1)</f>
        <v>41214.000011574077</v>
      </c>
      <c r="C1010">
        <v>80</v>
      </c>
      <c r="D1010">
        <v>79.914749146000005</v>
      </c>
      <c r="E1010">
        <v>40</v>
      </c>
      <c r="F1010">
        <v>63.295372008999998</v>
      </c>
      <c r="G1010">
        <v>1333.1072998</v>
      </c>
      <c r="H1010">
        <v>1333.0825195</v>
      </c>
      <c r="I1010">
        <v>1331.1174315999999</v>
      </c>
      <c r="J1010">
        <v>1330.0378418</v>
      </c>
      <c r="K1010">
        <v>0</v>
      </c>
      <c r="L1010">
        <v>550</v>
      </c>
      <c r="M1010">
        <v>550</v>
      </c>
      <c r="N1010">
        <v>0</v>
      </c>
    </row>
    <row r="1011" spans="1:14" x14ac:dyDescent="0.25">
      <c r="A1011">
        <v>915.00004000000001</v>
      </c>
      <c r="B1011" s="1">
        <f>DATE(2012,11,1) + TIME(0,0,3)</f>
        <v>41214.000034722223</v>
      </c>
      <c r="C1011">
        <v>80</v>
      </c>
      <c r="D1011">
        <v>79.914680481000005</v>
      </c>
      <c r="E1011">
        <v>40</v>
      </c>
      <c r="F1011">
        <v>63.295192718999999</v>
      </c>
      <c r="G1011">
        <v>1332.6350098</v>
      </c>
      <c r="H1011">
        <v>1332.5755615</v>
      </c>
      <c r="I1011">
        <v>1331.7962646000001</v>
      </c>
      <c r="J1011">
        <v>1330.6949463000001</v>
      </c>
      <c r="K1011">
        <v>0</v>
      </c>
      <c r="L1011">
        <v>550</v>
      </c>
      <c r="M1011">
        <v>550</v>
      </c>
      <c r="N1011">
        <v>0</v>
      </c>
    </row>
    <row r="1012" spans="1:14" x14ac:dyDescent="0.25">
      <c r="A1012">
        <v>915.00012100000004</v>
      </c>
      <c r="B1012" s="1">
        <f>DATE(2012,11,1) + TIME(0,0,10)</f>
        <v>41214.000115740739</v>
      </c>
      <c r="C1012">
        <v>80</v>
      </c>
      <c r="D1012">
        <v>79.914611816000004</v>
      </c>
      <c r="E1012">
        <v>40</v>
      </c>
      <c r="F1012">
        <v>63.294448852999999</v>
      </c>
      <c r="G1012">
        <v>1332.1500243999999</v>
      </c>
      <c r="H1012">
        <v>1332.0518798999999</v>
      </c>
      <c r="I1012">
        <v>1332.4810791</v>
      </c>
      <c r="J1012">
        <v>1331.3538818</v>
      </c>
      <c r="K1012">
        <v>0</v>
      </c>
      <c r="L1012">
        <v>550</v>
      </c>
      <c r="M1012">
        <v>550</v>
      </c>
      <c r="N1012">
        <v>0</v>
      </c>
    </row>
    <row r="1013" spans="1:14" x14ac:dyDescent="0.25">
      <c r="A1013">
        <v>915.00036399999999</v>
      </c>
      <c r="B1013" s="1">
        <f>DATE(2012,11,1) + TIME(0,0,31)</f>
        <v>41214.000358796293</v>
      </c>
      <c r="C1013">
        <v>80</v>
      </c>
      <c r="D1013">
        <v>79.914527892999999</v>
      </c>
      <c r="E1013">
        <v>40</v>
      </c>
      <c r="F1013">
        <v>63.291965484999999</v>
      </c>
      <c r="G1013">
        <v>1331.6885986</v>
      </c>
      <c r="H1013">
        <v>1331.5499268000001</v>
      </c>
      <c r="I1013">
        <v>1333.1187743999999</v>
      </c>
      <c r="J1013">
        <v>1331.9549560999999</v>
      </c>
      <c r="K1013">
        <v>0</v>
      </c>
      <c r="L1013">
        <v>550</v>
      </c>
      <c r="M1013">
        <v>550</v>
      </c>
      <c r="N1013">
        <v>0</v>
      </c>
    </row>
    <row r="1014" spans="1:14" x14ac:dyDescent="0.25">
      <c r="A1014">
        <v>915.00109299999997</v>
      </c>
      <c r="B1014" s="1">
        <f>DATE(2012,11,1) + TIME(0,1,34)</f>
        <v>41214.001087962963</v>
      </c>
      <c r="C1014">
        <v>80</v>
      </c>
      <c r="D1014">
        <v>79.914421082000004</v>
      </c>
      <c r="E1014">
        <v>40</v>
      </c>
      <c r="F1014">
        <v>63.284065247000001</v>
      </c>
      <c r="G1014">
        <v>1331.3292236</v>
      </c>
      <c r="H1014">
        <v>1331.1599120999999</v>
      </c>
      <c r="I1014">
        <v>1333.6140137</v>
      </c>
      <c r="J1014">
        <v>1332.4100341999999</v>
      </c>
      <c r="K1014">
        <v>0</v>
      </c>
      <c r="L1014">
        <v>550</v>
      </c>
      <c r="M1014">
        <v>550</v>
      </c>
      <c r="N1014">
        <v>0</v>
      </c>
    </row>
    <row r="1015" spans="1:14" x14ac:dyDescent="0.25">
      <c r="A1015">
        <v>915.00328000000002</v>
      </c>
      <c r="B1015" s="1">
        <f>DATE(2012,11,1) + TIME(0,4,43)</f>
        <v>41214.003275462965</v>
      </c>
      <c r="C1015">
        <v>80</v>
      </c>
      <c r="D1015">
        <v>79.914207458000007</v>
      </c>
      <c r="E1015">
        <v>40</v>
      </c>
      <c r="F1015">
        <v>63.259723663000003</v>
      </c>
      <c r="G1015">
        <v>1331.1120605000001</v>
      </c>
      <c r="H1015">
        <v>1330.9287108999999</v>
      </c>
      <c r="I1015">
        <v>1333.9099120999999</v>
      </c>
      <c r="J1015">
        <v>1332.6793213000001</v>
      </c>
      <c r="K1015">
        <v>0</v>
      </c>
      <c r="L1015">
        <v>550</v>
      </c>
      <c r="M1015">
        <v>550</v>
      </c>
      <c r="N1015">
        <v>0</v>
      </c>
    </row>
    <row r="1016" spans="1:14" x14ac:dyDescent="0.25">
      <c r="A1016">
        <v>915.00984100000005</v>
      </c>
      <c r="B1016" s="1">
        <f>DATE(2012,11,1) + TIME(0,14,10)</f>
        <v>41214.009837962964</v>
      </c>
      <c r="C1016">
        <v>80</v>
      </c>
      <c r="D1016">
        <v>79.913658142000003</v>
      </c>
      <c r="E1016">
        <v>40</v>
      </c>
      <c r="F1016">
        <v>63.186252594000003</v>
      </c>
      <c r="G1016">
        <v>1331.0061035000001</v>
      </c>
      <c r="H1016">
        <v>1330.8187256000001</v>
      </c>
      <c r="I1016">
        <v>1334.0388184000001</v>
      </c>
      <c r="J1016">
        <v>1332.7967529</v>
      </c>
      <c r="K1016">
        <v>0</v>
      </c>
      <c r="L1016">
        <v>550</v>
      </c>
      <c r="M1016">
        <v>550</v>
      </c>
      <c r="N1016">
        <v>0</v>
      </c>
    </row>
    <row r="1017" spans="1:14" x14ac:dyDescent="0.25">
      <c r="A1017">
        <v>915.02952400000004</v>
      </c>
      <c r="B1017" s="1">
        <f>DATE(2012,11,1) + TIME(0,42,30)</f>
        <v>41214.029513888891</v>
      </c>
      <c r="C1017">
        <v>80</v>
      </c>
      <c r="D1017">
        <v>79.912055968999994</v>
      </c>
      <c r="E1017">
        <v>40</v>
      </c>
      <c r="F1017">
        <v>62.967918396000002</v>
      </c>
      <c r="G1017">
        <v>1330.9671631000001</v>
      </c>
      <c r="H1017">
        <v>1330.7786865</v>
      </c>
      <c r="I1017">
        <v>1334.0695800999999</v>
      </c>
      <c r="J1017">
        <v>1332.8236084</v>
      </c>
      <c r="K1017">
        <v>0</v>
      </c>
      <c r="L1017">
        <v>550</v>
      </c>
      <c r="M1017">
        <v>550</v>
      </c>
      <c r="N1017">
        <v>0</v>
      </c>
    </row>
    <row r="1018" spans="1:14" x14ac:dyDescent="0.25">
      <c r="A1018">
        <v>915.088573</v>
      </c>
      <c r="B1018" s="1">
        <f>DATE(2012,11,1) + TIME(2,7,32)</f>
        <v>41214.088564814818</v>
      </c>
      <c r="C1018">
        <v>80</v>
      </c>
      <c r="D1018">
        <v>79.907264709000003</v>
      </c>
      <c r="E1018">
        <v>40</v>
      </c>
      <c r="F1018">
        <v>62.335391997999999</v>
      </c>
      <c r="G1018">
        <v>1330.9567870999999</v>
      </c>
      <c r="H1018">
        <v>1330.7670897999999</v>
      </c>
      <c r="I1018">
        <v>1334.0687256000001</v>
      </c>
      <c r="J1018">
        <v>1332.8194579999999</v>
      </c>
      <c r="K1018">
        <v>0</v>
      </c>
      <c r="L1018">
        <v>550</v>
      </c>
      <c r="M1018">
        <v>550</v>
      </c>
      <c r="N1018">
        <v>0</v>
      </c>
    </row>
    <row r="1019" spans="1:14" x14ac:dyDescent="0.25">
      <c r="A1019">
        <v>915.18034899999998</v>
      </c>
      <c r="B1019" s="1">
        <f>DATE(2012,11,1) + TIME(4,19,42)</f>
        <v>41214.180347222224</v>
      </c>
      <c r="C1019">
        <v>80</v>
      </c>
      <c r="D1019">
        <v>79.899833678999997</v>
      </c>
      <c r="E1019">
        <v>40</v>
      </c>
      <c r="F1019">
        <v>61.405269623000002</v>
      </c>
      <c r="G1019">
        <v>1330.9500731999999</v>
      </c>
      <c r="H1019">
        <v>1330.7574463000001</v>
      </c>
      <c r="I1019">
        <v>1334.0594481999999</v>
      </c>
      <c r="J1019">
        <v>1332.8083495999999</v>
      </c>
      <c r="K1019">
        <v>0</v>
      </c>
      <c r="L1019">
        <v>550</v>
      </c>
      <c r="M1019">
        <v>550</v>
      </c>
      <c r="N1019">
        <v>0</v>
      </c>
    </row>
    <row r="1020" spans="1:14" x14ac:dyDescent="0.25">
      <c r="A1020">
        <v>915.27639199999999</v>
      </c>
      <c r="B1020" s="1">
        <f>DATE(2012,11,1) + TIME(6,38,0)</f>
        <v>41214.276388888888</v>
      </c>
      <c r="C1020">
        <v>80</v>
      </c>
      <c r="D1020">
        <v>79.892021178999997</v>
      </c>
      <c r="E1020">
        <v>40</v>
      </c>
      <c r="F1020">
        <v>60.487312316999997</v>
      </c>
      <c r="G1020">
        <v>1330.9417725000001</v>
      </c>
      <c r="H1020">
        <v>1330.7451172000001</v>
      </c>
      <c r="I1020">
        <v>1334.0457764</v>
      </c>
      <c r="J1020">
        <v>1332.7951660000001</v>
      </c>
      <c r="K1020">
        <v>0</v>
      </c>
      <c r="L1020">
        <v>550</v>
      </c>
      <c r="M1020">
        <v>550</v>
      </c>
      <c r="N1020">
        <v>0</v>
      </c>
    </row>
    <row r="1021" spans="1:14" x14ac:dyDescent="0.25">
      <c r="A1021">
        <v>915.376803</v>
      </c>
      <c r="B1021" s="1">
        <f>DATE(2012,11,1) + TIME(9,2,35)</f>
        <v>41214.376793981479</v>
      </c>
      <c r="C1021">
        <v>80</v>
      </c>
      <c r="D1021">
        <v>79.883842467999997</v>
      </c>
      <c r="E1021">
        <v>40</v>
      </c>
      <c r="F1021">
        <v>59.582912444999998</v>
      </c>
      <c r="G1021">
        <v>1330.9333495999999</v>
      </c>
      <c r="H1021">
        <v>1330.7327881000001</v>
      </c>
      <c r="I1021">
        <v>1334.0324707</v>
      </c>
      <c r="J1021">
        <v>1332.7822266000001</v>
      </c>
      <c r="K1021">
        <v>0</v>
      </c>
      <c r="L1021">
        <v>550</v>
      </c>
      <c r="M1021">
        <v>550</v>
      </c>
      <c r="N1021">
        <v>0</v>
      </c>
    </row>
    <row r="1022" spans="1:14" x14ac:dyDescent="0.25">
      <c r="A1022">
        <v>915.48189200000002</v>
      </c>
      <c r="B1022" s="1">
        <f>DATE(2012,11,1) + TIME(11,33,55)</f>
        <v>41214.481886574074</v>
      </c>
      <c r="C1022">
        <v>80</v>
      </c>
      <c r="D1022">
        <v>79.875251770000006</v>
      </c>
      <c r="E1022">
        <v>40</v>
      </c>
      <c r="F1022">
        <v>58.691898346000002</v>
      </c>
      <c r="G1022">
        <v>1330.9249268000001</v>
      </c>
      <c r="H1022">
        <v>1330.7202147999999</v>
      </c>
      <c r="I1022">
        <v>1334.0192870999999</v>
      </c>
      <c r="J1022">
        <v>1332.7694091999999</v>
      </c>
      <c r="K1022">
        <v>0</v>
      </c>
      <c r="L1022">
        <v>550</v>
      </c>
      <c r="M1022">
        <v>550</v>
      </c>
      <c r="N1022">
        <v>0</v>
      </c>
    </row>
    <row r="1023" spans="1:14" x14ac:dyDescent="0.25">
      <c r="A1023">
        <v>915.59202100000005</v>
      </c>
      <c r="B1023" s="1">
        <f>DATE(2012,11,1) + TIME(14,12,30)</f>
        <v>41214.592013888891</v>
      </c>
      <c r="C1023">
        <v>80</v>
      </c>
      <c r="D1023">
        <v>79.866226196</v>
      </c>
      <c r="E1023">
        <v>40</v>
      </c>
      <c r="F1023">
        <v>57.814479828000003</v>
      </c>
      <c r="G1023">
        <v>1330.9163818</v>
      </c>
      <c r="H1023">
        <v>1330.7075195</v>
      </c>
      <c r="I1023">
        <v>1334.0065918</v>
      </c>
      <c r="J1023">
        <v>1332.7569579999999</v>
      </c>
      <c r="K1023">
        <v>0</v>
      </c>
      <c r="L1023">
        <v>550</v>
      </c>
      <c r="M1023">
        <v>550</v>
      </c>
      <c r="N1023">
        <v>0</v>
      </c>
    </row>
    <row r="1024" spans="1:14" x14ac:dyDescent="0.25">
      <c r="A1024">
        <v>915.70755199999996</v>
      </c>
      <c r="B1024" s="1">
        <f>DATE(2012,11,1) + TIME(16,58,52)</f>
        <v>41214.707546296297</v>
      </c>
      <c r="C1024">
        <v>80</v>
      </c>
      <c r="D1024">
        <v>79.856735228999995</v>
      </c>
      <c r="E1024">
        <v>40</v>
      </c>
      <c r="F1024">
        <v>56.950843810999999</v>
      </c>
      <c r="G1024">
        <v>1330.9077147999999</v>
      </c>
      <c r="H1024">
        <v>1330.6947021000001</v>
      </c>
      <c r="I1024">
        <v>1333.9941406</v>
      </c>
      <c r="J1024">
        <v>1332.744751</v>
      </c>
      <c r="K1024">
        <v>0</v>
      </c>
      <c r="L1024">
        <v>550</v>
      </c>
      <c r="M1024">
        <v>550</v>
      </c>
      <c r="N1024">
        <v>0</v>
      </c>
    </row>
    <row r="1025" spans="1:14" x14ac:dyDescent="0.25">
      <c r="A1025">
        <v>915.82889399999999</v>
      </c>
      <c r="B1025" s="1">
        <f>DATE(2012,11,1) + TIME(19,53,36)</f>
        <v>41214.828888888886</v>
      </c>
      <c r="C1025">
        <v>80</v>
      </c>
      <c r="D1025">
        <v>79.846748352000006</v>
      </c>
      <c r="E1025">
        <v>40</v>
      </c>
      <c r="F1025">
        <v>56.101135253999999</v>
      </c>
      <c r="G1025">
        <v>1330.8989257999999</v>
      </c>
      <c r="H1025">
        <v>1330.6816406</v>
      </c>
      <c r="I1025">
        <v>1333.9820557</v>
      </c>
      <c r="J1025">
        <v>1332.7327881000001</v>
      </c>
      <c r="K1025">
        <v>0</v>
      </c>
      <c r="L1025">
        <v>550</v>
      </c>
      <c r="M1025">
        <v>550</v>
      </c>
      <c r="N1025">
        <v>0</v>
      </c>
    </row>
    <row r="1026" spans="1:14" x14ac:dyDescent="0.25">
      <c r="A1026">
        <v>915.956503</v>
      </c>
      <c r="B1026" s="1">
        <f>DATE(2012,11,1) + TIME(22,57,21)</f>
        <v>41214.956493055557</v>
      </c>
      <c r="C1026">
        <v>80</v>
      </c>
      <c r="D1026">
        <v>79.836227417000003</v>
      </c>
      <c r="E1026">
        <v>40</v>
      </c>
      <c r="F1026">
        <v>55.265495299999998</v>
      </c>
      <c r="G1026">
        <v>1330.8900146000001</v>
      </c>
      <c r="H1026">
        <v>1330.668457</v>
      </c>
      <c r="I1026">
        <v>1333.9702147999999</v>
      </c>
      <c r="J1026">
        <v>1332.7210693</v>
      </c>
      <c r="K1026">
        <v>0</v>
      </c>
      <c r="L1026">
        <v>550</v>
      </c>
      <c r="M1026">
        <v>550</v>
      </c>
      <c r="N1026">
        <v>0</v>
      </c>
    </row>
    <row r="1027" spans="1:14" x14ac:dyDescent="0.25">
      <c r="A1027">
        <v>916.09088399999996</v>
      </c>
      <c r="B1027" s="1">
        <f>DATE(2012,11,2) + TIME(2,10,52)</f>
        <v>41215.090879629628</v>
      </c>
      <c r="C1027">
        <v>80</v>
      </c>
      <c r="D1027">
        <v>79.825134277000004</v>
      </c>
      <c r="E1027">
        <v>40</v>
      </c>
      <c r="F1027">
        <v>54.444122313999998</v>
      </c>
      <c r="G1027">
        <v>1330.8809814000001</v>
      </c>
      <c r="H1027">
        <v>1330.6550293</v>
      </c>
      <c r="I1027">
        <v>1333.9588623</v>
      </c>
      <c r="J1027">
        <v>1332.7095947</v>
      </c>
      <c r="K1027">
        <v>0</v>
      </c>
      <c r="L1027">
        <v>550</v>
      </c>
      <c r="M1027">
        <v>550</v>
      </c>
      <c r="N1027">
        <v>0</v>
      </c>
    </row>
    <row r="1028" spans="1:14" x14ac:dyDescent="0.25">
      <c r="A1028">
        <v>916.23253999999997</v>
      </c>
      <c r="B1028" s="1">
        <f>DATE(2012,11,2) + TIME(5,34,51)</f>
        <v>41215.232534722221</v>
      </c>
      <c r="C1028">
        <v>80</v>
      </c>
      <c r="D1028">
        <v>79.813423157000003</v>
      </c>
      <c r="E1028">
        <v>40</v>
      </c>
      <c r="F1028">
        <v>53.637557983000001</v>
      </c>
      <c r="G1028">
        <v>1330.8718262</v>
      </c>
      <c r="H1028">
        <v>1330.6413574000001</v>
      </c>
      <c r="I1028">
        <v>1333.947876</v>
      </c>
      <c r="J1028">
        <v>1332.6984863</v>
      </c>
      <c r="K1028">
        <v>0</v>
      </c>
      <c r="L1028">
        <v>550</v>
      </c>
      <c r="M1028">
        <v>550</v>
      </c>
      <c r="N1028">
        <v>0</v>
      </c>
    </row>
    <row r="1029" spans="1:14" x14ac:dyDescent="0.25">
      <c r="A1029">
        <v>916.38208999999995</v>
      </c>
      <c r="B1029" s="1">
        <f>DATE(2012,11,2) + TIME(9,10,12)</f>
        <v>41215.38208333333</v>
      </c>
      <c r="C1029">
        <v>80</v>
      </c>
      <c r="D1029">
        <v>79.801048279</v>
      </c>
      <c r="E1029">
        <v>40</v>
      </c>
      <c r="F1029">
        <v>52.846038817999997</v>
      </c>
      <c r="G1029">
        <v>1330.8624268000001</v>
      </c>
      <c r="H1029">
        <v>1330.6275635</v>
      </c>
      <c r="I1029">
        <v>1333.9372559000001</v>
      </c>
      <c r="J1029">
        <v>1332.6876221</v>
      </c>
      <c r="K1029">
        <v>0</v>
      </c>
      <c r="L1029">
        <v>550</v>
      </c>
      <c r="M1029">
        <v>550</v>
      </c>
      <c r="N1029">
        <v>0</v>
      </c>
    </row>
    <row r="1030" spans="1:14" x14ac:dyDescent="0.25">
      <c r="A1030">
        <v>916.54026599999997</v>
      </c>
      <c r="B1030" s="1">
        <f>DATE(2012,11,2) + TIME(12,57,59)</f>
        <v>41215.540266203701</v>
      </c>
      <c r="C1030">
        <v>80</v>
      </c>
      <c r="D1030">
        <v>79.787948607999994</v>
      </c>
      <c r="E1030">
        <v>40</v>
      </c>
      <c r="F1030">
        <v>52.06968689</v>
      </c>
      <c r="G1030">
        <v>1330.8529053</v>
      </c>
      <c r="H1030">
        <v>1330.6134033000001</v>
      </c>
      <c r="I1030">
        <v>1333.9270019999999</v>
      </c>
      <c r="J1030">
        <v>1332.677124</v>
      </c>
      <c r="K1030">
        <v>0</v>
      </c>
      <c r="L1030">
        <v>550</v>
      </c>
      <c r="M1030">
        <v>550</v>
      </c>
      <c r="N1030">
        <v>0</v>
      </c>
    </row>
    <row r="1031" spans="1:14" x14ac:dyDescent="0.25">
      <c r="A1031">
        <v>916.70784100000003</v>
      </c>
      <c r="B1031" s="1">
        <f>DATE(2012,11,2) + TIME(16,59,17)</f>
        <v>41215.707835648151</v>
      </c>
      <c r="C1031">
        <v>80</v>
      </c>
      <c r="D1031">
        <v>79.774070739999999</v>
      </c>
      <c r="E1031">
        <v>40</v>
      </c>
      <c r="F1031">
        <v>51.308914184999999</v>
      </c>
      <c r="G1031">
        <v>1330.8431396000001</v>
      </c>
      <c r="H1031">
        <v>1330.598999</v>
      </c>
      <c r="I1031">
        <v>1333.9172363</v>
      </c>
      <c r="J1031">
        <v>1332.6668701000001</v>
      </c>
      <c r="K1031">
        <v>0</v>
      </c>
      <c r="L1031">
        <v>550</v>
      </c>
      <c r="M1031">
        <v>550</v>
      </c>
      <c r="N1031">
        <v>0</v>
      </c>
    </row>
    <row r="1032" spans="1:14" x14ac:dyDescent="0.25">
      <c r="A1032">
        <v>916.88567599999999</v>
      </c>
      <c r="B1032" s="1">
        <f>DATE(2012,11,2) + TIME(21,15,22)</f>
        <v>41215.885671296295</v>
      </c>
      <c r="C1032">
        <v>80</v>
      </c>
      <c r="D1032">
        <v>79.759346007999994</v>
      </c>
      <c r="E1032">
        <v>40</v>
      </c>
      <c r="F1032">
        <v>50.564220427999999</v>
      </c>
      <c r="G1032">
        <v>1330.8332519999999</v>
      </c>
      <c r="H1032">
        <v>1330.5843506000001</v>
      </c>
      <c r="I1032">
        <v>1333.9079589999999</v>
      </c>
      <c r="J1032">
        <v>1332.6569824000001</v>
      </c>
      <c r="K1032">
        <v>0</v>
      </c>
      <c r="L1032">
        <v>550</v>
      </c>
      <c r="M1032">
        <v>550</v>
      </c>
      <c r="N1032">
        <v>0</v>
      </c>
    </row>
    <row r="1033" spans="1:14" x14ac:dyDescent="0.25">
      <c r="A1033">
        <v>917.07473900000002</v>
      </c>
      <c r="B1033" s="1">
        <f>DATE(2012,11,3) + TIME(1,47,37)</f>
        <v>41216.074733796297</v>
      </c>
      <c r="C1033">
        <v>80</v>
      </c>
      <c r="D1033">
        <v>79.743705750000004</v>
      </c>
      <c r="E1033">
        <v>40</v>
      </c>
      <c r="F1033">
        <v>49.836093902999998</v>
      </c>
      <c r="G1033">
        <v>1330.8231201000001</v>
      </c>
      <c r="H1033">
        <v>1330.5693358999999</v>
      </c>
      <c r="I1033">
        <v>1333.8990478999999</v>
      </c>
      <c r="J1033">
        <v>1332.6474608999999</v>
      </c>
      <c r="K1033">
        <v>0</v>
      </c>
      <c r="L1033">
        <v>550</v>
      </c>
      <c r="M1033">
        <v>550</v>
      </c>
      <c r="N1033">
        <v>0</v>
      </c>
    </row>
    <row r="1034" spans="1:14" x14ac:dyDescent="0.25">
      <c r="A1034">
        <v>917.27611999999999</v>
      </c>
      <c r="B1034" s="1">
        <f>DATE(2012,11,3) + TIME(6,37,36)</f>
        <v>41216.27611111111</v>
      </c>
      <c r="C1034">
        <v>80</v>
      </c>
      <c r="D1034">
        <v>79.727058411000002</v>
      </c>
      <c r="E1034">
        <v>40</v>
      </c>
      <c r="F1034">
        <v>49.125003814999999</v>
      </c>
      <c r="G1034">
        <v>1330.8126221</v>
      </c>
      <c r="H1034">
        <v>1330.5539550999999</v>
      </c>
      <c r="I1034">
        <v>1333.8907471</v>
      </c>
      <c r="J1034">
        <v>1332.6383057</v>
      </c>
      <c r="K1034">
        <v>0</v>
      </c>
      <c r="L1034">
        <v>550</v>
      </c>
      <c r="M1034">
        <v>550</v>
      </c>
      <c r="N1034">
        <v>0</v>
      </c>
    </row>
    <row r="1035" spans="1:14" x14ac:dyDescent="0.25">
      <c r="A1035">
        <v>917.49104699999998</v>
      </c>
      <c r="B1035" s="1">
        <f>DATE(2012,11,3) + TIME(11,47,6)</f>
        <v>41216.491041666668</v>
      </c>
      <c r="C1035">
        <v>80</v>
      </c>
      <c r="D1035">
        <v>79.709327697999996</v>
      </c>
      <c r="E1035">
        <v>40</v>
      </c>
      <c r="F1035">
        <v>48.431968689000001</v>
      </c>
      <c r="G1035">
        <v>1330.8020019999999</v>
      </c>
      <c r="H1035">
        <v>1330.5382079999999</v>
      </c>
      <c r="I1035">
        <v>1333.8829346</v>
      </c>
      <c r="J1035">
        <v>1332.6293945</v>
      </c>
      <c r="K1035">
        <v>0</v>
      </c>
      <c r="L1035">
        <v>550</v>
      </c>
      <c r="M1035">
        <v>550</v>
      </c>
      <c r="N1035">
        <v>0</v>
      </c>
    </row>
    <row r="1036" spans="1:14" x14ac:dyDescent="0.25">
      <c r="A1036">
        <v>917.72090900000001</v>
      </c>
      <c r="B1036" s="1">
        <f>DATE(2012,11,3) + TIME(17,18,6)</f>
        <v>41216.720902777779</v>
      </c>
      <c r="C1036">
        <v>80</v>
      </c>
      <c r="D1036">
        <v>79.690406799000002</v>
      </c>
      <c r="E1036">
        <v>40</v>
      </c>
      <c r="F1036">
        <v>47.757843018000003</v>
      </c>
      <c r="G1036">
        <v>1330.7910156</v>
      </c>
      <c r="H1036">
        <v>1330.5220947</v>
      </c>
      <c r="I1036">
        <v>1333.8756103999999</v>
      </c>
      <c r="J1036">
        <v>1332.6209716999999</v>
      </c>
      <c r="K1036">
        <v>0</v>
      </c>
      <c r="L1036">
        <v>550</v>
      </c>
      <c r="M1036">
        <v>550</v>
      </c>
      <c r="N1036">
        <v>0</v>
      </c>
    </row>
    <row r="1037" spans="1:14" x14ac:dyDescent="0.25">
      <c r="A1037">
        <v>917.96728199999995</v>
      </c>
      <c r="B1037" s="1">
        <f>DATE(2012,11,3) + TIME(23,12,53)</f>
        <v>41216.967280092591</v>
      </c>
      <c r="C1037">
        <v>80</v>
      </c>
      <c r="D1037">
        <v>79.670181274000001</v>
      </c>
      <c r="E1037">
        <v>40</v>
      </c>
      <c r="F1037">
        <v>47.103595734000002</v>
      </c>
      <c r="G1037">
        <v>1330.7796631000001</v>
      </c>
      <c r="H1037">
        <v>1330.5053711</v>
      </c>
      <c r="I1037">
        <v>1333.8688964999999</v>
      </c>
      <c r="J1037">
        <v>1332.6129149999999</v>
      </c>
      <c r="K1037">
        <v>0</v>
      </c>
      <c r="L1037">
        <v>550</v>
      </c>
      <c r="M1037">
        <v>550</v>
      </c>
      <c r="N1037">
        <v>0</v>
      </c>
    </row>
    <row r="1038" spans="1:14" x14ac:dyDescent="0.25">
      <c r="A1038">
        <v>918.23195699999997</v>
      </c>
      <c r="B1038" s="1">
        <f>DATE(2012,11,4) + TIME(5,34,1)</f>
        <v>41217.231956018521</v>
      </c>
      <c r="C1038">
        <v>80</v>
      </c>
      <c r="D1038">
        <v>79.648529053000004</v>
      </c>
      <c r="E1038">
        <v>40</v>
      </c>
      <c r="F1038">
        <v>46.470306395999998</v>
      </c>
      <c r="G1038">
        <v>1330.7679443</v>
      </c>
      <c r="H1038">
        <v>1330.4882812000001</v>
      </c>
      <c r="I1038">
        <v>1333.862793</v>
      </c>
      <c r="J1038">
        <v>1332.6053466999999</v>
      </c>
      <c r="K1038">
        <v>0</v>
      </c>
      <c r="L1038">
        <v>550</v>
      </c>
      <c r="M1038">
        <v>550</v>
      </c>
      <c r="N1038">
        <v>0</v>
      </c>
    </row>
    <row r="1039" spans="1:14" x14ac:dyDescent="0.25">
      <c r="A1039">
        <v>918.51684899999998</v>
      </c>
      <c r="B1039" s="1">
        <f>DATE(2012,11,4) + TIME(12,24,15)</f>
        <v>41217.516840277778</v>
      </c>
      <c r="C1039">
        <v>80</v>
      </c>
      <c r="D1039">
        <v>79.625328064000001</v>
      </c>
      <c r="E1039">
        <v>40</v>
      </c>
      <c r="F1039">
        <v>45.859416961999997</v>
      </c>
      <c r="G1039">
        <v>1330.7558594</v>
      </c>
      <c r="H1039">
        <v>1330.4704589999999</v>
      </c>
      <c r="I1039">
        <v>1333.8572998</v>
      </c>
      <c r="J1039">
        <v>1332.5981445</v>
      </c>
      <c r="K1039">
        <v>0</v>
      </c>
      <c r="L1039">
        <v>550</v>
      </c>
      <c r="M1039">
        <v>550</v>
      </c>
      <c r="N1039">
        <v>0</v>
      </c>
    </row>
    <row r="1040" spans="1:14" x14ac:dyDescent="0.25">
      <c r="A1040">
        <v>918.82437400000003</v>
      </c>
      <c r="B1040" s="1">
        <f>DATE(2012,11,4) + TIME(19,47,5)</f>
        <v>41217.824363425927</v>
      </c>
      <c r="C1040">
        <v>80</v>
      </c>
      <c r="D1040">
        <v>79.600410460999996</v>
      </c>
      <c r="E1040">
        <v>40</v>
      </c>
      <c r="F1040">
        <v>45.272026062000002</v>
      </c>
      <c r="G1040">
        <v>1330.7432861</v>
      </c>
      <c r="H1040">
        <v>1330.4521483999999</v>
      </c>
      <c r="I1040">
        <v>1333.8524170000001</v>
      </c>
      <c r="J1040">
        <v>1332.5913086</v>
      </c>
      <c r="K1040">
        <v>0</v>
      </c>
      <c r="L1040">
        <v>550</v>
      </c>
      <c r="M1040">
        <v>550</v>
      </c>
      <c r="N1040">
        <v>0</v>
      </c>
    </row>
    <row r="1041" spans="1:14" x14ac:dyDescent="0.25">
      <c r="A1041">
        <v>919.15722000000005</v>
      </c>
      <c r="B1041" s="1">
        <f>DATE(2012,11,5) + TIME(3,46,23)</f>
        <v>41218.157210648147</v>
      </c>
      <c r="C1041">
        <v>80</v>
      </c>
      <c r="D1041">
        <v>79.573600768999995</v>
      </c>
      <c r="E1041">
        <v>40</v>
      </c>
      <c r="F1041">
        <v>44.709529877000001</v>
      </c>
      <c r="G1041">
        <v>1330.7302245999999</v>
      </c>
      <c r="H1041">
        <v>1330.4329834</v>
      </c>
      <c r="I1041">
        <v>1333.8481445</v>
      </c>
      <c r="J1041">
        <v>1332.5850829999999</v>
      </c>
      <c r="K1041">
        <v>0</v>
      </c>
      <c r="L1041">
        <v>550</v>
      </c>
      <c r="M1041">
        <v>550</v>
      </c>
      <c r="N1041">
        <v>0</v>
      </c>
    </row>
    <row r="1042" spans="1:14" x14ac:dyDescent="0.25">
      <c r="A1042">
        <v>919.51845600000001</v>
      </c>
      <c r="B1042" s="1">
        <f>DATE(2012,11,5) + TIME(12,26,34)</f>
        <v>41218.518449074072</v>
      </c>
      <c r="C1042">
        <v>80</v>
      </c>
      <c r="D1042">
        <v>79.544715881000002</v>
      </c>
      <c r="E1042">
        <v>40</v>
      </c>
      <c r="F1042">
        <v>44.173461914000001</v>
      </c>
      <c r="G1042">
        <v>1330.7165527</v>
      </c>
      <c r="H1042">
        <v>1330.4132079999999</v>
      </c>
      <c r="I1042">
        <v>1333.8444824000001</v>
      </c>
      <c r="J1042">
        <v>1332.5792236</v>
      </c>
      <c r="K1042">
        <v>0</v>
      </c>
      <c r="L1042">
        <v>550</v>
      </c>
      <c r="M1042">
        <v>550</v>
      </c>
      <c r="N1042">
        <v>0</v>
      </c>
    </row>
    <row r="1043" spans="1:14" x14ac:dyDescent="0.25">
      <c r="A1043">
        <v>919.91161699999998</v>
      </c>
      <c r="B1043" s="1">
        <f>DATE(2012,11,5) + TIME(21,52,43)</f>
        <v>41218.911608796298</v>
      </c>
      <c r="C1043">
        <v>80</v>
      </c>
      <c r="D1043">
        <v>79.513526916999993</v>
      </c>
      <c r="E1043">
        <v>40</v>
      </c>
      <c r="F1043">
        <v>43.665443420000003</v>
      </c>
      <c r="G1043">
        <v>1330.7023925999999</v>
      </c>
      <c r="H1043">
        <v>1330.3924560999999</v>
      </c>
      <c r="I1043">
        <v>1333.8415527</v>
      </c>
      <c r="J1043">
        <v>1332.5738524999999</v>
      </c>
      <c r="K1043">
        <v>0</v>
      </c>
      <c r="L1043">
        <v>550</v>
      </c>
      <c r="M1043">
        <v>550</v>
      </c>
      <c r="N1043">
        <v>0</v>
      </c>
    </row>
    <row r="1044" spans="1:14" x14ac:dyDescent="0.25">
      <c r="A1044">
        <v>920.34078399999999</v>
      </c>
      <c r="B1044" s="1">
        <f>DATE(2012,11,6) + TIME(8,10,43)</f>
        <v>41219.340775462966</v>
      </c>
      <c r="C1044">
        <v>80</v>
      </c>
      <c r="D1044">
        <v>79.479789733999993</v>
      </c>
      <c r="E1044">
        <v>40</v>
      </c>
      <c r="F1044">
        <v>43.187149048000002</v>
      </c>
      <c r="G1044">
        <v>1330.6873779</v>
      </c>
      <c r="H1044">
        <v>1330.3707274999999</v>
      </c>
      <c r="I1044">
        <v>1333.8392334</v>
      </c>
      <c r="J1044">
        <v>1332.5689697</v>
      </c>
      <c r="K1044">
        <v>0</v>
      </c>
      <c r="L1044">
        <v>550</v>
      </c>
      <c r="M1044">
        <v>550</v>
      </c>
      <c r="N1044">
        <v>0</v>
      </c>
    </row>
    <row r="1045" spans="1:14" x14ac:dyDescent="0.25">
      <c r="A1045">
        <v>920.81068100000005</v>
      </c>
      <c r="B1045" s="1">
        <f>DATE(2012,11,6) + TIME(19,27,22)</f>
        <v>41219.810671296298</v>
      </c>
      <c r="C1045">
        <v>80</v>
      </c>
      <c r="D1045">
        <v>79.443244934000006</v>
      </c>
      <c r="E1045">
        <v>40</v>
      </c>
      <c r="F1045">
        <v>42.740264893000003</v>
      </c>
      <c r="G1045">
        <v>1330.6717529</v>
      </c>
      <c r="H1045">
        <v>1330.3479004000001</v>
      </c>
      <c r="I1045">
        <v>1333.8375243999999</v>
      </c>
      <c r="J1045">
        <v>1332.5645752</v>
      </c>
      <c r="K1045">
        <v>0</v>
      </c>
      <c r="L1045">
        <v>550</v>
      </c>
      <c r="M1045">
        <v>550</v>
      </c>
      <c r="N1045">
        <v>0</v>
      </c>
    </row>
    <row r="1046" spans="1:14" x14ac:dyDescent="0.25">
      <c r="A1046">
        <v>921.32678099999998</v>
      </c>
      <c r="B1046" s="1">
        <f>DATE(2012,11,7) + TIME(7,50,33)</f>
        <v>41220.326770833337</v>
      </c>
      <c r="C1046">
        <v>80</v>
      </c>
      <c r="D1046">
        <v>79.403572083</v>
      </c>
      <c r="E1046">
        <v>40</v>
      </c>
      <c r="F1046">
        <v>42.326427459999998</v>
      </c>
      <c r="G1046">
        <v>1330.6551514</v>
      </c>
      <c r="H1046">
        <v>1330.3239745999999</v>
      </c>
      <c r="I1046">
        <v>1333.8364257999999</v>
      </c>
      <c r="J1046">
        <v>1332.5605469</v>
      </c>
      <c r="K1046">
        <v>0</v>
      </c>
      <c r="L1046">
        <v>550</v>
      </c>
      <c r="M1046">
        <v>550</v>
      </c>
      <c r="N1046">
        <v>0</v>
      </c>
    </row>
    <row r="1047" spans="1:14" x14ac:dyDescent="0.25">
      <c r="A1047">
        <v>921.89544599999999</v>
      </c>
      <c r="B1047" s="1">
        <f>DATE(2012,11,7) + TIME(21,29,26)</f>
        <v>41220.895439814813</v>
      </c>
      <c r="C1047">
        <v>80</v>
      </c>
      <c r="D1047">
        <v>79.360427856000001</v>
      </c>
      <c r="E1047">
        <v>40</v>
      </c>
      <c r="F1047">
        <v>41.947135924999998</v>
      </c>
      <c r="G1047">
        <v>1330.6374512</v>
      </c>
      <c r="H1047">
        <v>1330.2985839999999</v>
      </c>
      <c r="I1047">
        <v>1333.8359375</v>
      </c>
      <c r="J1047">
        <v>1332.5571289</v>
      </c>
      <c r="K1047">
        <v>0</v>
      </c>
      <c r="L1047">
        <v>550</v>
      </c>
      <c r="M1047">
        <v>550</v>
      </c>
      <c r="N1047">
        <v>0</v>
      </c>
    </row>
    <row r="1048" spans="1:14" x14ac:dyDescent="0.25">
      <c r="A1048">
        <v>922.49073799999996</v>
      </c>
      <c r="B1048" s="1">
        <f>DATE(2012,11,8) + TIME(11,46,39)</f>
        <v>41221.490729166668</v>
      </c>
      <c r="C1048">
        <v>80</v>
      </c>
      <c r="D1048">
        <v>79.315696716000005</v>
      </c>
      <c r="E1048">
        <v>40</v>
      </c>
      <c r="F1048">
        <v>41.618724823000001</v>
      </c>
      <c r="G1048">
        <v>1330.6188964999999</v>
      </c>
      <c r="H1048">
        <v>1330.2718506000001</v>
      </c>
      <c r="I1048">
        <v>1333.8363036999999</v>
      </c>
      <c r="J1048">
        <v>1332.5543213000001</v>
      </c>
      <c r="K1048">
        <v>0</v>
      </c>
      <c r="L1048">
        <v>550</v>
      </c>
      <c r="M1048">
        <v>550</v>
      </c>
      <c r="N1048">
        <v>0</v>
      </c>
    </row>
    <row r="1049" spans="1:14" x14ac:dyDescent="0.25">
      <c r="A1049">
        <v>923.113606</v>
      </c>
      <c r="B1049" s="1">
        <f>DATE(2012,11,9) + TIME(2,43,35)</f>
        <v>41222.113599537035</v>
      </c>
      <c r="C1049">
        <v>80</v>
      </c>
      <c r="D1049">
        <v>79.269340514999996</v>
      </c>
      <c r="E1049">
        <v>40</v>
      </c>
      <c r="F1049">
        <v>41.336212158000002</v>
      </c>
      <c r="G1049">
        <v>1330.5999756000001</v>
      </c>
      <c r="H1049">
        <v>1330.2446289</v>
      </c>
      <c r="I1049">
        <v>1333.8370361</v>
      </c>
      <c r="J1049">
        <v>1332.5520019999999</v>
      </c>
      <c r="K1049">
        <v>0</v>
      </c>
      <c r="L1049">
        <v>550</v>
      </c>
      <c r="M1049">
        <v>550</v>
      </c>
      <c r="N1049">
        <v>0</v>
      </c>
    </row>
    <row r="1050" spans="1:14" x14ac:dyDescent="0.25">
      <c r="A1050">
        <v>923.76709400000004</v>
      </c>
      <c r="B1050" s="1">
        <f>DATE(2012,11,9) + TIME(18,24,36)</f>
        <v>41222.767083333332</v>
      </c>
      <c r="C1050">
        <v>80</v>
      </c>
      <c r="D1050">
        <v>79.221191406000003</v>
      </c>
      <c r="E1050">
        <v>40</v>
      </c>
      <c r="F1050">
        <v>41.094192505000002</v>
      </c>
      <c r="G1050">
        <v>1330.5806885</v>
      </c>
      <c r="H1050">
        <v>1330.2170410000001</v>
      </c>
      <c r="I1050">
        <v>1333.8380127</v>
      </c>
      <c r="J1050">
        <v>1332.5501709</v>
      </c>
      <c r="K1050">
        <v>0</v>
      </c>
      <c r="L1050">
        <v>550</v>
      </c>
      <c r="M1050">
        <v>550</v>
      </c>
      <c r="N1050">
        <v>0</v>
      </c>
    </row>
    <row r="1051" spans="1:14" x14ac:dyDescent="0.25">
      <c r="A1051">
        <v>924.45499800000005</v>
      </c>
      <c r="B1051" s="1">
        <f>DATE(2012,11,10) + TIME(10,55,11)</f>
        <v>41223.454988425925</v>
      </c>
      <c r="C1051">
        <v>80</v>
      </c>
      <c r="D1051">
        <v>79.171035767000006</v>
      </c>
      <c r="E1051">
        <v>40</v>
      </c>
      <c r="F1051">
        <v>40.887813567999999</v>
      </c>
      <c r="G1051">
        <v>1330.5609131000001</v>
      </c>
      <c r="H1051">
        <v>1330.1888428</v>
      </c>
      <c r="I1051">
        <v>1333.8393555</v>
      </c>
      <c r="J1051">
        <v>1332.5484618999999</v>
      </c>
      <c r="K1051">
        <v>0</v>
      </c>
      <c r="L1051">
        <v>550</v>
      </c>
      <c r="M1051">
        <v>550</v>
      </c>
      <c r="N1051">
        <v>0</v>
      </c>
    </row>
    <row r="1052" spans="1:14" x14ac:dyDescent="0.25">
      <c r="A1052">
        <v>925.17060300000003</v>
      </c>
      <c r="B1052" s="1">
        <f>DATE(2012,11,11) + TIME(4,5,40)</f>
        <v>41224.170601851853</v>
      </c>
      <c r="C1052">
        <v>80</v>
      </c>
      <c r="D1052">
        <v>79.119338988999999</v>
      </c>
      <c r="E1052">
        <v>40</v>
      </c>
      <c r="F1052">
        <v>40.714931487999998</v>
      </c>
      <c r="G1052">
        <v>1330.5406493999999</v>
      </c>
      <c r="H1052">
        <v>1330.1600341999999</v>
      </c>
      <c r="I1052">
        <v>1333.8408202999999</v>
      </c>
      <c r="J1052">
        <v>1332.5471190999999</v>
      </c>
      <c r="K1052">
        <v>0</v>
      </c>
      <c r="L1052">
        <v>550</v>
      </c>
      <c r="M1052">
        <v>550</v>
      </c>
      <c r="N1052">
        <v>0</v>
      </c>
    </row>
    <row r="1053" spans="1:14" x14ac:dyDescent="0.25">
      <c r="A1053">
        <v>925.91331300000002</v>
      </c>
      <c r="B1053" s="1">
        <f>DATE(2012,11,11) + TIME(21,55,10)</f>
        <v>41224.913310185184</v>
      </c>
      <c r="C1053">
        <v>80</v>
      </c>
      <c r="D1053">
        <v>79.066146850999999</v>
      </c>
      <c r="E1053">
        <v>40</v>
      </c>
      <c r="F1053">
        <v>40.571269989000001</v>
      </c>
      <c r="G1053">
        <v>1330.5200195</v>
      </c>
      <c r="H1053">
        <v>1330.1307373</v>
      </c>
      <c r="I1053">
        <v>1333.8422852000001</v>
      </c>
      <c r="J1053">
        <v>1332.5458983999999</v>
      </c>
      <c r="K1053">
        <v>0</v>
      </c>
      <c r="L1053">
        <v>550</v>
      </c>
      <c r="M1053">
        <v>550</v>
      </c>
      <c r="N1053">
        <v>0</v>
      </c>
    </row>
    <row r="1054" spans="1:14" x14ac:dyDescent="0.25">
      <c r="A1054">
        <v>926.68562699999995</v>
      </c>
      <c r="B1054" s="1">
        <f>DATE(2012,11,12) + TIME(16,27,18)</f>
        <v>41225.685624999998</v>
      </c>
      <c r="C1054">
        <v>80</v>
      </c>
      <c r="D1054">
        <v>79.011291503999999</v>
      </c>
      <c r="E1054">
        <v>40</v>
      </c>
      <c r="F1054">
        <v>40.452411652000002</v>
      </c>
      <c r="G1054">
        <v>1330.4991454999999</v>
      </c>
      <c r="H1054">
        <v>1330.1010742000001</v>
      </c>
      <c r="I1054">
        <v>1333.84375</v>
      </c>
      <c r="J1054">
        <v>1332.5449219</v>
      </c>
      <c r="K1054">
        <v>0</v>
      </c>
      <c r="L1054">
        <v>550</v>
      </c>
      <c r="M1054">
        <v>550</v>
      </c>
      <c r="N1054">
        <v>0</v>
      </c>
    </row>
    <row r="1055" spans="1:14" x14ac:dyDescent="0.25">
      <c r="A1055">
        <v>927.49017200000003</v>
      </c>
      <c r="B1055" s="1">
        <f>DATE(2012,11,13) + TIME(11,45,50)</f>
        <v>41226.490162037036</v>
      </c>
      <c r="C1055">
        <v>80</v>
      </c>
      <c r="D1055">
        <v>78.954620360999996</v>
      </c>
      <c r="E1055">
        <v>40</v>
      </c>
      <c r="F1055">
        <v>40.354560851999999</v>
      </c>
      <c r="G1055">
        <v>1330.4779053</v>
      </c>
      <c r="H1055">
        <v>1330.0710449000001</v>
      </c>
      <c r="I1055">
        <v>1333.8452147999999</v>
      </c>
      <c r="J1055">
        <v>1332.5439452999999</v>
      </c>
      <c r="K1055">
        <v>0</v>
      </c>
      <c r="L1055">
        <v>550</v>
      </c>
      <c r="M1055">
        <v>550</v>
      </c>
      <c r="N1055">
        <v>0</v>
      </c>
    </row>
    <row r="1056" spans="1:14" x14ac:dyDescent="0.25">
      <c r="A1056">
        <v>928.32981500000005</v>
      </c>
      <c r="B1056" s="1">
        <f>DATE(2012,11,14) + TIME(7,54,55)</f>
        <v>41227.32980324074</v>
      </c>
      <c r="C1056">
        <v>80</v>
      </c>
      <c r="D1056">
        <v>78.895942688000005</v>
      </c>
      <c r="E1056">
        <v>40</v>
      </c>
      <c r="F1056">
        <v>40.274433135999999</v>
      </c>
      <c r="G1056">
        <v>1330.4561768000001</v>
      </c>
      <c r="H1056">
        <v>1330.0404053</v>
      </c>
      <c r="I1056">
        <v>1333.8466797000001</v>
      </c>
      <c r="J1056">
        <v>1332.5430908000001</v>
      </c>
      <c r="K1056">
        <v>0</v>
      </c>
      <c r="L1056">
        <v>550</v>
      </c>
      <c r="M1056">
        <v>550</v>
      </c>
      <c r="N1056">
        <v>0</v>
      </c>
    </row>
    <row r="1057" spans="1:14" x14ac:dyDescent="0.25">
      <c r="A1057">
        <v>929.20770800000003</v>
      </c>
      <c r="B1057" s="1">
        <f>DATE(2012,11,15) + TIME(4,59,5)</f>
        <v>41228.207696759258</v>
      </c>
      <c r="C1057">
        <v>80</v>
      </c>
      <c r="D1057">
        <v>78.835037231000001</v>
      </c>
      <c r="E1057">
        <v>40</v>
      </c>
      <c r="F1057">
        <v>40.209190368999998</v>
      </c>
      <c r="G1057">
        <v>1330.4339600000001</v>
      </c>
      <c r="H1057">
        <v>1330.0091553</v>
      </c>
      <c r="I1057">
        <v>1333.8479004000001</v>
      </c>
      <c r="J1057">
        <v>1332.5421143000001</v>
      </c>
      <c r="K1057">
        <v>0</v>
      </c>
      <c r="L1057">
        <v>550</v>
      </c>
      <c r="M1057">
        <v>550</v>
      </c>
      <c r="N1057">
        <v>0</v>
      </c>
    </row>
    <row r="1058" spans="1:14" x14ac:dyDescent="0.25">
      <c r="A1058">
        <v>930.127342</v>
      </c>
      <c r="B1058" s="1">
        <f>DATE(2012,11,16) + TIME(3,3,22)</f>
        <v>41229.127337962964</v>
      </c>
      <c r="C1058">
        <v>80</v>
      </c>
      <c r="D1058">
        <v>78.771675110000004</v>
      </c>
      <c r="E1058">
        <v>40</v>
      </c>
      <c r="F1058">
        <v>40.156383513999998</v>
      </c>
      <c r="G1058">
        <v>1330.4112548999999</v>
      </c>
      <c r="H1058">
        <v>1329.9772949000001</v>
      </c>
      <c r="I1058">
        <v>1333.8491211</v>
      </c>
      <c r="J1058">
        <v>1332.5412598</v>
      </c>
      <c r="K1058">
        <v>0</v>
      </c>
      <c r="L1058">
        <v>550</v>
      </c>
      <c r="M1058">
        <v>550</v>
      </c>
      <c r="N1058">
        <v>0</v>
      </c>
    </row>
    <row r="1059" spans="1:14" x14ac:dyDescent="0.25">
      <c r="A1059">
        <v>931.09259399999996</v>
      </c>
      <c r="B1059" s="1">
        <f>DATE(2012,11,17) + TIME(2,13,20)</f>
        <v>41230.092592592591</v>
      </c>
      <c r="C1059">
        <v>80</v>
      </c>
      <c r="D1059">
        <v>78.705574036000002</v>
      </c>
      <c r="E1059">
        <v>40</v>
      </c>
      <c r="F1059">
        <v>40.113899230999998</v>
      </c>
      <c r="G1059">
        <v>1330.3879394999999</v>
      </c>
      <c r="H1059">
        <v>1329.9447021000001</v>
      </c>
      <c r="I1059">
        <v>1333.8500977000001</v>
      </c>
      <c r="J1059">
        <v>1332.5402832</v>
      </c>
      <c r="K1059">
        <v>0</v>
      </c>
      <c r="L1059">
        <v>550</v>
      </c>
      <c r="M1059">
        <v>550</v>
      </c>
      <c r="N1059">
        <v>0</v>
      </c>
    </row>
    <row r="1060" spans="1:14" x14ac:dyDescent="0.25">
      <c r="A1060">
        <v>932.10775799999999</v>
      </c>
      <c r="B1060" s="1">
        <f>DATE(2012,11,18) + TIME(2,35,10)</f>
        <v>41231.107754629629</v>
      </c>
      <c r="C1060">
        <v>80</v>
      </c>
      <c r="D1060">
        <v>78.636421204000001</v>
      </c>
      <c r="E1060">
        <v>40</v>
      </c>
      <c r="F1060">
        <v>40.079925537000001</v>
      </c>
      <c r="G1060">
        <v>1330.3641356999999</v>
      </c>
      <c r="H1060">
        <v>1329.9113769999999</v>
      </c>
      <c r="I1060">
        <v>1333.8510742000001</v>
      </c>
      <c r="J1060">
        <v>1332.5393065999999</v>
      </c>
      <c r="K1060">
        <v>0</v>
      </c>
      <c r="L1060">
        <v>550</v>
      </c>
      <c r="M1060">
        <v>550</v>
      </c>
      <c r="N1060">
        <v>0</v>
      </c>
    </row>
    <row r="1061" spans="1:14" x14ac:dyDescent="0.25">
      <c r="A1061">
        <v>933.17729699999995</v>
      </c>
      <c r="B1061" s="1">
        <f>DATE(2012,11,19) + TIME(4,15,18)</f>
        <v>41232.177291666667</v>
      </c>
      <c r="C1061">
        <v>80</v>
      </c>
      <c r="D1061">
        <v>78.563873290999993</v>
      </c>
      <c r="E1061">
        <v>40</v>
      </c>
      <c r="F1061">
        <v>40.052925109999997</v>
      </c>
      <c r="G1061">
        <v>1330.3394774999999</v>
      </c>
      <c r="H1061">
        <v>1329.8770752</v>
      </c>
      <c r="I1061">
        <v>1333.8519286999999</v>
      </c>
      <c r="J1061">
        <v>1332.5383300999999</v>
      </c>
      <c r="K1061">
        <v>0</v>
      </c>
      <c r="L1061">
        <v>550</v>
      </c>
      <c r="M1061">
        <v>550</v>
      </c>
      <c r="N1061">
        <v>0</v>
      </c>
    </row>
    <row r="1062" spans="1:14" x14ac:dyDescent="0.25">
      <c r="A1062">
        <v>934.30107999999996</v>
      </c>
      <c r="B1062" s="1">
        <f>DATE(2012,11,20) + TIME(7,13,33)</f>
        <v>41233.301076388889</v>
      </c>
      <c r="C1062">
        <v>80</v>
      </c>
      <c r="D1062">
        <v>78.487815857000001</v>
      </c>
      <c r="E1062">
        <v>40</v>
      </c>
      <c r="F1062">
        <v>40.031661987</v>
      </c>
      <c r="G1062">
        <v>1330.3142089999999</v>
      </c>
      <c r="H1062">
        <v>1329.8417969</v>
      </c>
      <c r="I1062">
        <v>1333.8525391000001</v>
      </c>
      <c r="J1062">
        <v>1332.5372314000001</v>
      </c>
      <c r="K1062">
        <v>0</v>
      </c>
      <c r="L1062">
        <v>550</v>
      </c>
      <c r="M1062">
        <v>550</v>
      </c>
      <c r="N1062">
        <v>0</v>
      </c>
    </row>
    <row r="1063" spans="1:14" x14ac:dyDescent="0.25">
      <c r="A1063">
        <v>935.48092799999995</v>
      </c>
      <c r="B1063" s="1">
        <f>DATE(2012,11,21) + TIME(11,32,32)</f>
        <v>41234.480925925927</v>
      </c>
      <c r="C1063">
        <v>80</v>
      </c>
      <c r="D1063">
        <v>78.408012389999996</v>
      </c>
      <c r="E1063">
        <v>40</v>
      </c>
      <c r="F1063">
        <v>40.015018462999997</v>
      </c>
      <c r="G1063">
        <v>1330.2880858999999</v>
      </c>
      <c r="H1063">
        <v>1329.8056641000001</v>
      </c>
      <c r="I1063">
        <v>1333.8531493999999</v>
      </c>
      <c r="J1063">
        <v>1332.5360106999999</v>
      </c>
      <c r="K1063">
        <v>0</v>
      </c>
      <c r="L1063">
        <v>550</v>
      </c>
      <c r="M1063">
        <v>550</v>
      </c>
      <c r="N1063">
        <v>0</v>
      </c>
    </row>
    <row r="1064" spans="1:14" x14ac:dyDescent="0.25">
      <c r="A1064">
        <v>936.721498</v>
      </c>
      <c r="B1064" s="1">
        <f>DATE(2012,11,22) + TIME(17,18,57)</f>
        <v>41235.721493055556</v>
      </c>
      <c r="C1064">
        <v>80</v>
      </c>
      <c r="D1064">
        <v>78.324035644999995</v>
      </c>
      <c r="E1064">
        <v>40</v>
      </c>
      <c r="F1064">
        <v>40.002029419000003</v>
      </c>
      <c r="G1064">
        <v>1330.2613524999999</v>
      </c>
      <c r="H1064">
        <v>1329.7685547000001</v>
      </c>
      <c r="I1064">
        <v>1333.8536377</v>
      </c>
      <c r="J1064">
        <v>1332.5347899999999</v>
      </c>
      <c r="K1064">
        <v>0</v>
      </c>
      <c r="L1064">
        <v>550</v>
      </c>
      <c r="M1064">
        <v>550</v>
      </c>
      <c r="N1064">
        <v>0</v>
      </c>
    </row>
    <row r="1065" spans="1:14" x14ac:dyDescent="0.25">
      <c r="A1065">
        <v>938.02138000000002</v>
      </c>
      <c r="B1065" s="1">
        <f>DATE(2012,11,24) + TIME(0,30,47)</f>
        <v>41237.021377314813</v>
      </c>
      <c r="C1065">
        <v>80</v>
      </c>
      <c r="D1065">
        <v>78.235763550000001</v>
      </c>
      <c r="E1065">
        <v>40</v>
      </c>
      <c r="F1065">
        <v>39.991950989000003</v>
      </c>
      <c r="G1065">
        <v>1330.2337646000001</v>
      </c>
      <c r="H1065">
        <v>1329.7305908000001</v>
      </c>
      <c r="I1065">
        <v>1333.8540039</v>
      </c>
      <c r="J1065">
        <v>1332.5334473</v>
      </c>
      <c r="K1065">
        <v>0</v>
      </c>
      <c r="L1065">
        <v>550</v>
      </c>
      <c r="M1065">
        <v>550</v>
      </c>
      <c r="N1065">
        <v>0</v>
      </c>
    </row>
    <row r="1066" spans="1:14" x14ac:dyDescent="0.25">
      <c r="A1066">
        <v>939.35905700000001</v>
      </c>
      <c r="B1066" s="1">
        <f>DATE(2012,11,25) + TIME(8,37,2)</f>
        <v>41238.359050925923</v>
      </c>
      <c r="C1066">
        <v>80</v>
      </c>
      <c r="D1066">
        <v>78.144096375000004</v>
      </c>
      <c r="E1066">
        <v>40</v>
      </c>
      <c r="F1066">
        <v>39.984237671000002</v>
      </c>
      <c r="G1066">
        <v>1330.2055664</v>
      </c>
      <c r="H1066">
        <v>1329.6916504000001</v>
      </c>
      <c r="I1066">
        <v>1333.8542480000001</v>
      </c>
      <c r="J1066">
        <v>1332.5319824000001</v>
      </c>
      <c r="K1066">
        <v>0</v>
      </c>
      <c r="L1066">
        <v>550</v>
      </c>
      <c r="M1066">
        <v>550</v>
      </c>
      <c r="N1066">
        <v>0</v>
      </c>
    </row>
    <row r="1067" spans="1:14" x14ac:dyDescent="0.25">
      <c r="A1067">
        <v>940.74362399999995</v>
      </c>
      <c r="B1067" s="1">
        <f>DATE(2012,11,26) + TIME(17,50,49)</f>
        <v>41239.743622685186</v>
      </c>
      <c r="C1067">
        <v>80</v>
      </c>
      <c r="D1067">
        <v>78.048423767000003</v>
      </c>
      <c r="E1067">
        <v>40</v>
      </c>
      <c r="F1067">
        <v>39.978279114000003</v>
      </c>
      <c r="G1067">
        <v>1330.1770019999999</v>
      </c>
      <c r="H1067">
        <v>1329.6523437999999</v>
      </c>
      <c r="I1067">
        <v>1333.8544922000001</v>
      </c>
      <c r="J1067">
        <v>1332.5306396000001</v>
      </c>
      <c r="K1067">
        <v>0</v>
      </c>
      <c r="L1067">
        <v>550</v>
      </c>
      <c r="M1067">
        <v>550</v>
      </c>
      <c r="N1067">
        <v>0</v>
      </c>
    </row>
    <row r="1068" spans="1:14" x14ac:dyDescent="0.25">
      <c r="A1068">
        <v>942.18450800000005</v>
      </c>
      <c r="B1068" s="1">
        <f>DATE(2012,11,28) + TIME(4,25,41)</f>
        <v>41241.184502314813</v>
      </c>
      <c r="C1068">
        <v>80</v>
      </c>
      <c r="D1068">
        <v>77.948066710999996</v>
      </c>
      <c r="E1068">
        <v>40</v>
      </c>
      <c r="F1068">
        <v>39.973632811999998</v>
      </c>
      <c r="G1068">
        <v>1330.1479492000001</v>
      </c>
      <c r="H1068">
        <v>1329.6125488</v>
      </c>
      <c r="I1068">
        <v>1333.8544922000001</v>
      </c>
      <c r="J1068">
        <v>1332.5291748</v>
      </c>
      <c r="K1068">
        <v>0</v>
      </c>
      <c r="L1068">
        <v>550</v>
      </c>
      <c r="M1068">
        <v>550</v>
      </c>
      <c r="N1068">
        <v>0</v>
      </c>
    </row>
    <row r="1069" spans="1:14" x14ac:dyDescent="0.25">
      <c r="A1069">
        <v>943.6925</v>
      </c>
      <c r="B1069" s="1">
        <f>DATE(2012,11,29) + TIME(16,37,12)</f>
        <v>41242.692499999997</v>
      </c>
      <c r="C1069">
        <v>80</v>
      </c>
      <c r="D1069">
        <v>77.842216492000006</v>
      </c>
      <c r="E1069">
        <v>40</v>
      </c>
      <c r="F1069">
        <v>39.969974518000001</v>
      </c>
      <c r="G1069">
        <v>1330.1185303</v>
      </c>
      <c r="H1069">
        <v>1329.5721435999999</v>
      </c>
      <c r="I1069">
        <v>1333.8546143000001</v>
      </c>
      <c r="J1069">
        <v>1332.5277100000001</v>
      </c>
      <c r="K1069">
        <v>0</v>
      </c>
      <c r="L1069">
        <v>550</v>
      </c>
      <c r="M1069">
        <v>550</v>
      </c>
      <c r="N1069">
        <v>0</v>
      </c>
    </row>
    <row r="1070" spans="1:14" x14ac:dyDescent="0.25">
      <c r="A1070">
        <v>945</v>
      </c>
      <c r="B1070" s="1">
        <f>DATE(2012,12,1) + TIME(0,0,0)</f>
        <v>41244</v>
      </c>
      <c r="C1070">
        <v>80</v>
      </c>
      <c r="D1070">
        <v>77.744766235</v>
      </c>
      <c r="E1070">
        <v>40</v>
      </c>
      <c r="F1070">
        <v>39.967487335000001</v>
      </c>
      <c r="G1070">
        <v>1330.0886230000001</v>
      </c>
      <c r="H1070">
        <v>1329.5313721</v>
      </c>
      <c r="I1070">
        <v>1333.8546143000001</v>
      </c>
      <c r="J1070">
        <v>1332.5262451000001</v>
      </c>
      <c r="K1070">
        <v>0</v>
      </c>
      <c r="L1070">
        <v>550</v>
      </c>
      <c r="M1070">
        <v>550</v>
      </c>
      <c r="N1070">
        <v>0</v>
      </c>
    </row>
    <row r="1071" spans="1:14" x14ac:dyDescent="0.25">
      <c r="A1071">
        <v>946.58772399999998</v>
      </c>
      <c r="B1071" s="1">
        <f>DATE(2012,12,2) + TIME(14,6,19)</f>
        <v>41245.587719907409</v>
      </c>
      <c r="C1071">
        <v>80</v>
      </c>
      <c r="D1071">
        <v>77.631515503000003</v>
      </c>
      <c r="E1071">
        <v>40</v>
      </c>
      <c r="F1071">
        <v>39.965179442999997</v>
      </c>
      <c r="G1071">
        <v>1330.0617675999999</v>
      </c>
      <c r="H1071">
        <v>1329.4942627</v>
      </c>
      <c r="I1071">
        <v>1333.8546143000001</v>
      </c>
      <c r="J1071">
        <v>1332.5250243999999</v>
      </c>
      <c r="K1071">
        <v>0</v>
      </c>
      <c r="L1071">
        <v>550</v>
      </c>
      <c r="M1071">
        <v>550</v>
      </c>
      <c r="N1071">
        <v>0</v>
      </c>
    </row>
    <row r="1072" spans="1:14" x14ac:dyDescent="0.25">
      <c r="A1072">
        <v>948.36175500000002</v>
      </c>
      <c r="B1072" s="1">
        <f>DATE(2012,12,4) + TIME(8,40,55)</f>
        <v>41247.361747685187</v>
      </c>
      <c r="C1072">
        <v>80</v>
      </c>
      <c r="D1072">
        <v>77.505882263000004</v>
      </c>
      <c r="E1072">
        <v>40</v>
      </c>
      <c r="F1072">
        <v>39.963218689000001</v>
      </c>
      <c r="G1072">
        <v>1330.0313721</v>
      </c>
      <c r="H1072">
        <v>1329.4527588000001</v>
      </c>
      <c r="I1072">
        <v>1333.8544922000001</v>
      </c>
      <c r="J1072">
        <v>1332.5235596</v>
      </c>
      <c r="K1072">
        <v>0</v>
      </c>
      <c r="L1072">
        <v>550</v>
      </c>
      <c r="M1072">
        <v>550</v>
      </c>
      <c r="N1072">
        <v>0</v>
      </c>
    </row>
    <row r="1073" spans="1:14" x14ac:dyDescent="0.25">
      <c r="A1073">
        <v>950.17023800000004</v>
      </c>
      <c r="B1073" s="1">
        <f>DATE(2012,12,6) + TIME(4,5,8)</f>
        <v>41249.170231481483</v>
      </c>
      <c r="C1073">
        <v>80</v>
      </c>
      <c r="D1073">
        <v>77.373901367000002</v>
      </c>
      <c r="E1073">
        <v>40</v>
      </c>
      <c r="F1073">
        <v>39.961685181</v>
      </c>
      <c r="G1073">
        <v>1329.9987793</v>
      </c>
      <c r="H1073">
        <v>1329.4086914</v>
      </c>
      <c r="I1073">
        <v>1333.8544922000001</v>
      </c>
      <c r="J1073">
        <v>1332.5219727000001</v>
      </c>
      <c r="K1073">
        <v>0</v>
      </c>
      <c r="L1073">
        <v>550</v>
      </c>
      <c r="M1073">
        <v>550</v>
      </c>
      <c r="N1073">
        <v>0</v>
      </c>
    </row>
    <row r="1074" spans="1:14" x14ac:dyDescent="0.25">
      <c r="A1074">
        <v>952.00882799999999</v>
      </c>
      <c r="B1074" s="1">
        <f>DATE(2012,12,8) + TIME(0,12,42)</f>
        <v>41251.008819444447</v>
      </c>
      <c r="C1074">
        <v>80</v>
      </c>
      <c r="D1074">
        <v>77.236030579000001</v>
      </c>
      <c r="E1074">
        <v>40</v>
      </c>
      <c r="F1074">
        <v>39.960487366000002</v>
      </c>
      <c r="G1074">
        <v>1329.9659423999999</v>
      </c>
      <c r="H1074">
        <v>1329.3641356999999</v>
      </c>
      <c r="I1074">
        <v>1333.8543701000001</v>
      </c>
      <c r="J1074">
        <v>1332.5203856999999</v>
      </c>
      <c r="K1074">
        <v>0</v>
      </c>
      <c r="L1074">
        <v>550</v>
      </c>
      <c r="M1074">
        <v>550</v>
      </c>
      <c r="N1074">
        <v>0</v>
      </c>
    </row>
    <row r="1075" spans="1:14" x14ac:dyDescent="0.25">
      <c r="A1075">
        <v>953.88323300000002</v>
      </c>
      <c r="B1075" s="1">
        <f>DATE(2012,12,9) + TIME(21,11,51)</f>
        <v>41252.883229166669</v>
      </c>
      <c r="C1075">
        <v>80</v>
      </c>
      <c r="D1075">
        <v>77.092201232999997</v>
      </c>
      <c r="E1075">
        <v>40</v>
      </c>
      <c r="F1075">
        <v>39.959533690999997</v>
      </c>
      <c r="G1075">
        <v>1329.9329834</v>
      </c>
      <c r="H1075">
        <v>1329.3195800999999</v>
      </c>
      <c r="I1075">
        <v>1333.8542480000001</v>
      </c>
      <c r="J1075">
        <v>1332.5189209</v>
      </c>
      <c r="K1075">
        <v>0</v>
      </c>
      <c r="L1075">
        <v>550</v>
      </c>
      <c r="M1075">
        <v>550</v>
      </c>
      <c r="N1075">
        <v>0</v>
      </c>
    </row>
    <row r="1076" spans="1:14" x14ac:dyDescent="0.25">
      <c r="A1076">
        <v>955.80769999999995</v>
      </c>
      <c r="B1076" s="1">
        <f>DATE(2012,12,11) + TIME(19,23,5)</f>
        <v>41254.807696759257</v>
      </c>
      <c r="C1076">
        <v>80</v>
      </c>
      <c r="D1076">
        <v>76.941734314000001</v>
      </c>
      <c r="E1076">
        <v>40</v>
      </c>
      <c r="F1076">
        <v>39.958770752</v>
      </c>
      <c r="G1076">
        <v>1329.9001464999999</v>
      </c>
      <c r="H1076">
        <v>1329.2749022999999</v>
      </c>
      <c r="I1076">
        <v>1333.8540039</v>
      </c>
      <c r="J1076">
        <v>1332.5174560999999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957.79731900000002</v>
      </c>
      <c r="B1077" s="1">
        <f>DATE(2012,12,13) + TIME(19,8,8)</f>
        <v>41256.797314814816</v>
      </c>
      <c r="C1077">
        <v>80</v>
      </c>
      <c r="D1077">
        <v>76.783676146999994</v>
      </c>
      <c r="E1077">
        <v>40</v>
      </c>
      <c r="F1077">
        <v>39.958152771000002</v>
      </c>
      <c r="G1077">
        <v>1329.8670654</v>
      </c>
      <c r="H1077">
        <v>1329.2302245999999</v>
      </c>
      <c r="I1077">
        <v>1333.8538818</v>
      </c>
      <c r="J1077">
        <v>1332.5159911999999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959.86886900000002</v>
      </c>
      <c r="B1078" s="1">
        <f>DATE(2012,12,15) + TIME(20,51,10)</f>
        <v>41258.86886574074</v>
      </c>
      <c r="C1078">
        <v>80</v>
      </c>
      <c r="D1078">
        <v>76.616813660000005</v>
      </c>
      <c r="E1078">
        <v>40</v>
      </c>
      <c r="F1078">
        <v>39.957649230999998</v>
      </c>
      <c r="G1078">
        <v>1329.8337402</v>
      </c>
      <c r="H1078">
        <v>1329.1851807</v>
      </c>
      <c r="I1078">
        <v>1333.8537598</v>
      </c>
      <c r="J1078">
        <v>1332.5146483999999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961.99232199999994</v>
      </c>
      <c r="B1079" s="1">
        <f>DATE(2012,12,17) + TIME(23,48,56)</f>
        <v>41260.992314814815</v>
      </c>
      <c r="C1079">
        <v>80</v>
      </c>
      <c r="D1079">
        <v>76.442085266000007</v>
      </c>
      <c r="E1079">
        <v>40</v>
      </c>
      <c r="F1079">
        <v>39.957241058000001</v>
      </c>
      <c r="G1079">
        <v>1329.8000488</v>
      </c>
      <c r="H1079">
        <v>1329.1397704999999</v>
      </c>
      <c r="I1079">
        <v>1333.8535156</v>
      </c>
      <c r="J1079">
        <v>1332.5131836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964.16479600000002</v>
      </c>
      <c r="B1080" s="1">
        <f>DATE(2012,12,20) + TIME(3,57,18)</f>
        <v>41263.16479166667</v>
      </c>
      <c r="C1080">
        <v>80</v>
      </c>
      <c r="D1080">
        <v>76.259613036999994</v>
      </c>
      <c r="E1080">
        <v>40</v>
      </c>
      <c r="F1080">
        <v>39.956909179999997</v>
      </c>
      <c r="G1080">
        <v>1329.7663574000001</v>
      </c>
      <c r="H1080">
        <v>1329.0942382999999</v>
      </c>
      <c r="I1080">
        <v>1333.8533935999999</v>
      </c>
      <c r="J1080">
        <v>1332.5119629000001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966.40063999999995</v>
      </c>
      <c r="B1081" s="1">
        <f>DATE(2012,12,22) + TIME(9,36,55)</f>
        <v>41265.400636574072</v>
      </c>
      <c r="C1081">
        <v>80</v>
      </c>
      <c r="D1081">
        <v>76.068679810000006</v>
      </c>
      <c r="E1081">
        <v>40</v>
      </c>
      <c r="F1081">
        <v>39.956638335999997</v>
      </c>
      <c r="G1081">
        <v>1329.7325439000001</v>
      </c>
      <c r="H1081">
        <v>1329.0488281</v>
      </c>
      <c r="I1081">
        <v>1333.8532714999999</v>
      </c>
      <c r="J1081">
        <v>1332.5106201000001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968.71547599999997</v>
      </c>
      <c r="B1082" s="1">
        <f>DATE(2012,12,24) + TIME(17,10,17)</f>
        <v>41267.715474537035</v>
      </c>
      <c r="C1082">
        <v>80</v>
      </c>
      <c r="D1082">
        <v>75.868247986</v>
      </c>
      <c r="E1082">
        <v>40</v>
      </c>
      <c r="F1082">
        <v>39.956417084000002</v>
      </c>
      <c r="G1082">
        <v>1329.6987305</v>
      </c>
      <c r="H1082">
        <v>1329.0032959</v>
      </c>
      <c r="I1082">
        <v>1333.8530272999999</v>
      </c>
      <c r="J1082">
        <v>1332.5095214999999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971.12704499999995</v>
      </c>
      <c r="B1083" s="1">
        <f>DATE(2012,12,27) + TIME(3,2,56)</f>
        <v>41270.12703703704</v>
      </c>
      <c r="C1083">
        <v>80</v>
      </c>
      <c r="D1083">
        <v>75.656959533999995</v>
      </c>
      <c r="E1083">
        <v>40</v>
      </c>
      <c r="F1083">
        <v>39.956226348999998</v>
      </c>
      <c r="G1083">
        <v>1329.6646728999999</v>
      </c>
      <c r="H1083">
        <v>1328.9576416</v>
      </c>
      <c r="I1083">
        <v>1333.8529053</v>
      </c>
      <c r="J1083">
        <v>1332.5083007999999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973.65605400000004</v>
      </c>
      <c r="B1084" s="1">
        <f>DATE(2012,12,29) + TIME(15,44,43)</f>
        <v>41272.656053240738</v>
      </c>
      <c r="C1084">
        <v>80</v>
      </c>
      <c r="D1084">
        <v>75.433135985999996</v>
      </c>
      <c r="E1084">
        <v>40</v>
      </c>
      <c r="F1084">
        <v>39.956062316999997</v>
      </c>
      <c r="G1084">
        <v>1329.6301269999999</v>
      </c>
      <c r="H1084">
        <v>1328.911499</v>
      </c>
      <c r="I1084">
        <v>1333.8526611</v>
      </c>
      <c r="J1084">
        <v>1332.5072021000001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976</v>
      </c>
      <c r="B1085" s="1">
        <f>DATE(2013,1,1) + TIME(0,0,0)</f>
        <v>41275</v>
      </c>
      <c r="C1085">
        <v>80</v>
      </c>
      <c r="D1085">
        <v>75.211204529</v>
      </c>
      <c r="E1085">
        <v>40</v>
      </c>
      <c r="F1085">
        <v>39.955940247000001</v>
      </c>
      <c r="G1085">
        <v>1329.5952147999999</v>
      </c>
      <c r="H1085">
        <v>1328.8649902</v>
      </c>
      <c r="I1085">
        <v>1333.8524170000001</v>
      </c>
      <c r="J1085">
        <v>1332.5061035000001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978.59678699999995</v>
      </c>
      <c r="B1086" s="1">
        <f>DATE(2013,1,3) + TIME(14,19,22)</f>
        <v>41277.596782407411</v>
      </c>
      <c r="C1086">
        <v>80</v>
      </c>
      <c r="D1086">
        <v>74.974449157999999</v>
      </c>
      <c r="E1086">
        <v>40</v>
      </c>
      <c r="F1086">
        <v>39.955821991000001</v>
      </c>
      <c r="G1086">
        <v>1329.5626221</v>
      </c>
      <c r="H1086">
        <v>1328.8208007999999</v>
      </c>
      <c r="I1086">
        <v>1333.8522949000001</v>
      </c>
      <c r="J1086">
        <v>1332.5051269999999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981.29058799999996</v>
      </c>
      <c r="B1087" s="1">
        <f>DATE(2013,1,6) + TIME(6,58,26)</f>
        <v>41280.290578703702</v>
      </c>
      <c r="C1087">
        <v>80</v>
      </c>
      <c r="D1087">
        <v>74.725013732999997</v>
      </c>
      <c r="E1087">
        <v>40</v>
      </c>
      <c r="F1087">
        <v>39.955715179000002</v>
      </c>
      <c r="G1087">
        <v>1329.5284423999999</v>
      </c>
      <c r="H1087">
        <v>1328.7753906</v>
      </c>
      <c r="I1087">
        <v>1333.8520507999999</v>
      </c>
      <c r="J1087">
        <v>1332.5042725000001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984.06493499999999</v>
      </c>
      <c r="B1088" s="1">
        <f>DATE(2013,1,9) + TIME(1,33,30)</f>
        <v>41283.064930555556</v>
      </c>
      <c r="C1088">
        <v>80</v>
      </c>
      <c r="D1088">
        <v>74.463783264</v>
      </c>
      <c r="E1088">
        <v>40</v>
      </c>
      <c r="F1088">
        <v>39.955619812000002</v>
      </c>
      <c r="G1088">
        <v>1329.4940185999999</v>
      </c>
      <c r="H1088">
        <v>1328.7294922000001</v>
      </c>
      <c r="I1088">
        <v>1333.8518065999999</v>
      </c>
      <c r="J1088">
        <v>1332.5032959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986.94377299999996</v>
      </c>
      <c r="B1089" s="1">
        <f>DATE(2013,1,11) + TIME(22,39,2)</f>
        <v>41285.943773148145</v>
      </c>
      <c r="C1089">
        <v>80</v>
      </c>
      <c r="D1089">
        <v>74.189994811999995</v>
      </c>
      <c r="E1089">
        <v>40</v>
      </c>
      <c r="F1089">
        <v>39.955532073999997</v>
      </c>
      <c r="G1089">
        <v>1329.4594727000001</v>
      </c>
      <c r="H1089">
        <v>1328.6835937999999</v>
      </c>
      <c r="I1089">
        <v>1333.8515625</v>
      </c>
      <c r="J1089">
        <v>1332.5024414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989.88345900000002</v>
      </c>
      <c r="B1090" s="1">
        <f>DATE(2013,1,14) + TIME(21,12,10)</f>
        <v>41288.883449074077</v>
      </c>
      <c r="C1090">
        <v>80</v>
      </c>
      <c r="D1090">
        <v>73.905326842999997</v>
      </c>
      <c r="E1090">
        <v>40</v>
      </c>
      <c r="F1090">
        <v>39.955448150999999</v>
      </c>
      <c r="G1090">
        <v>1329.4248047000001</v>
      </c>
      <c r="H1090">
        <v>1328.6374512</v>
      </c>
      <c r="I1090">
        <v>1333.8513184000001</v>
      </c>
      <c r="J1090">
        <v>1332.5017089999999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992.86972900000001</v>
      </c>
      <c r="B1091" s="1">
        <f>DATE(2013,1,17) + TIME(20,52,24)</f>
        <v>41291.869722222225</v>
      </c>
      <c r="C1091">
        <v>80</v>
      </c>
      <c r="D1091">
        <v>73.611480713000006</v>
      </c>
      <c r="E1091">
        <v>40</v>
      </c>
      <c r="F1091">
        <v>39.955371857000003</v>
      </c>
      <c r="G1091">
        <v>1329.3902588000001</v>
      </c>
      <c r="H1091">
        <v>1328.5914307</v>
      </c>
      <c r="I1091">
        <v>1333.8509521000001</v>
      </c>
      <c r="J1091">
        <v>1332.5009766000001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995.92297499999995</v>
      </c>
      <c r="B1092" s="1">
        <f>DATE(2013,1,20) + TIME(22,9,5)</f>
        <v>41294.922974537039</v>
      </c>
      <c r="C1092">
        <v>80</v>
      </c>
      <c r="D1092">
        <v>73.308494568</v>
      </c>
      <c r="E1092">
        <v>40</v>
      </c>
      <c r="F1092">
        <v>39.955295563</v>
      </c>
      <c r="G1092">
        <v>1329.355957</v>
      </c>
      <c r="H1092">
        <v>1328.5458983999999</v>
      </c>
      <c r="I1092">
        <v>1333.8507079999999</v>
      </c>
      <c r="J1092">
        <v>1332.5002440999999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999.06501700000001</v>
      </c>
      <c r="B1093" s="1">
        <f>DATE(2013,1,24) + TIME(1,33,37)</f>
        <v>41298.065011574072</v>
      </c>
      <c r="C1093">
        <v>80</v>
      </c>
      <c r="D1093">
        <v>72.995414733999993</v>
      </c>
      <c r="E1093">
        <v>40</v>
      </c>
      <c r="F1093">
        <v>39.955219268999997</v>
      </c>
      <c r="G1093">
        <v>1329.3220214999999</v>
      </c>
      <c r="H1093">
        <v>1328.5008545000001</v>
      </c>
      <c r="I1093">
        <v>1333.8503418</v>
      </c>
      <c r="J1093">
        <v>1332.4996338000001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1002.320115</v>
      </c>
      <c r="B1094" s="1">
        <f>DATE(2013,1,27) + TIME(7,40,57)</f>
        <v>41301.320104166669</v>
      </c>
      <c r="C1094">
        <v>80</v>
      </c>
      <c r="D1094">
        <v>72.670631408999995</v>
      </c>
      <c r="E1094">
        <v>40</v>
      </c>
      <c r="F1094">
        <v>39.955146790000001</v>
      </c>
      <c r="G1094">
        <v>1329.2882079999999</v>
      </c>
      <c r="H1094">
        <v>1328.4559326000001</v>
      </c>
      <c r="I1094">
        <v>1333.8499756000001</v>
      </c>
      <c r="J1094">
        <v>1332.4990233999999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1005.716124</v>
      </c>
      <c r="B1095" s="1">
        <f>DATE(2013,1,30) + TIME(17,11,13)</f>
        <v>41304.716122685182</v>
      </c>
      <c r="C1095">
        <v>80</v>
      </c>
      <c r="D1095">
        <v>72.332046508999994</v>
      </c>
      <c r="E1095">
        <v>40</v>
      </c>
      <c r="F1095">
        <v>39.955074310000001</v>
      </c>
      <c r="G1095">
        <v>1329.2543945</v>
      </c>
      <c r="H1095">
        <v>1328.4111327999999</v>
      </c>
      <c r="I1095">
        <v>1333.8496094</v>
      </c>
      <c r="J1095">
        <v>1332.4985352000001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1007</v>
      </c>
      <c r="B1096" s="1">
        <f>DATE(2013,2,1) + TIME(0,0,0)</f>
        <v>41306</v>
      </c>
      <c r="C1096">
        <v>80</v>
      </c>
      <c r="D1096">
        <v>72.130294800000001</v>
      </c>
      <c r="E1096">
        <v>40</v>
      </c>
      <c r="F1096">
        <v>39.955051421999997</v>
      </c>
      <c r="G1096">
        <v>1329.2207031</v>
      </c>
      <c r="H1096">
        <v>1328.3681641000001</v>
      </c>
      <c r="I1096">
        <v>1333.8492432</v>
      </c>
      <c r="J1096">
        <v>1332.4979248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1010.497129</v>
      </c>
      <c r="B1097" s="1">
        <f>DATE(2013,2,4) + TIME(11,55,51)</f>
        <v>41309.497118055559</v>
      </c>
      <c r="C1097">
        <v>80</v>
      </c>
      <c r="D1097">
        <v>71.816284179999997</v>
      </c>
      <c r="E1097">
        <v>40</v>
      </c>
      <c r="F1097">
        <v>39.954978943</v>
      </c>
      <c r="G1097">
        <v>1329.2039795000001</v>
      </c>
      <c r="H1097">
        <v>1328.3424072</v>
      </c>
      <c r="I1097">
        <v>1333.8491211</v>
      </c>
      <c r="J1097">
        <v>1332.4978027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1014.116721</v>
      </c>
      <c r="B1098" s="1">
        <f>DATE(2013,2,8) + TIME(2,48,4)</f>
        <v>41313.116712962961</v>
      </c>
      <c r="C1098">
        <v>80</v>
      </c>
      <c r="D1098">
        <v>71.467048645000006</v>
      </c>
      <c r="E1098">
        <v>40</v>
      </c>
      <c r="F1098">
        <v>39.954906463999997</v>
      </c>
      <c r="G1098">
        <v>1329.1721190999999</v>
      </c>
      <c r="H1098">
        <v>1328.3015137</v>
      </c>
      <c r="I1098">
        <v>1333.8486327999999</v>
      </c>
      <c r="J1098">
        <v>1332.4974365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1017.862112</v>
      </c>
      <c r="B1099" s="1">
        <f>DATE(2013,2,11) + TIME(20,41,26)</f>
        <v>41316.86210648148</v>
      </c>
      <c r="C1099">
        <v>80</v>
      </c>
      <c r="D1099">
        <v>71.094764709000003</v>
      </c>
      <c r="E1099">
        <v>40</v>
      </c>
      <c r="F1099">
        <v>39.954830170000001</v>
      </c>
      <c r="G1099">
        <v>1329.1392822</v>
      </c>
      <c r="H1099">
        <v>1328.2585449000001</v>
      </c>
      <c r="I1099">
        <v>1333.8482666</v>
      </c>
      <c r="J1099">
        <v>1332.4970702999999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1021.657122</v>
      </c>
      <c r="B1100" s="1">
        <f>DATE(2013,2,15) + TIME(15,46,15)</f>
        <v>41320.657118055555</v>
      </c>
      <c r="C1100">
        <v>80</v>
      </c>
      <c r="D1100">
        <v>70.708045959000003</v>
      </c>
      <c r="E1100">
        <v>40</v>
      </c>
      <c r="F1100">
        <v>39.954753875999998</v>
      </c>
      <c r="G1100">
        <v>1329.105957</v>
      </c>
      <c r="H1100">
        <v>1328.2147216999999</v>
      </c>
      <c r="I1100">
        <v>1333.8477783000001</v>
      </c>
      <c r="J1100">
        <v>1332.4968262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1025.5090339999999</v>
      </c>
      <c r="B1101" s="1">
        <f>DATE(2013,2,19) + TIME(12,13,0)</f>
        <v>41324.509027777778</v>
      </c>
      <c r="C1101">
        <v>80</v>
      </c>
      <c r="D1101">
        <v>70.311973571999999</v>
      </c>
      <c r="E1101">
        <v>40</v>
      </c>
      <c r="F1101">
        <v>39.954677582000002</v>
      </c>
      <c r="G1101">
        <v>1329.0727539</v>
      </c>
      <c r="H1101">
        <v>1328.1708983999999</v>
      </c>
      <c r="I1101">
        <v>1333.847168</v>
      </c>
      <c r="J1101">
        <v>1332.4964600000001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1029.4468979999999</v>
      </c>
      <c r="B1102" s="1">
        <f>DATE(2013,2,23) + TIME(10,43,31)</f>
        <v>41328.446886574071</v>
      </c>
      <c r="C1102">
        <v>80</v>
      </c>
      <c r="D1102">
        <v>69.907371521000002</v>
      </c>
      <c r="E1102">
        <v>40</v>
      </c>
      <c r="F1102">
        <v>39.954601287999999</v>
      </c>
      <c r="G1102">
        <v>1329.0401611</v>
      </c>
      <c r="H1102">
        <v>1328.1278076000001</v>
      </c>
      <c r="I1102">
        <v>1333.8466797000001</v>
      </c>
      <c r="J1102">
        <v>1332.4962158000001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1033.5020030000001</v>
      </c>
      <c r="B1103" s="1">
        <f>DATE(2013,2,27) + TIME(12,2,53)</f>
        <v>41332.502002314817</v>
      </c>
      <c r="C1103">
        <v>80</v>
      </c>
      <c r="D1103">
        <v>69.492721558</v>
      </c>
      <c r="E1103">
        <v>40</v>
      </c>
      <c r="F1103">
        <v>39.954521178999997</v>
      </c>
      <c r="G1103">
        <v>1329.0078125</v>
      </c>
      <c r="H1103">
        <v>1328.0850829999999</v>
      </c>
      <c r="I1103">
        <v>1333.8460693</v>
      </c>
      <c r="J1103">
        <v>1332.4960937999999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1035</v>
      </c>
      <c r="B1104" s="1">
        <f>DATE(2013,3,1) + TIME(0,0,0)</f>
        <v>41334</v>
      </c>
      <c r="C1104">
        <v>80</v>
      </c>
      <c r="D1104">
        <v>69.238243103000002</v>
      </c>
      <c r="E1104">
        <v>40</v>
      </c>
      <c r="F1104">
        <v>39.954490661999998</v>
      </c>
      <c r="G1104">
        <v>1328.9759521000001</v>
      </c>
      <c r="H1104">
        <v>1328.0447998</v>
      </c>
      <c r="I1104">
        <v>1333.8453368999999</v>
      </c>
      <c r="J1104">
        <v>1332.4958495999999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1039.2073250000001</v>
      </c>
      <c r="B1105" s="1">
        <f>DATE(2013,3,5) + TIME(4,58,32)</f>
        <v>41338.207314814812</v>
      </c>
      <c r="C1105">
        <v>80</v>
      </c>
      <c r="D1105">
        <v>68.871925353999998</v>
      </c>
      <c r="E1105">
        <v>40</v>
      </c>
      <c r="F1105">
        <v>39.954410553000002</v>
      </c>
      <c r="G1105">
        <v>1328.9605713000001</v>
      </c>
      <c r="H1105">
        <v>1328.0202637</v>
      </c>
      <c r="I1105">
        <v>1333.8452147999999</v>
      </c>
      <c r="J1105">
        <v>1332.4958495999999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1043.6728049999999</v>
      </c>
      <c r="B1106" s="1">
        <f>DATE(2013,3,9) + TIME(16,8,50)</f>
        <v>41342.672800925924</v>
      </c>
      <c r="C1106">
        <v>80</v>
      </c>
      <c r="D1106">
        <v>68.450355529999996</v>
      </c>
      <c r="E1106">
        <v>40</v>
      </c>
      <c r="F1106">
        <v>39.954326629999997</v>
      </c>
      <c r="G1106">
        <v>1328.9311522999999</v>
      </c>
      <c r="H1106">
        <v>1327.9827881000001</v>
      </c>
      <c r="I1106">
        <v>1333.8446045000001</v>
      </c>
      <c r="J1106">
        <v>1332.4957274999999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1048.250624</v>
      </c>
      <c r="B1107" s="1">
        <f>DATE(2013,3,14) + TIME(6,0,53)</f>
        <v>41347.250613425924</v>
      </c>
      <c r="C1107">
        <v>80</v>
      </c>
      <c r="D1107">
        <v>67.997489928999997</v>
      </c>
      <c r="E1107">
        <v>40</v>
      </c>
      <c r="F1107">
        <v>39.954238891999999</v>
      </c>
      <c r="G1107">
        <v>1328.8999022999999</v>
      </c>
      <c r="H1107">
        <v>1327.9423827999999</v>
      </c>
      <c r="I1107">
        <v>1333.84375</v>
      </c>
      <c r="J1107">
        <v>1332.4956055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1052.897354</v>
      </c>
      <c r="B1108" s="1">
        <f>DATE(2013,3,18) + TIME(21,32,11)</f>
        <v>41351.897349537037</v>
      </c>
      <c r="C1108">
        <v>80</v>
      </c>
      <c r="D1108">
        <v>67.528770446999999</v>
      </c>
      <c r="E1108">
        <v>40</v>
      </c>
      <c r="F1108">
        <v>39.954151154000002</v>
      </c>
      <c r="G1108">
        <v>1328.8684082</v>
      </c>
      <c r="H1108">
        <v>1327.9011230000001</v>
      </c>
      <c r="I1108">
        <v>1333.8430175999999</v>
      </c>
      <c r="J1108">
        <v>1332.4956055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1057.6415340000001</v>
      </c>
      <c r="B1109" s="1">
        <f>DATE(2013,3,23) + TIME(15,23,48)</f>
        <v>41356.641527777778</v>
      </c>
      <c r="C1109">
        <v>80</v>
      </c>
      <c r="D1109">
        <v>67.050262450999995</v>
      </c>
      <c r="E1109">
        <v>40</v>
      </c>
      <c r="F1109">
        <v>39.954063415999997</v>
      </c>
      <c r="G1109">
        <v>1328.8371582</v>
      </c>
      <c r="H1109">
        <v>1327.8598632999999</v>
      </c>
      <c r="I1109">
        <v>1333.8421631000001</v>
      </c>
      <c r="J1109">
        <v>1332.4956055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1062.5156549999999</v>
      </c>
      <c r="B1110" s="1">
        <f>DATE(2013,3,28) + TIME(12,22,32)</f>
        <v>41361.515648148146</v>
      </c>
      <c r="C1110">
        <v>80</v>
      </c>
      <c r="D1110">
        <v>66.562316894999995</v>
      </c>
      <c r="E1110">
        <v>40</v>
      </c>
      <c r="F1110">
        <v>39.953975677000003</v>
      </c>
      <c r="G1110">
        <v>1328.8063964999999</v>
      </c>
      <c r="H1110">
        <v>1327.8193358999999</v>
      </c>
      <c r="I1110">
        <v>1333.8413086</v>
      </c>
      <c r="J1110">
        <v>1332.4956055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1066</v>
      </c>
      <c r="B1111" s="1">
        <f>DATE(2013,4,1) + TIME(0,0,0)</f>
        <v>41365</v>
      </c>
      <c r="C1111">
        <v>80</v>
      </c>
      <c r="D1111">
        <v>66.126953125</v>
      </c>
      <c r="E1111">
        <v>40</v>
      </c>
      <c r="F1111">
        <v>39.953907012999998</v>
      </c>
      <c r="G1111">
        <v>1328.776001</v>
      </c>
      <c r="H1111">
        <v>1327.7799072</v>
      </c>
      <c r="I1111">
        <v>1333.8404541</v>
      </c>
      <c r="J1111">
        <v>1332.4954834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1071.0412799999999</v>
      </c>
      <c r="B1112" s="1">
        <f>DATE(2013,4,6) + TIME(0,59,26)</f>
        <v>41370.041273148148</v>
      </c>
      <c r="C1112">
        <v>80</v>
      </c>
      <c r="D1112">
        <v>65.682197571000003</v>
      </c>
      <c r="E1112">
        <v>40</v>
      </c>
      <c r="F1112">
        <v>39.95382309</v>
      </c>
      <c r="G1112">
        <v>1328.7526855000001</v>
      </c>
      <c r="H1112">
        <v>1327.7467041</v>
      </c>
      <c r="I1112">
        <v>1333.8398437999999</v>
      </c>
      <c r="J1112">
        <v>1332.4956055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1076.445424</v>
      </c>
      <c r="B1113" s="1">
        <f>DATE(2013,4,11) + TIME(10,41,24)</f>
        <v>41375.445416666669</v>
      </c>
      <c r="C1113">
        <v>80</v>
      </c>
      <c r="D1113">
        <v>65.183334350999999</v>
      </c>
      <c r="E1113">
        <v>40</v>
      </c>
      <c r="F1113">
        <v>39.953731537000003</v>
      </c>
      <c r="G1113">
        <v>1328.7249756000001</v>
      </c>
      <c r="H1113">
        <v>1327.7110596</v>
      </c>
      <c r="I1113">
        <v>1333.8387451000001</v>
      </c>
      <c r="J1113">
        <v>1332.4956055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1081.95913</v>
      </c>
      <c r="B1114" s="1">
        <f>DATE(2013,4,16) + TIME(23,1,8)</f>
        <v>41380.959120370368</v>
      </c>
      <c r="C1114">
        <v>80</v>
      </c>
      <c r="D1114">
        <v>64.652984618999994</v>
      </c>
      <c r="E1114">
        <v>40</v>
      </c>
      <c r="F1114">
        <v>39.953636168999999</v>
      </c>
      <c r="G1114">
        <v>1328.6959228999999</v>
      </c>
      <c r="H1114">
        <v>1327.6734618999999</v>
      </c>
      <c r="I1114">
        <v>1333.8377685999999</v>
      </c>
      <c r="J1114">
        <v>1332.4957274999999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1087.599725</v>
      </c>
      <c r="B1115" s="1">
        <f>DATE(2013,4,22) + TIME(14,23,36)</f>
        <v>41386.599722222221</v>
      </c>
      <c r="C1115">
        <v>80</v>
      </c>
      <c r="D1115">
        <v>64.108116150000001</v>
      </c>
      <c r="E1115">
        <v>40</v>
      </c>
      <c r="F1115">
        <v>39.953544616999999</v>
      </c>
      <c r="G1115">
        <v>1328.6669922000001</v>
      </c>
      <c r="H1115">
        <v>1327.6352539</v>
      </c>
      <c r="I1115">
        <v>1333.8365478999999</v>
      </c>
      <c r="J1115">
        <v>1332.4957274999999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1093.4064149999999</v>
      </c>
      <c r="B1116" s="1">
        <f>DATE(2013,4,28) + TIME(9,45,14)</f>
        <v>41392.406412037039</v>
      </c>
      <c r="C1116">
        <v>80</v>
      </c>
      <c r="D1116">
        <v>63.552463531000001</v>
      </c>
      <c r="E1116">
        <v>40</v>
      </c>
      <c r="F1116">
        <v>39.953449249000002</v>
      </c>
      <c r="G1116">
        <v>1328.6384277</v>
      </c>
      <c r="H1116">
        <v>1327.5976562000001</v>
      </c>
      <c r="I1116">
        <v>1333.8354492000001</v>
      </c>
      <c r="J1116">
        <v>1332.4958495999999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1096</v>
      </c>
      <c r="B1117" s="1">
        <f>DATE(2013,5,1) + TIME(0,0,0)</f>
        <v>41395</v>
      </c>
      <c r="C1117">
        <v>80</v>
      </c>
      <c r="D1117">
        <v>63.141487122000001</v>
      </c>
      <c r="E1117">
        <v>40</v>
      </c>
      <c r="F1117">
        <v>39.953395843999999</v>
      </c>
      <c r="G1117">
        <v>1328.6099853999999</v>
      </c>
      <c r="H1117">
        <v>1327.5620117000001</v>
      </c>
      <c r="I1117">
        <v>1333.8341064000001</v>
      </c>
      <c r="J1117">
        <v>1332.4958495999999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1096.0000010000001</v>
      </c>
      <c r="B1118" s="1">
        <f>DATE(2013,5,1) + TIME(0,0,0)</f>
        <v>41395</v>
      </c>
      <c r="C1118">
        <v>80</v>
      </c>
      <c r="D1118">
        <v>63.141532898000001</v>
      </c>
      <c r="E1118">
        <v>40</v>
      </c>
      <c r="F1118">
        <v>39.953376769999998</v>
      </c>
      <c r="G1118">
        <v>1330.1395264</v>
      </c>
      <c r="H1118">
        <v>1328.8801269999999</v>
      </c>
      <c r="I1118">
        <v>1332.3188477000001</v>
      </c>
      <c r="J1118">
        <v>1331.5683594</v>
      </c>
      <c r="K1118">
        <v>550</v>
      </c>
      <c r="L1118">
        <v>0</v>
      </c>
      <c r="M1118">
        <v>0</v>
      </c>
      <c r="N1118">
        <v>550</v>
      </c>
    </row>
    <row r="1119" spans="1:14" x14ac:dyDescent="0.25">
      <c r="A1119">
        <v>1096.000004</v>
      </c>
      <c r="B1119" s="1">
        <f>DATE(2013,5,1) + TIME(0,0,0)</f>
        <v>41395</v>
      </c>
      <c r="C1119">
        <v>80</v>
      </c>
      <c r="D1119">
        <v>63.141616821</v>
      </c>
      <c r="E1119">
        <v>40</v>
      </c>
      <c r="F1119">
        <v>39.953330993999998</v>
      </c>
      <c r="G1119">
        <v>1330.5377197</v>
      </c>
      <c r="H1119">
        <v>1329.3569336</v>
      </c>
      <c r="I1119">
        <v>1331.9543457</v>
      </c>
      <c r="J1119">
        <v>1331.2038574000001</v>
      </c>
      <c r="K1119">
        <v>550</v>
      </c>
      <c r="L1119">
        <v>0</v>
      </c>
      <c r="M1119">
        <v>0</v>
      </c>
      <c r="N1119">
        <v>550</v>
      </c>
    </row>
    <row r="1120" spans="1:14" x14ac:dyDescent="0.25">
      <c r="A1120">
        <v>1096.0000130000001</v>
      </c>
      <c r="B1120" s="1">
        <f>DATE(2013,5,1) + TIME(0,0,1)</f>
        <v>41395.000011574077</v>
      </c>
      <c r="C1120">
        <v>80</v>
      </c>
      <c r="D1120">
        <v>63.141769408999998</v>
      </c>
      <c r="E1120">
        <v>40</v>
      </c>
      <c r="F1120">
        <v>39.953266143999997</v>
      </c>
      <c r="G1120">
        <v>1331.1387939000001</v>
      </c>
      <c r="H1120">
        <v>1329.9748535000001</v>
      </c>
      <c r="I1120">
        <v>1331.4113769999999</v>
      </c>
      <c r="J1120">
        <v>1330.6604004000001</v>
      </c>
      <c r="K1120">
        <v>550</v>
      </c>
      <c r="L1120">
        <v>0</v>
      </c>
      <c r="M1120">
        <v>0</v>
      </c>
      <c r="N1120">
        <v>550</v>
      </c>
    </row>
    <row r="1121" spans="1:14" x14ac:dyDescent="0.25">
      <c r="A1121">
        <v>1096.0000399999999</v>
      </c>
      <c r="B1121" s="1">
        <f>DATE(2013,5,1) + TIME(0,0,3)</f>
        <v>41395.000034722223</v>
      </c>
      <c r="C1121">
        <v>80</v>
      </c>
      <c r="D1121">
        <v>63.142066956000001</v>
      </c>
      <c r="E1121">
        <v>40</v>
      </c>
      <c r="F1121">
        <v>39.953193665000001</v>
      </c>
      <c r="G1121">
        <v>1331.831543</v>
      </c>
      <c r="H1121">
        <v>1330.6385498</v>
      </c>
      <c r="I1121">
        <v>1330.8037108999999</v>
      </c>
      <c r="J1121">
        <v>1330.0511475000001</v>
      </c>
      <c r="K1121">
        <v>550</v>
      </c>
      <c r="L1121">
        <v>0</v>
      </c>
      <c r="M1121">
        <v>0</v>
      </c>
      <c r="N1121">
        <v>550</v>
      </c>
    </row>
    <row r="1122" spans="1:14" x14ac:dyDescent="0.25">
      <c r="A1122">
        <v>1096.000121</v>
      </c>
      <c r="B1122" s="1">
        <f>DATE(2013,5,1) + TIME(0,0,10)</f>
        <v>41395.000115740739</v>
      </c>
      <c r="C1122">
        <v>80</v>
      </c>
      <c r="D1122">
        <v>63.142795563</v>
      </c>
      <c r="E1122">
        <v>40</v>
      </c>
      <c r="F1122">
        <v>39.953117370999998</v>
      </c>
      <c r="G1122">
        <v>1332.5284423999999</v>
      </c>
      <c r="H1122">
        <v>1331.3029785000001</v>
      </c>
      <c r="I1122">
        <v>1330.1947021000001</v>
      </c>
      <c r="J1122">
        <v>1329.4316406</v>
      </c>
      <c r="K1122">
        <v>550</v>
      </c>
      <c r="L1122">
        <v>0</v>
      </c>
      <c r="M1122">
        <v>0</v>
      </c>
      <c r="N1122">
        <v>550</v>
      </c>
    </row>
    <row r="1123" spans="1:14" x14ac:dyDescent="0.25">
      <c r="A1123">
        <v>1096.000364</v>
      </c>
      <c r="B1123" s="1">
        <f>DATE(2013,5,1) + TIME(0,0,31)</f>
        <v>41395.000358796293</v>
      </c>
      <c r="C1123">
        <v>80</v>
      </c>
      <c r="D1123">
        <v>63.144851684999999</v>
      </c>
      <c r="E1123">
        <v>40</v>
      </c>
      <c r="F1123">
        <v>39.953037262000002</v>
      </c>
      <c r="G1123">
        <v>1333.1787108999999</v>
      </c>
      <c r="H1123">
        <v>1331.9235839999999</v>
      </c>
      <c r="I1123">
        <v>1329.6153564000001</v>
      </c>
      <c r="J1123">
        <v>1328.8223877</v>
      </c>
      <c r="K1123">
        <v>550</v>
      </c>
      <c r="L1123">
        <v>0</v>
      </c>
      <c r="M1123">
        <v>0</v>
      </c>
      <c r="N1123">
        <v>550</v>
      </c>
    </row>
    <row r="1124" spans="1:14" x14ac:dyDescent="0.25">
      <c r="A1124">
        <v>1096.0010930000001</v>
      </c>
      <c r="B1124" s="1">
        <f>DATE(2013,5,1) + TIME(0,1,34)</f>
        <v>41395.001087962963</v>
      </c>
      <c r="C1124">
        <v>80</v>
      </c>
      <c r="D1124">
        <v>63.150936127000001</v>
      </c>
      <c r="E1124">
        <v>40</v>
      </c>
      <c r="F1124">
        <v>39.952949523999997</v>
      </c>
      <c r="G1124">
        <v>1333.6794434000001</v>
      </c>
      <c r="H1124">
        <v>1332.4014893000001</v>
      </c>
      <c r="I1124">
        <v>1329.1450195</v>
      </c>
      <c r="J1124">
        <v>1328.3116454999999</v>
      </c>
      <c r="K1124">
        <v>550</v>
      </c>
      <c r="L1124">
        <v>0</v>
      </c>
      <c r="M1124">
        <v>0</v>
      </c>
      <c r="N1124">
        <v>550</v>
      </c>
    </row>
    <row r="1125" spans="1:14" x14ac:dyDescent="0.25">
      <c r="A1125">
        <v>1096.0032799999999</v>
      </c>
      <c r="B1125" s="1">
        <f>DATE(2013,5,1) + TIME(0,4,43)</f>
        <v>41395.003275462965</v>
      </c>
      <c r="C1125">
        <v>80</v>
      </c>
      <c r="D1125">
        <v>63.169170379999997</v>
      </c>
      <c r="E1125">
        <v>40</v>
      </c>
      <c r="F1125">
        <v>39.952812195</v>
      </c>
      <c r="G1125">
        <v>1333.9688721</v>
      </c>
      <c r="H1125">
        <v>1332.6805420000001</v>
      </c>
      <c r="I1125">
        <v>1328.8426514</v>
      </c>
      <c r="J1125">
        <v>1327.9837646000001</v>
      </c>
      <c r="K1125">
        <v>550</v>
      </c>
      <c r="L1125">
        <v>0</v>
      </c>
      <c r="M1125">
        <v>0</v>
      </c>
      <c r="N1125">
        <v>550</v>
      </c>
    </row>
    <row r="1126" spans="1:14" x14ac:dyDescent="0.25">
      <c r="A1126">
        <v>1096.0098410000001</v>
      </c>
      <c r="B1126" s="1">
        <f>DATE(2013,5,1) + TIME(0,14,10)</f>
        <v>41395.009837962964</v>
      </c>
      <c r="C1126">
        <v>80</v>
      </c>
      <c r="D1126">
        <v>63.223735808999997</v>
      </c>
      <c r="E1126">
        <v>40</v>
      </c>
      <c r="F1126">
        <v>39.95249939</v>
      </c>
      <c r="G1126">
        <v>1334.0980225000001</v>
      </c>
      <c r="H1126">
        <v>1332.8074951000001</v>
      </c>
      <c r="I1126">
        <v>1328.6982422000001</v>
      </c>
      <c r="J1126">
        <v>1327.8305664</v>
      </c>
      <c r="K1126">
        <v>550</v>
      </c>
      <c r="L1126">
        <v>0</v>
      </c>
      <c r="M1126">
        <v>0</v>
      </c>
      <c r="N1126">
        <v>550</v>
      </c>
    </row>
    <row r="1127" spans="1:14" x14ac:dyDescent="0.25">
      <c r="A1127">
        <v>1096.029524</v>
      </c>
      <c r="B1127" s="1">
        <f>DATE(2013,5,1) + TIME(0,42,30)</f>
        <v>41395.029513888891</v>
      </c>
      <c r="C1127">
        <v>80</v>
      </c>
      <c r="D1127">
        <v>63.385864257999998</v>
      </c>
      <c r="E1127">
        <v>40</v>
      </c>
      <c r="F1127">
        <v>39.951602936</v>
      </c>
      <c r="G1127">
        <v>1334.1386719</v>
      </c>
      <c r="H1127">
        <v>1332.8502197</v>
      </c>
      <c r="I1127">
        <v>1328.6594238</v>
      </c>
      <c r="J1127">
        <v>1327.7899170000001</v>
      </c>
      <c r="K1127">
        <v>550</v>
      </c>
      <c r="L1127">
        <v>0</v>
      </c>
      <c r="M1127">
        <v>0</v>
      </c>
      <c r="N1127">
        <v>550</v>
      </c>
    </row>
    <row r="1128" spans="1:14" x14ac:dyDescent="0.25">
      <c r="A1128">
        <v>1096.088573</v>
      </c>
      <c r="B1128" s="1">
        <f>DATE(2013,5,1) + TIME(2,7,32)</f>
        <v>41395.088564814818</v>
      </c>
      <c r="C1128">
        <v>80</v>
      </c>
      <c r="D1128">
        <v>63.858486176</v>
      </c>
      <c r="E1128">
        <v>40</v>
      </c>
      <c r="F1128">
        <v>39.948963165000002</v>
      </c>
      <c r="G1128">
        <v>1334.1389160000001</v>
      </c>
      <c r="H1128">
        <v>1332.8580322</v>
      </c>
      <c r="I1128">
        <v>1328.6564940999999</v>
      </c>
      <c r="J1128">
        <v>1327.7866211</v>
      </c>
      <c r="K1128">
        <v>550</v>
      </c>
      <c r="L1128">
        <v>0</v>
      </c>
      <c r="M1128">
        <v>0</v>
      </c>
      <c r="N1128">
        <v>550</v>
      </c>
    </row>
    <row r="1129" spans="1:14" x14ac:dyDescent="0.25">
      <c r="A1129">
        <v>1096.170642</v>
      </c>
      <c r="B1129" s="1">
        <f>DATE(2013,5,1) + TIME(4,5,43)</f>
        <v>41395.170636574076</v>
      </c>
      <c r="C1129">
        <v>80</v>
      </c>
      <c r="D1129">
        <v>64.494636536000002</v>
      </c>
      <c r="E1129">
        <v>40</v>
      </c>
      <c r="F1129">
        <v>39.945331572999997</v>
      </c>
      <c r="G1129">
        <v>1334.1519774999999</v>
      </c>
      <c r="H1129">
        <v>1332.8710937999999</v>
      </c>
      <c r="I1129">
        <v>1328.6569824000001</v>
      </c>
      <c r="J1129">
        <v>1327.786499</v>
      </c>
      <c r="K1129">
        <v>550</v>
      </c>
      <c r="L1129">
        <v>0</v>
      </c>
      <c r="M1129">
        <v>0</v>
      </c>
      <c r="N1129">
        <v>550</v>
      </c>
    </row>
    <row r="1130" spans="1:14" x14ac:dyDescent="0.25">
      <c r="A1130">
        <v>1096.2544459999999</v>
      </c>
      <c r="B1130" s="1">
        <f>DATE(2013,5,1) + TIME(6,6,24)</f>
        <v>41395.254444444443</v>
      </c>
      <c r="C1130">
        <v>80</v>
      </c>
      <c r="D1130">
        <v>65.126434325999995</v>
      </c>
      <c r="E1130">
        <v>40</v>
      </c>
      <c r="F1130">
        <v>39.941650391000003</v>
      </c>
      <c r="G1130">
        <v>1334.1810303</v>
      </c>
      <c r="H1130">
        <v>1332.8931885</v>
      </c>
      <c r="I1130">
        <v>1328.6573486</v>
      </c>
      <c r="J1130">
        <v>1327.7862548999999</v>
      </c>
      <c r="K1130">
        <v>550</v>
      </c>
      <c r="L1130">
        <v>0</v>
      </c>
      <c r="M1130">
        <v>0</v>
      </c>
      <c r="N1130">
        <v>550</v>
      </c>
    </row>
    <row r="1131" spans="1:14" x14ac:dyDescent="0.25">
      <c r="A1131">
        <v>1096.340056</v>
      </c>
      <c r="B1131" s="1">
        <f>DATE(2013,5,1) + TIME(8,9,40)</f>
        <v>41395.340046296296</v>
      </c>
      <c r="C1131">
        <v>80</v>
      </c>
      <c r="D1131">
        <v>65.753562927000004</v>
      </c>
      <c r="E1131">
        <v>40</v>
      </c>
      <c r="F1131">
        <v>39.937915801999999</v>
      </c>
      <c r="G1131">
        <v>1334.2121582</v>
      </c>
      <c r="H1131">
        <v>1332.916626</v>
      </c>
      <c r="I1131">
        <v>1328.6578368999999</v>
      </c>
      <c r="J1131">
        <v>1327.7858887</v>
      </c>
      <c r="K1131">
        <v>550</v>
      </c>
      <c r="L1131">
        <v>0</v>
      </c>
      <c r="M1131">
        <v>0</v>
      </c>
      <c r="N1131">
        <v>550</v>
      </c>
    </row>
    <row r="1132" spans="1:14" x14ac:dyDescent="0.25">
      <c r="A1132">
        <v>1096.4275479999999</v>
      </c>
      <c r="B1132" s="1">
        <f>DATE(2013,5,1) + TIME(10,15,40)</f>
        <v>41395.427546296298</v>
      </c>
      <c r="C1132">
        <v>80</v>
      </c>
      <c r="D1132">
        <v>66.375434874999996</v>
      </c>
      <c r="E1132">
        <v>40</v>
      </c>
      <c r="F1132">
        <v>39.934123993</v>
      </c>
      <c r="G1132">
        <v>1334.2449951000001</v>
      </c>
      <c r="H1132">
        <v>1332.9410399999999</v>
      </c>
      <c r="I1132">
        <v>1328.6582031</v>
      </c>
      <c r="J1132">
        <v>1327.7855225000001</v>
      </c>
      <c r="K1132">
        <v>550</v>
      </c>
      <c r="L1132">
        <v>0</v>
      </c>
      <c r="M1132">
        <v>0</v>
      </c>
      <c r="N1132">
        <v>550</v>
      </c>
    </row>
    <row r="1133" spans="1:14" x14ac:dyDescent="0.25">
      <c r="A1133">
        <v>1096.5169900000001</v>
      </c>
      <c r="B1133" s="1">
        <f>DATE(2013,5,1) + TIME(12,24,27)</f>
        <v>41395.516979166663</v>
      </c>
      <c r="C1133">
        <v>80</v>
      </c>
      <c r="D1133">
        <v>66.991462708</v>
      </c>
      <c r="E1133">
        <v>40</v>
      </c>
      <c r="F1133">
        <v>39.930278778000002</v>
      </c>
      <c r="G1133">
        <v>1334.2796631000001</v>
      </c>
      <c r="H1133">
        <v>1332.9666748</v>
      </c>
      <c r="I1133">
        <v>1328.6585693</v>
      </c>
      <c r="J1133">
        <v>1327.7850341999999</v>
      </c>
      <c r="K1133">
        <v>550</v>
      </c>
      <c r="L1133">
        <v>0</v>
      </c>
      <c r="M1133">
        <v>0</v>
      </c>
      <c r="N1133">
        <v>550</v>
      </c>
    </row>
    <row r="1134" spans="1:14" x14ac:dyDescent="0.25">
      <c r="A1134">
        <v>1096.608467</v>
      </c>
      <c r="B1134" s="1">
        <f>DATE(2013,5,1) + TIME(14,36,11)</f>
        <v>41395.608460648145</v>
      </c>
      <c r="C1134">
        <v>80</v>
      </c>
      <c r="D1134">
        <v>67.601043700999995</v>
      </c>
      <c r="E1134">
        <v>40</v>
      </c>
      <c r="F1134">
        <v>39.926372528000002</v>
      </c>
      <c r="G1134">
        <v>1334.3160399999999</v>
      </c>
      <c r="H1134">
        <v>1332.9934082</v>
      </c>
      <c r="I1134">
        <v>1328.6590576000001</v>
      </c>
      <c r="J1134">
        <v>1327.7845459</v>
      </c>
      <c r="K1134">
        <v>550</v>
      </c>
      <c r="L1134">
        <v>0</v>
      </c>
      <c r="M1134">
        <v>0</v>
      </c>
      <c r="N1134">
        <v>550</v>
      </c>
    </row>
    <row r="1135" spans="1:14" x14ac:dyDescent="0.25">
      <c r="A1135">
        <v>1096.70208</v>
      </c>
      <c r="B1135" s="1">
        <f>DATE(2013,5,1) + TIME(16,50,59)</f>
        <v>41395.70207175926</v>
      </c>
      <c r="C1135">
        <v>80</v>
      </c>
      <c r="D1135">
        <v>68.203636169000006</v>
      </c>
      <c r="E1135">
        <v>40</v>
      </c>
      <c r="F1135">
        <v>39.922409058</v>
      </c>
      <c r="G1135">
        <v>1334.3540039</v>
      </c>
      <c r="H1135">
        <v>1333.0209961</v>
      </c>
      <c r="I1135">
        <v>1328.6594238</v>
      </c>
      <c r="J1135">
        <v>1327.7840576000001</v>
      </c>
      <c r="K1135">
        <v>550</v>
      </c>
      <c r="L1135">
        <v>0</v>
      </c>
      <c r="M1135">
        <v>0</v>
      </c>
      <c r="N1135">
        <v>550</v>
      </c>
    </row>
    <row r="1136" spans="1:14" x14ac:dyDescent="0.25">
      <c r="A1136">
        <v>1096.797926</v>
      </c>
      <c r="B1136" s="1">
        <f>DATE(2013,5,1) + TIME(19,9,0)</f>
        <v>41395.79791666667</v>
      </c>
      <c r="C1136">
        <v>80</v>
      </c>
      <c r="D1136">
        <v>68.798538207999997</v>
      </c>
      <c r="E1136">
        <v>40</v>
      </c>
      <c r="F1136">
        <v>39.918376922999997</v>
      </c>
      <c r="G1136">
        <v>1334.3934326000001</v>
      </c>
      <c r="H1136">
        <v>1333.0496826000001</v>
      </c>
      <c r="I1136">
        <v>1328.6599120999999</v>
      </c>
      <c r="J1136">
        <v>1327.7835693</v>
      </c>
      <c r="K1136">
        <v>550</v>
      </c>
      <c r="L1136">
        <v>0</v>
      </c>
      <c r="M1136">
        <v>0</v>
      </c>
      <c r="N1136">
        <v>550</v>
      </c>
    </row>
    <row r="1137" spans="1:14" x14ac:dyDescent="0.25">
      <c r="A1137">
        <v>1096.896107</v>
      </c>
      <c r="B1137" s="1">
        <f>DATE(2013,5,1) + TIME(21,30,23)</f>
        <v>41395.896099537036</v>
      </c>
      <c r="C1137">
        <v>80</v>
      </c>
      <c r="D1137">
        <v>69.385025024000001</v>
      </c>
      <c r="E1137">
        <v>40</v>
      </c>
      <c r="F1137">
        <v>39.914279938</v>
      </c>
      <c r="G1137">
        <v>1334.4343262</v>
      </c>
      <c r="H1137">
        <v>1333.0793457</v>
      </c>
      <c r="I1137">
        <v>1328.6602783000001</v>
      </c>
      <c r="J1137">
        <v>1327.7829589999999</v>
      </c>
      <c r="K1137">
        <v>550</v>
      </c>
      <c r="L1137">
        <v>0</v>
      </c>
      <c r="M1137">
        <v>0</v>
      </c>
      <c r="N1137">
        <v>550</v>
      </c>
    </row>
    <row r="1138" spans="1:14" x14ac:dyDescent="0.25">
      <c r="A1138">
        <v>1096.9967389999999</v>
      </c>
      <c r="B1138" s="1">
        <f>DATE(2013,5,1) + TIME(23,55,18)</f>
        <v>41395.996736111112</v>
      </c>
      <c r="C1138">
        <v>80</v>
      </c>
      <c r="D1138">
        <v>69.962333678999997</v>
      </c>
      <c r="E1138">
        <v>40</v>
      </c>
      <c r="F1138">
        <v>39.910114288000003</v>
      </c>
      <c r="G1138">
        <v>1334.4766846</v>
      </c>
      <c r="H1138">
        <v>1333.1097411999999</v>
      </c>
      <c r="I1138">
        <v>1328.6607666</v>
      </c>
      <c r="J1138">
        <v>1327.7824707</v>
      </c>
      <c r="K1138">
        <v>550</v>
      </c>
      <c r="L1138">
        <v>0</v>
      </c>
      <c r="M1138">
        <v>0</v>
      </c>
      <c r="N1138">
        <v>550</v>
      </c>
    </row>
    <row r="1139" spans="1:14" x14ac:dyDescent="0.25">
      <c r="A1139">
        <v>1097.099946</v>
      </c>
      <c r="B1139" s="1">
        <f>DATE(2013,5,2) + TIME(2,23,55)</f>
        <v>41396.099942129629</v>
      </c>
      <c r="C1139">
        <v>80</v>
      </c>
      <c r="D1139">
        <v>70.529304503999995</v>
      </c>
      <c r="E1139">
        <v>40</v>
      </c>
      <c r="F1139">
        <v>39.905876159999998</v>
      </c>
      <c r="G1139">
        <v>1334.5201416</v>
      </c>
      <c r="H1139">
        <v>1333.1409911999999</v>
      </c>
      <c r="I1139">
        <v>1328.6611327999999</v>
      </c>
      <c r="J1139">
        <v>1327.7817382999999</v>
      </c>
      <c r="K1139">
        <v>550</v>
      </c>
      <c r="L1139">
        <v>0</v>
      </c>
      <c r="M1139">
        <v>0</v>
      </c>
      <c r="N1139">
        <v>550</v>
      </c>
    </row>
    <row r="1140" spans="1:14" x14ac:dyDescent="0.25">
      <c r="A1140">
        <v>1097.205864</v>
      </c>
      <c r="B1140" s="1">
        <f>DATE(2013,5,2) + TIME(4,56,26)</f>
        <v>41396.20585648148</v>
      </c>
      <c r="C1140">
        <v>80</v>
      </c>
      <c r="D1140">
        <v>71.085464478000006</v>
      </c>
      <c r="E1140">
        <v>40</v>
      </c>
      <c r="F1140">
        <v>39.901561737000002</v>
      </c>
      <c r="G1140">
        <v>1334.5649414</v>
      </c>
      <c r="H1140">
        <v>1333.1729736</v>
      </c>
      <c r="I1140">
        <v>1328.6616211</v>
      </c>
      <c r="J1140">
        <v>1327.7811279</v>
      </c>
      <c r="K1140">
        <v>550</v>
      </c>
      <c r="L1140">
        <v>0</v>
      </c>
      <c r="M1140">
        <v>0</v>
      </c>
      <c r="N1140">
        <v>550</v>
      </c>
    </row>
    <row r="1141" spans="1:14" x14ac:dyDescent="0.25">
      <c r="A1141">
        <v>1097.314642</v>
      </c>
      <c r="B1141" s="1">
        <f>DATE(2013,5,2) + TIME(7,33,5)</f>
        <v>41396.314641203702</v>
      </c>
      <c r="C1141">
        <v>80</v>
      </c>
      <c r="D1141">
        <v>71.630020142000006</v>
      </c>
      <c r="E1141">
        <v>40</v>
      </c>
      <c r="F1141">
        <v>39.897167205999999</v>
      </c>
      <c r="G1141">
        <v>1334.6107178</v>
      </c>
      <c r="H1141">
        <v>1333.2055664</v>
      </c>
      <c r="I1141">
        <v>1328.6619873</v>
      </c>
      <c r="J1141">
        <v>1327.7805175999999</v>
      </c>
      <c r="K1141">
        <v>550</v>
      </c>
      <c r="L1141">
        <v>0</v>
      </c>
      <c r="M1141">
        <v>0</v>
      </c>
      <c r="N1141">
        <v>550</v>
      </c>
    </row>
    <row r="1142" spans="1:14" x14ac:dyDescent="0.25">
      <c r="A1142">
        <v>1097.4264459999999</v>
      </c>
      <c r="B1142" s="1">
        <f>DATE(2013,5,2) + TIME(10,14,4)</f>
        <v>41396.426435185182</v>
      </c>
      <c r="C1142">
        <v>80</v>
      </c>
      <c r="D1142">
        <v>72.162155150999993</v>
      </c>
      <c r="E1142">
        <v>40</v>
      </c>
      <c r="F1142">
        <v>39.892688751000001</v>
      </c>
      <c r="G1142">
        <v>1334.6574707</v>
      </c>
      <c r="H1142">
        <v>1333.2388916</v>
      </c>
      <c r="I1142">
        <v>1328.6623535000001</v>
      </c>
      <c r="J1142">
        <v>1327.7797852000001</v>
      </c>
      <c r="K1142">
        <v>550</v>
      </c>
      <c r="L1142">
        <v>0</v>
      </c>
      <c r="M1142">
        <v>0</v>
      </c>
      <c r="N1142">
        <v>550</v>
      </c>
    </row>
    <row r="1143" spans="1:14" x14ac:dyDescent="0.25">
      <c r="A1143">
        <v>1097.541471</v>
      </c>
      <c r="B1143" s="1">
        <f>DATE(2013,5,2) + TIME(12,59,43)</f>
        <v>41396.54146990741</v>
      </c>
      <c r="C1143">
        <v>80</v>
      </c>
      <c r="D1143">
        <v>72.681091308999996</v>
      </c>
      <c r="E1143">
        <v>40</v>
      </c>
      <c r="F1143">
        <v>39.888118744000003</v>
      </c>
      <c r="G1143">
        <v>1334.7052002</v>
      </c>
      <c r="H1143">
        <v>1333.2727050999999</v>
      </c>
      <c r="I1143">
        <v>1328.6628418</v>
      </c>
      <c r="J1143">
        <v>1327.7790527</v>
      </c>
      <c r="K1143">
        <v>550</v>
      </c>
      <c r="L1143">
        <v>0</v>
      </c>
      <c r="M1143">
        <v>0</v>
      </c>
      <c r="N1143">
        <v>550</v>
      </c>
    </row>
    <row r="1144" spans="1:14" x14ac:dyDescent="0.25">
      <c r="A1144">
        <v>1097.6599409999999</v>
      </c>
      <c r="B1144" s="1">
        <f>DATE(2013,5,2) + TIME(15,50,18)</f>
        <v>41396.659930555557</v>
      </c>
      <c r="C1144">
        <v>80</v>
      </c>
      <c r="D1144">
        <v>73.186088561999995</v>
      </c>
      <c r="E1144">
        <v>40</v>
      </c>
      <c r="F1144">
        <v>39.883457184000001</v>
      </c>
      <c r="G1144">
        <v>1334.7536620999999</v>
      </c>
      <c r="H1144">
        <v>1333.3070068</v>
      </c>
      <c r="I1144">
        <v>1328.6632079999999</v>
      </c>
      <c r="J1144">
        <v>1327.7781981999999</v>
      </c>
      <c r="K1144">
        <v>550</v>
      </c>
      <c r="L1144">
        <v>0</v>
      </c>
      <c r="M1144">
        <v>0</v>
      </c>
      <c r="N1144">
        <v>550</v>
      </c>
    </row>
    <row r="1145" spans="1:14" x14ac:dyDescent="0.25">
      <c r="A1145">
        <v>1097.7820380000001</v>
      </c>
      <c r="B1145" s="1">
        <f>DATE(2013,5,2) + TIME(18,46,8)</f>
        <v>41396.782037037039</v>
      </c>
      <c r="C1145">
        <v>80</v>
      </c>
      <c r="D1145">
        <v>73.676162719999994</v>
      </c>
      <c r="E1145">
        <v>40</v>
      </c>
      <c r="F1145">
        <v>39.878692627</v>
      </c>
      <c r="G1145">
        <v>1334.8028564000001</v>
      </c>
      <c r="H1145">
        <v>1333.3417969</v>
      </c>
      <c r="I1145">
        <v>1328.6636963000001</v>
      </c>
      <c r="J1145">
        <v>1327.7774658000001</v>
      </c>
      <c r="K1145">
        <v>550</v>
      </c>
      <c r="L1145">
        <v>0</v>
      </c>
      <c r="M1145">
        <v>0</v>
      </c>
      <c r="N1145">
        <v>550</v>
      </c>
    </row>
    <row r="1146" spans="1:14" x14ac:dyDescent="0.25">
      <c r="A1146">
        <v>1097.9080019999999</v>
      </c>
      <c r="B1146" s="1">
        <f>DATE(2013,5,2) + TIME(21,47,31)</f>
        <v>41396.907997685186</v>
      </c>
      <c r="C1146">
        <v>80</v>
      </c>
      <c r="D1146">
        <v>74.150489807</v>
      </c>
      <c r="E1146">
        <v>40</v>
      </c>
      <c r="F1146">
        <v>39.873821259000003</v>
      </c>
      <c r="G1146">
        <v>1334.8525391000001</v>
      </c>
      <c r="H1146">
        <v>1333.3768310999999</v>
      </c>
      <c r="I1146">
        <v>1328.6640625</v>
      </c>
      <c r="J1146">
        <v>1327.7766113</v>
      </c>
      <c r="K1146">
        <v>550</v>
      </c>
      <c r="L1146">
        <v>0</v>
      </c>
      <c r="M1146">
        <v>0</v>
      </c>
      <c r="N1146">
        <v>550</v>
      </c>
    </row>
    <row r="1147" spans="1:14" x14ac:dyDescent="0.25">
      <c r="A1147">
        <v>1098.0381010000001</v>
      </c>
      <c r="B1147" s="1">
        <f>DATE(2013,5,3) + TIME(0,54,51)</f>
        <v>41397.038090277776</v>
      </c>
      <c r="C1147">
        <v>80</v>
      </c>
      <c r="D1147">
        <v>74.608299255000006</v>
      </c>
      <c r="E1147">
        <v>40</v>
      </c>
      <c r="F1147">
        <v>39.868839264000002</v>
      </c>
      <c r="G1147">
        <v>1334.902832</v>
      </c>
      <c r="H1147">
        <v>1333.4122314000001</v>
      </c>
      <c r="I1147">
        <v>1328.6644286999999</v>
      </c>
      <c r="J1147">
        <v>1327.7757568</v>
      </c>
      <c r="K1147">
        <v>550</v>
      </c>
      <c r="L1147">
        <v>0</v>
      </c>
      <c r="M1147">
        <v>0</v>
      </c>
      <c r="N1147">
        <v>550</v>
      </c>
    </row>
    <row r="1148" spans="1:14" x14ac:dyDescent="0.25">
      <c r="A1148">
        <v>1098.172632</v>
      </c>
      <c r="B1148" s="1">
        <f>DATE(2013,5,3) + TIME(4,8,35)</f>
        <v>41397.172627314816</v>
      </c>
      <c r="C1148">
        <v>80</v>
      </c>
      <c r="D1148">
        <v>75.048820496000005</v>
      </c>
      <c r="E1148">
        <v>40</v>
      </c>
      <c r="F1148">
        <v>39.863735198999997</v>
      </c>
      <c r="G1148">
        <v>1334.9534911999999</v>
      </c>
      <c r="H1148">
        <v>1333.447876</v>
      </c>
      <c r="I1148">
        <v>1328.6649170000001</v>
      </c>
      <c r="J1148">
        <v>1327.7749022999999</v>
      </c>
      <c r="K1148">
        <v>550</v>
      </c>
      <c r="L1148">
        <v>0</v>
      </c>
      <c r="M1148">
        <v>0</v>
      </c>
      <c r="N1148">
        <v>550</v>
      </c>
    </row>
    <row r="1149" spans="1:14" x14ac:dyDescent="0.25">
      <c r="A1149">
        <v>1098.311929</v>
      </c>
      <c r="B1149" s="1">
        <f>DATE(2013,5,3) + TIME(7,29,10)</f>
        <v>41397.311921296299</v>
      </c>
      <c r="C1149">
        <v>80</v>
      </c>
      <c r="D1149">
        <v>75.471092224000003</v>
      </c>
      <c r="E1149">
        <v>40</v>
      </c>
      <c r="F1149">
        <v>39.858505248999997</v>
      </c>
      <c r="G1149">
        <v>1335.0045166</v>
      </c>
      <c r="H1149">
        <v>1333.4836425999999</v>
      </c>
      <c r="I1149">
        <v>1328.6652832</v>
      </c>
      <c r="J1149">
        <v>1327.7739257999999</v>
      </c>
      <c r="K1149">
        <v>550</v>
      </c>
      <c r="L1149">
        <v>0</v>
      </c>
      <c r="M1149">
        <v>0</v>
      </c>
      <c r="N1149">
        <v>550</v>
      </c>
    </row>
    <row r="1150" spans="1:14" x14ac:dyDescent="0.25">
      <c r="A1150">
        <v>1098.4563639999999</v>
      </c>
      <c r="B1150" s="1">
        <f>DATE(2013,5,3) + TIME(10,57,9)</f>
        <v>41397.456354166665</v>
      </c>
      <c r="C1150">
        <v>80</v>
      </c>
      <c r="D1150">
        <v>75.874771117999998</v>
      </c>
      <c r="E1150">
        <v>40</v>
      </c>
      <c r="F1150">
        <v>39.853134154999999</v>
      </c>
      <c r="G1150">
        <v>1335.0556641000001</v>
      </c>
      <c r="H1150">
        <v>1333.5195312000001</v>
      </c>
      <c r="I1150">
        <v>1328.6656493999999</v>
      </c>
      <c r="J1150">
        <v>1327.7729492000001</v>
      </c>
      <c r="K1150">
        <v>550</v>
      </c>
      <c r="L1150">
        <v>0</v>
      </c>
      <c r="M1150">
        <v>0</v>
      </c>
      <c r="N1150">
        <v>550</v>
      </c>
    </row>
    <row r="1151" spans="1:14" x14ac:dyDescent="0.25">
      <c r="A1151">
        <v>1098.60636</v>
      </c>
      <c r="B1151" s="1">
        <f>DATE(2013,5,3) + TIME(14,33,9)</f>
        <v>41397.606354166666</v>
      </c>
      <c r="C1151">
        <v>80</v>
      </c>
      <c r="D1151">
        <v>76.259277343999997</v>
      </c>
      <c r="E1151">
        <v>40</v>
      </c>
      <c r="F1151">
        <v>39.847618103000002</v>
      </c>
      <c r="G1151">
        <v>1335.1069336</v>
      </c>
      <c r="H1151">
        <v>1333.5552978999999</v>
      </c>
      <c r="I1151">
        <v>1328.6660156</v>
      </c>
      <c r="J1151">
        <v>1327.7719727000001</v>
      </c>
      <c r="K1151">
        <v>550</v>
      </c>
      <c r="L1151">
        <v>0</v>
      </c>
      <c r="M1151">
        <v>0</v>
      </c>
      <c r="N1151">
        <v>550</v>
      </c>
    </row>
    <row r="1152" spans="1:14" x14ac:dyDescent="0.25">
      <c r="A1152">
        <v>1098.762395</v>
      </c>
      <c r="B1152" s="1">
        <f>DATE(2013,5,3) + TIME(18,17,50)</f>
        <v>41397.762384259258</v>
      </c>
      <c r="C1152">
        <v>80</v>
      </c>
      <c r="D1152">
        <v>76.624122619999994</v>
      </c>
      <c r="E1152">
        <v>40</v>
      </c>
      <c r="F1152">
        <v>39.841938018999997</v>
      </c>
      <c r="G1152">
        <v>1335.1582031</v>
      </c>
      <c r="H1152">
        <v>1333.5911865</v>
      </c>
      <c r="I1152">
        <v>1328.6663818</v>
      </c>
      <c r="J1152">
        <v>1327.7709961</v>
      </c>
      <c r="K1152">
        <v>550</v>
      </c>
      <c r="L1152">
        <v>0</v>
      </c>
      <c r="M1152">
        <v>0</v>
      </c>
      <c r="N1152">
        <v>550</v>
      </c>
    </row>
    <row r="1153" spans="1:14" x14ac:dyDescent="0.25">
      <c r="A1153">
        <v>1098.925013</v>
      </c>
      <c r="B1153" s="1">
        <f>DATE(2013,5,3) + TIME(22,12,1)</f>
        <v>41397.925011574072</v>
      </c>
      <c r="C1153">
        <v>80</v>
      </c>
      <c r="D1153">
        <v>76.968902588000006</v>
      </c>
      <c r="E1153">
        <v>40</v>
      </c>
      <c r="F1153">
        <v>39.836086272999999</v>
      </c>
      <c r="G1153">
        <v>1335.2093506000001</v>
      </c>
      <c r="H1153">
        <v>1333.6268310999999</v>
      </c>
      <c r="I1153">
        <v>1328.6667480000001</v>
      </c>
      <c r="J1153">
        <v>1327.7698975000001</v>
      </c>
      <c r="K1153">
        <v>550</v>
      </c>
      <c r="L1153">
        <v>0</v>
      </c>
      <c r="M1153">
        <v>0</v>
      </c>
      <c r="N1153">
        <v>550</v>
      </c>
    </row>
    <row r="1154" spans="1:14" x14ac:dyDescent="0.25">
      <c r="A1154">
        <v>1099.0949539999999</v>
      </c>
      <c r="B1154" s="1">
        <f>DATE(2013,5,4) + TIME(2,16,43)</f>
        <v>41398.094942129632</v>
      </c>
      <c r="C1154">
        <v>80</v>
      </c>
      <c r="D1154">
        <v>77.293479919000006</v>
      </c>
      <c r="E1154">
        <v>40</v>
      </c>
      <c r="F1154">
        <v>39.830043793000002</v>
      </c>
      <c r="G1154">
        <v>1335.2602539</v>
      </c>
      <c r="H1154">
        <v>1333.6623535000001</v>
      </c>
      <c r="I1154">
        <v>1328.6669922000001</v>
      </c>
      <c r="J1154">
        <v>1327.7687988</v>
      </c>
      <c r="K1154">
        <v>550</v>
      </c>
      <c r="L1154">
        <v>0</v>
      </c>
      <c r="M1154">
        <v>0</v>
      </c>
      <c r="N1154">
        <v>550</v>
      </c>
    </row>
    <row r="1155" spans="1:14" x14ac:dyDescent="0.25">
      <c r="A1155">
        <v>1099.2728520000001</v>
      </c>
      <c r="B1155" s="1">
        <f>DATE(2013,5,4) + TIME(6,32,54)</f>
        <v>41398.272847222222</v>
      </c>
      <c r="C1155">
        <v>80</v>
      </c>
      <c r="D1155">
        <v>77.597434997999997</v>
      </c>
      <c r="E1155">
        <v>40</v>
      </c>
      <c r="F1155">
        <v>39.823791503999999</v>
      </c>
      <c r="G1155">
        <v>1335.3109131000001</v>
      </c>
      <c r="H1155">
        <v>1333.6975098</v>
      </c>
      <c r="I1155">
        <v>1328.6673584</v>
      </c>
      <c r="J1155">
        <v>1327.7677002</v>
      </c>
      <c r="K1155">
        <v>550</v>
      </c>
      <c r="L1155">
        <v>0</v>
      </c>
      <c r="M1155">
        <v>0</v>
      </c>
      <c r="N1155">
        <v>550</v>
      </c>
    </row>
    <row r="1156" spans="1:14" x14ac:dyDescent="0.25">
      <c r="A1156">
        <v>1099.459546</v>
      </c>
      <c r="B1156" s="1">
        <f>DATE(2013,5,4) + TIME(11,1,44)</f>
        <v>41398.459537037037</v>
      </c>
      <c r="C1156">
        <v>80</v>
      </c>
      <c r="D1156">
        <v>77.880630492999998</v>
      </c>
      <c r="E1156">
        <v>40</v>
      </c>
      <c r="F1156">
        <v>39.817310333000002</v>
      </c>
      <c r="G1156">
        <v>1335.3609618999999</v>
      </c>
      <c r="H1156">
        <v>1333.7324219</v>
      </c>
      <c r="I1156">
        <v>1328.6676024999999</v>
      </c>
      <c r="J1156">
        <v>1327.7664795000001</v>
      </c>
      <c r="K1156">
        <v>550</v>
      </c>
      <c r="L1156">
        <v>0</v>
      </c>
      <c r="M1156">
        <v>0</v>
      </c>
      <c r="N1156">
        <v>550</v>
      </c>
    </row>
    <row r="1157" spans="1:14" x14ac:dyDescent="0.25">
      <c r="A1157">
        <v>1099.656023</v>
      </c>
      <c r="B1157" s="1">
        <f>DATE(2013,5,4) + TIME(15,44,40)</f>
        <v>41398.656018518515</v>
      </c>
      <c r="C1157">
        <v>80</v>
      </c>
      <c r="D1157">
        <v>78.143058776999993</v>
      </c>
      <c r="E1157">
        <v>40</v>
      </c>
      <c r="F1157">
        <v>39.810581206999998</v>
      </c>
      <c r="G1157">
        <v>1335.4106445</v>
      </c>
      <c r="H1157">
        <v>1333.7668457</v>
      </c>
      <c r="I1157">
        <v>1328.6678466999999</v>
      </c>
      <c r="J1157">
        <v>1327.7651367000001</v>
      </c>
      <c r="K1157">
        <v>550</v>
      </c>
      <c r="L1157">
        <v>0</v>
      </c>
      <c r="M1157">
        <v>0</v>
      </c>
      <c r="N1157">
        <v>550</v>
      </c>
    </row>
    <row r="1158" spans="1:14" x14ac:dyDescent="0.25">
      <c r="A1158">
        <v>1099.862869</v>
      </c>
      <c r="B1158" s="1">
        <f>DATE(2013,5,4) + TIME(20,42,31)</f>
        <v>41398.862858796296</v>
      </c>
      <c r="C1158">
        <v>80</v>
      </c>
      <c r="D1158">
        <v>78.384223938000005</v>
      </c>
      <c r="E1158">
        <v>40</v>
      </c>
      <c r="F1158">
        <v>39.803588867000002</v>
      </c>
      <c r="G1158">
        <v>1335.4597168</v>
      </c>
      <c r="H1158">
        <v>1333.8009033000001</v>
      </c>
      <c r="I1158">
        <v>1328.6680908000001</v>
      </c>
      <c r="J1158">
        <v>1327.7639160000001</v>
      </c>
      <c r="K1158">
        <v>550</v>
      </c>
      <c r="L1158">
        <v>0</v>
      </c>
      <c r="M1158">
        <v>0</v>
      </c>
      <c r="N1158">
        <v>550</v>
      </c>
    </row>
    <row r="1159" spans="1:14" x14ac:dyDescent="0.25">
      <c r="A1159">
        <v>1100.079761</v>
      </c>
      <c r="B1159" s="1">
        <f>DATE(2013,5,5) + TIME(1,54,51)</f>
        <v>41399.079756944448</v>
      </c>
      <c r="C1159">
        <v>80</v>
      </c>
      <c r="D1159">
        <v>78.603096007999994</v>
      </c>
      <c r="E1159">
        <v>40</v>
      </c>
      <c r="F1159">
        <v>39.796360016000001</v>
      </c>
      <c r="G1159">
        <v>1335.5078125</v>
      </c>
      <c r="H1159">
        <v>1333.8343506000001</v>
      </c>
      <c r="I1159">
        <v>1328.6682129000001</v>
      </c>
      <c r="J1159">
        <v>1327.7625731999999</v>
      </c>
      <c r="K1159">
        <v>550</v>
      </c>
      <c r="L1159">
        <v>0</v>
      </c>
      <c r="M1159">
        <v>0</v>
      </c>
      <c r="N1159">
        <v>550</v>
      </c>
    </row>
    <row r="1160" spans="1:14" x14ac:dyDescent="0.25">
      <c r="A1160">
        <v>1100.307597</v>
      </c>
      <c r="B1160" s="1">
        <f>DATE(2013,5,5) + TIME(7,22,56)</f>
        <v>41399.307592592595</v>
      </c>
      <c r="C1160">
        <v>80</v>
      </c>
      <c r="D1160">
        <v>78.800277710000003</v>
      </c>
      <c r="E1160">
        <v>40</v>
      </c>
      <c r="F1160">
        <v>39.788871765000003</v>
      </c>
      <c r="G1160">
        <v>1335.5545654</v>
      </c>
      <c r="H1160">
        <v>1333.8668213000001</v>
      </c>
      <c r="I1160">
        <v>1328.6683350000001</v>
      </c>
      <c r="J1160">
        <v>1327.7611084</v>
      </c>
      <c r="K1160">
        <v>550</v>
      </c>
      <c r="L1160">
        <v>0</v>
      </c>
      <c r="M1160">
        <v>0</v>
      </c>
      <c r="N1160">
        <v>550</v>
      </c>
    </row>
    <row r="1161" spans="1:14" x14ac:dyDescent="0.25">
      <c r="A1161">
        <v>1100.547386</v>
      </c>
      <c r="B1161" s="1">
        <f>DATE(2013,5,5) + TIME(13,8,14)</f>
        <v>41399.547384259262</v>
      </c>
      <c r="C1161">
        <v>80</v>
      </c>
      <c r="D1161">
        <v>78.976455688000001</v>
      </c>
      <c r="E1161">
        <v>40</v>
      </c>
      <c r="F1161">
        <v>39.781108856000003</v>
      </c>
      <c r="G1161">
        <v>1335.5972899999999</v>
      </c>
      <c r="H1161">
        <v>1333.8964844</v>
      </c>
      <c r="I1161">
        <v>1328.6683350000001</v>
      </c>
      <c r="J1161">
        <v>1327.7596435999999</v>
      </c>
      <c r="K1161">
        <v>550</v>
      </c>
      <c r="L1161">
        <v>0</v>
      </c>
      <c r="M1161">
        <v>0</v>
      </c>
      <c r="N1161">
        <v>550</v>
      </c>
    </row>
    <row r="1162" spans="1:14" x14ac:dyDescent="0.25">
      <c r="A1162">
        <v>1100.800655</v>
      </c>
      <c r="B1162" s="1">
        <f>DATE(2013,5,5) + TIME(19,12,56)</f>
        <v>41399.80064814815</v>
      </c>
      <c r="C1162">
        <v>80</v>
      </c>
      <c r="D1162">
        <v>79.132759093999994</v>
      </c>
      <c r="E1162">
        <v>40</v>
      </c>
      <c r="F1162">
        <v>39.773036957000002</v>
      </c>
      <c r="G1162">
        <v>1335.6378173999999</v>
      </c>
      <c r="H1162">
        <v>1333.9248047000001</v>
      </c>
      <c r="I1162">
        <v>1328.6683350000001</v>
      </c>
      <c r="J1162">
        <v>1327.7581786999999</v>
      </c>
      <c r="K1162">
        <v>550</v>
      </c>
      <c r="L1162">
        <v>0</v>
      </c>
      <c r="M1162">
        <v>0</v>
      </c>
      <c r="N1162">
        <v>550</v>
      </c>
    </row>
    <row r="1163" spans="1:14" x14ac:dyDescent="0.25">
      <c r="A1163">
        <v>1101.069037</v>
      </c>
      <c r="B1163" s="1">
        <f>DATE(2013,5,6) + TIME(1,39,24)</f>
        <v>41400.069027777776</v>
      </c>
      <c r="C1163">
        <v>80</v>
      </c>
      <c r="D1163">
        <v>79.270278931000007</v>
      </c>
      <c r="E1163">
        <v>40</v>
      </c>
      <c r="F1163">
        <v>39.764621734999999</v>
      </c>
      <c r="G1163">
        <v>1335.6766356999999</v>
      </c>
      <c r="H1163">
        <v>1333.9519043</v>
      </c>
      <c r="I1163">
        <v>1328.6682129000001</v>
      </c>
      <c r="J1163">
        <v>1327.7565918</v>
      </c>
      <c r="K1163">
        <v>550</v>
      </c>
      <c r="L1163">
        <v>0</v>
      </c>
      <c r="M1163">
        <v>0</v>
      </c>
      <c r="N1163">
        <v>550</v>
      </c>
    </row>
    <row r="1164" spans="1:14" x14ac:dyDescent="0.25">
      <c r="A1164">
        <v>1101.3498119999999</v>
      </c>
      <c r="B1164" s="1">
        <f>DATE(2013,5,6) + TIME(8,23,43)</f>
        <v>41400.349803240744</v>
      </c>
      <c r="C1164">
        <v>80</v>
      </c>
      <c r="D1164">
        <v>79.388534546000002</v>
      </c>
      <c r="E1164">
        <v>40</v>
      </c>
      <c r="F1164">
        <v>39.755962371999999</v>
      </c>
      <c r="G1164">
        <v>1335.7098389</v>
      </c>
      <c r="H1164">
        <v>1333.9752197</v>
      </c>
      <c r="I1164">
        <v>1328.6679687999999</v>
      </c>
      <c r="J1164">
        <v>1327.7550048999999</v>
      </c>
      <c r="K1164">
        <v>550</v>
      </c>
      <c r="L1164">
        <v>0</v>
      </c>
      <c r="M1164">
        <v>0</v>
      </c>
      <c r="N1164">
        <v>550</v>
      </c>
    </row>
    <row r="1165" spans="1:14" x14ac:dyDescent="0.25">
      <c r="A1165">
        <v>1101.6349210000001</v>
      </c>
      <c r="B1165" s="1">
        <f>DATE(2013,5,6) + TIME(15,14,17)</f>
        <v>41400.634918981479</v>
      </c>
      <c r="C1165">
        <v>80</v>
      </c>
      <c r="D1165">
        <v>79.486839294000006</v>
      </c>
      <c r="E1165">
        <v>40</v>
      </c>
      <c r="F1165">
        <v>39.747295379999997</v>
      </c>
      <c r="G1165">
        <v>1335.7408447</v>
      </c>
      <c r="H1165">
        <v>1333.9970702999999</v>
      </c>
      <c r="I1165">
        <v>1328.6677245999999</v>
      </c>
      <c r="J1165">
        <v>1327.753418</v>
      </c>
      <c r="K1165">
        <v>550</v>
      </c>
      <c r="L1165">
        <v>0</v>
      </c>
      <c r="M1165">
        <v>0</v>
      </c>
      <c r="N1165">
        <v>550</v>
      </c>
    </row>
    <row r="1166" spans="1:14" x14ac:dyDescent="0.25">
      <c r="A1166">
        <v>1101.926275</v>
      </c>
      <c r="B1166" s="1">
        <f>DATE(2013,5,6) + TIME(22,13,50)</f>
        <v>41400.92627314815</v>
      </c>
      <c r="C1166">
        <v>80</v>
      </c>
      <c r="D1166">
        <v>79.568664550999998</v>
      </c>
      <c r="E1166">
        <v>40</v>
      </c>
      <c r="F1166">
        <v>39.738571167000003</v>
      </c>
      <c r="G1166">
        <v>1335.7689209</v>
      </c>
      <c r="H1166">
        <v>1334.0169678</v>
      </c>
      <c r="I1166">
        <v>1328.6674805</v>
      </c>
      <c r="J1166">
        <v>1327.7518310999999</v>
      </c>
      <c r="K1166">
        <v>550</v>
      </c>
      <c r="L1166">
        <v>0</v>
      </c>
      <c r="M1166">
        <v>0</v>
      </c>
      <c r="N1166">
        <v>550</v>
      </c>
    </row>
    <row r="1167" spans="1:14" x14ac:dyDescent="0.25">
      <c r="A1167">
        <v>1102.2254969999999</v>
      </c>
      <c r="B1167" s="1">
        <f>DATE(2013,5,7) + TIME(5,24,42)</f>
        <v>41401.225486111114</v>
      </c>
      <c r="C1167">
        <v>80</v>
      </c>
      <c r="D1167">
        <v>79.636688231999997</v>
      </c>
      <c r="E1167">
        <v>40</v>
      </c>
      <c r="F1167">
        <v>39.729747772000003</v>
      </c>
      <c r="G1167">
        <v>1335.7933350000001</v>
      </c>
      <c r="H1167">
        <v>1334.0344238</v>
      </c>
      <c r="I1167">
        <v>1328.6669922000001</v>
      </c>
      <c r="J1167">
        <v>1327.7501221</v>
      </c>
      <c r="K1167">
        <v>550</v>
      </c>
      <c r="L1167">
        <v>0</v>
      </c>
      <c r="M1167">
        <v>0</v>
      </c>
      <c r="N1167">
        <v>550</v>
      </c>
    </row>
    <row r="1168" spans="1:14" x14ac:dyDescent="0.25">
      <c r="A1168">
        <v>1102.5341330000001</v>
      </c>
      <c r="B1168" s="1">
        <f>DATE(2013,5,7) + TIME(12,49,9)</f>
        <v>41401.534131944441</v>
      </c>
      <c r="C1168">
        <v>80</v>
      </c>
      <c r="D1168">
        <v>79.693084717000005</v>
      </c>
      <c r="E1168">
        <v>40</v>
      </c>
      <c r="F1168">
        <v>39.720794677999997</v>
      </c>
      <c r="G1168">
        <v>1335.8120117000001</v>
      </c>
      <c r="H1168">
        <v>1334.0482178</v>
      </c>
      <c r="I1168">
        <v>1328.6665039</v>
      </c>
      <c r="J1168">
        <v>1327.7485352000001</v>
      </c>
      <c r="K1168">
        <v>550</v>
      </c>
      <c r="L1168">
        <v>0</v>
      </c>
      <c r="M1168">
        <v>0</v>
      </c>
      <c r="N1168">
        <v>550</v>
      </c>
    </row>
    <row r="1169" spans="1:14" x14ac:dyDescent="0.25">
      <c r="A1169">
        <v>1102.8514009999999</v>
      </c>
      <c r="B1169" s="1">
        <f>DATE(2013,5,7) + TIME(20,26,1)</f>
        <v>41401.851400462961</v>
      </c>
      <c r="C1169">
        <v>80</v>
      </c>
      <c r="D1169">
        <v>79.739425659000005</v>
      </c>
      <c r="E1169">
        <v>40</v>
      </c>
      <c r="F1169">
        <v>39.711734772</v>
      </c>
      <c r="G1169">
        <v>1335.8289795000001</v>
      </c>
      <c r="H1169">
        <v>1334.0607910000001</v>
      </c>
      <c r="I1169">
        <v>1328.6660156</v>
      </c>
      <c r="J1169">
        <v>1327.7468262</v>
      </c>
      <c r="K1169">
        <v>550</v>
      </c>
      <c r="L1169">
        <v>0</v>
      </c>
      <c r="M1169">
        <v>0</v>
      </c>
      <c r="N1169">
        <v>550</v>
      </c>
    </row>
    <row r="1170" spans="1:14" x14ac:dyDescent="0.25">
      <c r="A1170">
        <v>1103.1718780000001</v>
      </c>
      <c r="B1170" s="1">
        <f>DATE(2013,5,8) + TIME(4,7,30)</f>
        <v>41402.171875</v>
      </c>
      <c r="C1170">
        <v>80</v>
      </c>
      <c r="D1170">
        <v>79.776771545000003</v>
      </c>
      <c r="E1170">
        <v>40</v>
      </c>
      <c r="F1170">
        <v>39.702720642000003</v>
      </c>
      <c r="G1170">
        <v>1335.8443603999999</v>
      </c>
      <c r="H1170">
        <v>1334.0723877</v>
      </c>
      <c r="I1170">
        <v>1328.6654053</v>
      </c>
      <c r="J1170">
        <v>1327.7451172000001</v>
      </c>
      <c r="K1170">
        <v>550</v>
      </c>
      <c r="L1170">
        <v>0</v>
      </c>
      <c r="M1170">
        <v>0</v>
      </c>
      <c r="N1170">
        <v>550</v>
      </c>
    </row>
    <row r="1171" spans="1:14" x14ac:dyDescent="0.25">
      <c r="A1171">
        <v>1103.496513</v>
      </c>
      <c r="B1171" s="1">
        <f>DATE(2013,5,8) + TIME(11,54,58)</f>
        <v>41402.496504629627</v>
      </c>
      <c r="C1171">
        <v>80</v>
      </c>
      <c r="D1171">
        <v>79.806900024000001</v>
      </c>
      <c r="E1171">
        <v>40</v>
      </c>
      <c r="F1171">
        <v>39.693725585999999</v>
      </c>
      <c r="G1171">
        <v>1335.8577881000001</v>
      </c>
      <c r="H1171">
        <v>1334.0827637</v>
      </c>
      <c r="I1171">
        <v>1328.6647949000001</v>
      </c>
      <c r="J1171">
        <v>1327.7432861</v>
      </c>
      <c r="K1171">
        <v>550</v>
      </c>
      <c r="L1171">
        <v>0</v>
      </c>
      <c r="M1171">
        <v>0</v>
      </c>
      <c r="N1171">
        <v>550</v>
      </c>
    </row>
    <row r="1172" spans="1:14" x14ac:dyDescent="0.25">
      <c r="A1172">
        <v>1103.8261379999999</v>
      </c>
      <c r="B1172" s="1">
        <f>DATE(2013,5,8) + TIME(19,49,38)</f>
        <v>41402.82613425926</v>
      </c>
      <c r="C1172">
        <v>80</v>
      </c>
      <c r="D1172">
        <v>79.831207274999997</v>
      </c>
      <c r="E1172">
        <v>40</v>
      </c>
      <c r="F1172">
        <v>39.684730530000003</v>
      </c>
      <c r="G1172">
        <v>1335.8695068</v>
      </c>
      <c r="H1172">
        <v>1334.0920410000001</v>
      </c>
      <c r="I1172">
        <v>1328.6641846</v>
      </c>
      <c r="J1172">
        <v>1327.7415771000001</v>
      </c>
      <c r="K1172">
        <v>550</v>
      </c>
      <c r="L1172">
        <v>0</v>
      </c>
      <c r="M1172">
        <v>0</v>
      </c>
      <c r="N1172">
        <v>550</v>
      </c>
    </row>
    <row r="1173" spans="1:14" x14ac:dyDescent="0.25">
      <c r="A1173">
        <v>1104.161623</v>
      </c>
      <c r="B1173" s="1">
        <f>DATE(2013,5,9) + TIME(3,52,44)</f>
        <v>41403.161620370367</v>
      </c>
      <c r="C1173">
        <v>80</v>
      </c>
      <c r="D1173">
        <v>79.850807189999998</v>
      </c>
      <c r="E1173">
        <v>40</v>
      </c>
      <c r="F1173">
        <v>39.675720214999998</v>
      </c>
      <c r="G1173">
        <v>1335.8796387</v>
      </c>
      <c r="H1173">
        <v>1334.1003418</v>
      </c>
      <c r="I1173">
        <v>1328.6634521000001</v>
      </c>
      <c r="J1173">
        <v>1327.7397461</v>
      </c>
      <c r="K1173">
        <v>550</v>
      </c>
      <c r="L1173">
        <v>0</v>
      </c>
      <c r="M1173">
        <v>0</v>
      </c>
      <c r="N1173">
        <v>550</v>
      </c>
    </row>
    <row r="1174" spans="1:14" x14ac:dyDescent="0.25">
      <c r="A1174">
        <v>1104.5039079999999</v>
      </c>
      <c r="B1174" s="1">
        <f>DATE(2013,5,9) + TIME(12,5,37)</f>
        <v>41403.503900462965</v>
      </c>
      <c r="C1174">
        <v>80</v>
      </c>
      <c r="D1174">
        <v>79.866592406999999</v>
      </c>
      <c r="E1174">
        <v>40</v>
      </c>
      <c r="F1174">
        <v>39.666675568000002</v>
      </c>
      <c r="G1174">
        <v>1335.8862305</v>
      </c>
      <c r="H1174">
        <v>1334.1063231999999</v>
      </c>
      <c r="I1174">
        <v>1328.6627197</v>
      </c>
      <c r="J1174">
        <v>1327.7379149999999</v>
      </c>
      <c r="K1174">
        <v>550</v>
      </c>
      <c r="L1174">
        <v>0</v>
      </c>
      <c r="M1174">
        <v>0</v>
      </c>
      <c r="N1174">
        <v>550</v>
      </c>
    </row>
    <row r="1175" spans="1:14" x14ac:dyDescent="0.25">
      <c r="A1175">
        <v>1104.854319</v>
      </c>
      <c r="B1175" s="1">
        <f>DATE(2013,5,9) + TIME(20,30,13)</f>
        <v>41403.854317129626</v>
      </c>
      <c r="C1175">
        <v>80</v>
      </c>
      <c r="D1175">
        <v>79.879318237000007</v>
      </c>
      <c r="E1175">
        <v>40</v>
      </c>
      <c r="F1175">
        <v>39.657566070999998</v>
      </c>
      <c r="G1175">
        <v>1335.8908690999999</v>
      </c>
      <c r="H1175">
        <v>1334.1110839999999</v>
      </c>
      <c r="I1175">
        <v>1328.6619873</v>
      </c>
      <c r="J1175">
        <v>1327.7360839999999</v>
      </c>
      <c r="K1175">
        <v>550</v>
      </c>
      <c r="L1175">
        <v>0</v>
      </c>
      <c r="M1175">
        <v>0</v>
      </c>
      <c r="N1175">
        <v>550</v>
      </c>
    </row>
    <row r="1176" spans="1:14" x14ac:dyDescent="0.25">
      <c r="A1176">
        <v>1105.214033</v>
      </c>
      <c r="B1176" s="1">
        <f>DATE(2013,5,10) + TIME(5,8,12)</f>
        <v>41404.21402777778</v>
      </c>
      <c r="C1176">
        <v>80</v>
      </c>
      <c r="D1176">
        <v>79.889556885000005</v>
      </c>
      <c r="E1176">
        <v>40</v>
      </c>
      <c r="F1176">
        <v>39.648376464999998</v>
      </c>
      <c r="G1176">
        <v>1335.8947754000001</v>
      </c>
      <c r="H1176">
        <v>1334.1153564000001</v>
      </c>
      <c r="I1176">
        <v>1328.6612548999999</v>
      </c>
      <c r="J1176">
        <v>1327.7342529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1105.5841680000001</v>
      </c>
      <c r="B1177" s="1">
        <f>DATE(2013,5,10) + TIME(14,1,12)</f>
        <v>41404.584166666667</v>
      </c>
      <c r="C1177">
        <v>80</v>
      </c>
      <c r="D1177">
        <v>79.897789001000007</v>
      </c>
      <c r="E1177">
        <v>40</v>
      </c>
      <c r="F1177">
        <v>39.639083862</v>
      </c>
      <c r="G1177">
        <v>1335.8978271000001</v>
      </c>
      <c r="H1177">
        <v>1334.1191406</v>
      </c>
      <c r="I1177">
        <v>1328.6604004000001</v>
      </c>
      <c r="J1177">
        <v>1327.7322998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1105.966531</v>
      </c>
      <c r="B1178" s="1">
        <f>DATE(2013,5,10) + TIME(23,11,48)</f>
        <v>41404.966527777775</v>
      </c>
      <c r="C1178">
        <v>80</v>
      </c>
      <c r="D1178">
        <v>79.904411315999994</v>
      </c>
      <c r="E1178">
        <v>40</v>
      </c>
      <c r="F1178">
        <v>39.629661560000002</v>
      </c>
      <c r="G1178">
        <v>1335.9002685999999</v>
      </c>
      <c r="H1178">
        <v>1334.1225586</v>
      </c>
      <c r="I1178">
        <v>1328.6594238</v>
      </c>
      <c r="J1178">
        <v>1327.7302245999999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1106.363558</v>
      </c>
      <c r="B1179" s="1">
        <f>DATE(2013,5,11) + TIME(8,43,31)</f>
        <v>41405.363553240742</v>
      </c>
      <c r="C1179">
        <v>80</v>
      </c>
      <c r="D1179">
        <v>79.909736632999994</v>
      </c>
      <c r="E1179">
        <v>40</v>
      </c>
      <c r="F1179">
        <v>39.620063782000003</v>
      </c>
      <c r="G1179">
        <v>1335.9019774999999</v>
      </c>
      <c r="H1179">
        <v>1334.1256103999999</v>
      </c>
      <c r="I1179">
        <v>1328.6585693</v>
      </c>
      <c r="J1179">
        <v>1327.7281493999999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1106.7774529999999</v>
      </c>
      <c r="B1180" s="1">
        <f>DATE(2013,5,11) + TIME(18,39,31)</f>
        <v>41405.777442129627</v>
      </c>
      <c r="C1180">
        <v>80</v>
      </c>
      <c r="D1180">
        <v>79.914009093999994</v>
      </c>
      <c r="E1180">
        <v>40</v>
      </c>
      <c r="F1180">
        <v>39.610263824</v>
      </c>
      <c r="G1180">
        <v>1335.9030762</v>
      </c>
      <c r="H1180">
        <v>1334.1282959</v>
      </c>
      <c r="I1180">
        <v>1328.6575928</v>
      </c>
      <c r="J1180">
        <v>1327.7259521000001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1107.210325</v>
      </c>
      <c r="B1181" s="1">
        <f>DATE(2013,5,12) + TIME(5,2,52)</f>
        <v>41406.210324074076</v>
      </c>
      <c r="C1181">
        <v>80</v>
      </c>
      <c r="D1181">
        <v>79.917434692</v>
      </c>
      <c r="E1181">
        <v>40</v>
      </c>
      <c r="F1181">
        <v>39.600231170999997</v>
      </c>
      <c r="G1181">
        <v>1335.9036865</v>
      </c>
      <c r="H1181">
        <v>1334.1307373</v>
      </c>
      <c r="I1181">
        <v>1328.6564940999999</v>
      </c>
      <c r="J1181">
        <v>1327.7236327999999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1107.6598080000001</v>
      </c>
      <c r="B1182" s="1">
        <f>DATE(2013,5,12) + TIME(15,50,7)</f>
        <v>41406.659803240742</v>
      </c>
      <c r="C1182">
        <v>80</v>
      </c>
      <c r="D1182">
        <v>79.920150757000002</v>
      </c>
      <c r="E1182">
        <v>40</v>
      </c>
      <c r="F1182">
        <v>39.590045928999999</v>
      </c>
      <c r="G1182">
        <v>1335.9036865</v>
      </c>
      <c r="H1182">
        <v>1334.1329346</v>
      </c>
      <c r="I1182">
        <v>1328.6553954999999</v>
      </c>
      <c r="J1182">
        <v>1327.7211914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1108.1250030000001</v>
      </c>
      <c r="B1183" s="1">
        <f>DATE(2013,5,13) + TIME(3,0,0)</f>
        <v>41407.125</v>
      </c>
      <c r="C1183">
        <v>80</v>
      </c>
      <c r="D1183">
        <v>79.922294617000006</v>
      </c>
      <c r="E1183">
        <v>40</v>
      </c>
      <c r="F1183">
        <v>39.579734801999997</v>
      </c>
      <c r="G1183">
        <v>1335.9031981999999</v>
      </c>
      <c r="H1183">
        <v>1334.1348877</v>
      </c>
      <c r="I1183">
        <v>1328.6542969</v>
      </c>
      <c r="J1183">
        <v>1327.71875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1108.608201</v>
      </c>
      <c r="B1184" s="1">
        <f>DATE(2013,5,13) + TIME(14,35,48)</f>
        <v>41407.608194444445</v>
      </c>
      <c r="C1184">
        <v>80</v>
      </c>
      <c r="D1184">
        <v>79.923980713000006</v>
      </c>
      <c r="E1184">
        <v>40</v>
      </c>
      <c r="F1184">
        <v>39.569286345999998</v>
      </c>
      <c r="G1184">
        <v>1335.9022216999999</v>
      </c>
      <c r="H1184">
        <v>1334.1365966999999</v>
      </c>
      <c r="I1184">
        <v>1328.6530762</v>
      </c>
      <c r="J1184">
        <v>1327.7161865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1109.1120109999999</v>
      </c>
      <c r="B1185" s="1">
        <f>DATE(2013,5,14) + TIME(2,41,17)</f>
        <v>41408.112002314818</v>
      </c>
      <c r="C1185">
        <v>80</v>
      </c>
      <c r="D1185">
        <v>79.925308228000006</v>
      </c>
      <c r="E1185">
        <v>40</v>
      </c>
      <c r="F1185">
        <v>39.558666229000004</v>
      </c>
      <c r="G1185">
        <v>1335.9008789</v>
      </c>
      <c r="H1185">
        <v>1334.1380615</v>
      </c>
      <c r="I1185">
        <v>1328.6518555</v>
      </c>
      <c r="J1185">
        <v>1327.7133789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1109.6417859999999</v>
      </c>
      <c r="B1186" s="1">
        <f>DATE(2013,5,14) + TIME(15,24,10)</f>
        <v>41408.641782407409</v>
      </c>
      <c r="C1186">
        <v>80</v>
      </c>
      <c r="D1186">
        <v>79.926353454999997</v>
      </c>
      <c r="E1186">
        <v>40</v>
      </c>
      <c r="F1186">
        <v>39.54781723</v>
      </c>
      <c r="G1186">
        <v>1335.8990478999999</v>
      </c>
      <c r="H1186">
        <v>1334.1394043</v>
      </c>
      <c r="I1186">
        <v>1328.6505127</v>
      </c>
      <c r="J1186">
        <v>1327.7105713000001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1110.201284</v>
      </c>
      <c r="B1187" s="1">
        <f>DATE(2013,5,15) + TIME(4,49,50)</f>
        <v>41409.201273148145</v>
      </c>
      <c r="C1187">
        <v>80</v>
      </c>
      <c r="D1187">
        <v>79.927177428999997</v>
      </c>
      <c r="E1187">
        <v>40</v>
      </c>
      <c r="F1187">
        <v>39.536712645999998</v>
      </c>
      <c r="G1187">
        <v>1335.8968506000001</v>
      </c>
      <c r="H1187">
        <v>1334.1405029</v>
      </c>
      <c r="I1187">
        <v>1328.6490478999999</v>
      </c>
      <c r="J1187">
        <v>1327.7075195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1110.78926</v>
      </c>
      <c r="B1188" s="1">
        <f>DATE(2013,5,15) + TIME(18,56,32)</f>
        <v>41409.789259259262</v>
      </c>
      <c r="C1188">
        <v>80</v>
      </c>
      <c r="D1188">
        <v>79.927818298000005</v>
      </c>
      <c r="E1188">
        <v>40</v>
      </c>
      <c r="F1188">
        <v>39.525417328000003</v>
      </c>
      <c r="G1188">
        <v>1335.8942870999999</v>
      </c>
      <c r="H1188">
        <v>1334.1414795000001</v>
      </c>
      <c r="I1188">
        <v>1328.6475829999999</v>
      </c>
      <c r="J1188">
        <v>1327.7043457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1111.4031500000001</v>
      </c>
      <c r="B1189" s="1">
        <f>DATE(2013,5,16) + TIME(9,40,32)</f>
        <v>41410.403148148151</v>
      </c>
      <c r="C1189">
        <v>80</v>
      </c>
      <c r="D1189">
        <v>79.928298949999999</v>
      </c>
      <c r="E1189">
        <v>40</v>
      </c>
      <c r="F1189">
        <v>39.514030456999997</v>
      </c>
      <c r="G1189">
        <v>1335.8913574000001</v>
      </c>
      <c r="H1189">
        <v>1334.1422118999999</v>
      </c>
      <c r="I1189">
        <v>1328.6459961</v>
      </c>
      <c r="J1189">
        <v>1327.7009277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1112.0267960000001</v>
      </c>
      <c r="B1190" s="1">
        <f>DATE(2013,5,17) + TIME(0,38,35)</f>
        <v>41411.02679398148</v>
      </c>
      <c r="C1190">
        <v>80</v>
      </c>
      <c r="D1190">
        <v>79.928649902000004</v>
      </c>
      <c r="E1190">
        <v>40</v>
      </c>
      <c r="F1190">
        <v>39.502845764</v>
      </c>
      <c r="G1190">
        <v>1335.8880615</v>
      </c>
      <c r="H1190">
        <v>1334.1429443</v>
      </c>
      <c r="I1190">
        <v>1328.6444091999999</v>
      </c>
      <c r="J1190">
        <v>1327.6973877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1112.6528699999999</v>
      </c>
      <c r="B1191" s="1">
        <f>DATE(2013,5,17) + TIME(15,40,7)</f>
        <v>41411.652858796297</v>
      </c>
      <c r="C1191">
        <v>80</v>
      </c>
      <c r="D1191">
        <v>79.928901671999995</v>
      </c>
      <c r="E1191">
        <v>40</v>
      </c>
      <c r="F1191">
        <v>39.492008208999998</v>
      </c>
      <c r="G1191">
        <v>1335.8846435999999</v>
      </c>
      <c r="H1191">
        <v>1334.1434326000001</v>
      </c>
      <c r="I1191">
        <v>1328.6427002</v>
      </c>
      <c r="J1191">
        <v>1327.6938477000001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1113.2837079999999</v>
      </c>
      <c r="B1192" s="1">
        <f>DATE(2013,5,18) + TIME(6,48,32)</f>
        <v>41412.283703703702</v>
      </c>
      <c r="C1192">
        <v>80</v>
      </c>
      <c r="D1192">
        <v>79.929077148000005</v>
      </c>
      <c r="E1192">
        <v>40</v>
      </c>
      <c r="F1192">
        <v>39.481506348000003</v>
      </c>
      <c r="G1192">
        <v>1335.8809814000001</v>
      </c>
      <c r="H1192">
        <v>1334.1439209</v>
      </c>
      <c r="I1192">
        <v>1328.6409911999999</v>
      </c>
      <c r="J1192">
        <v>1327.6901855000001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1113.921558</v>
      </c>
      <c r="B1193" s="1">
        <f>DATE(2013,5,18) + TIME(22,7,2)</f>
        <v>41412.921550925923</v>
      </c>
      <c r="C1193">
        <v>80</v>
      </c>
      <c r="D1193">
        <v>79.929191588999998</v>
      </c>
      <c r="E1193">
        <v>40</v>
      </c>
      <c r="F1193">
        <v>39.471328735</v>
      </c>
      <c r="G1193">
        <v>1335.8773193</v>
      </c>
      <c r="H1193">
        <v>1334.1442870999999</v>
      </c>
      <c r="I1193">
        <v>1328.6392822</v>
      </c>
      <c r="J1193">
        <v>1327.6864014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1114.568636</v>
      </c>
      <c r="B1194" s="1">
        <f>DATE(2013,5,19) + TIME(13,38,50)</f>
        <v>41413.56863425926</v>
      </c>
      <c r="C1194">
        <v>80</v>
      </c>
      <c r="D1194">
        <v>79.929252625000004</v>
      </c>
      <c r="E1194">
        <v>40</v>
      </c>
      <c r="F1194">
        <v>39.461479187000002</v>
      </c>
      <c r="G1194">
        <v>1335.8735352000001</v>
      </c>
      <c r="H1194">
        <v>1334.1445312000001</v>
      </c>
      <c r="I1194">
        <v>1328.6374512</v>
      </c>
      <c r="J1194">
        <v>1327.6827393000001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1115.2271969999999</v>
      </c>
      <c r="B1195" s="1">
        <f>DATE(2013,5,20) + TIME(5,27,9)</f>
        <v>41414.227187500001</v>
      </c>
      <c r="C1195">
        <v>80</v>
      </c>
      <c r="D1195">
        <v>79.929283142000003</v>
      </c>
      <c r="E1195">
        <v>40</v>
      </c>
      <c r="F1195">
        <v>39.451957702999998</v>
      </c>
      <c r="G1195">
        <v>1335.8696289</v>
      </c>
      <c r="H1195">
        <v>1334.1446533000001</v>
      </c>
      <c r="I1195">
        <v>1328.6357422000001</v>
      </c>
      <c r="J1195">
        <v>1327.6788329999999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1115.899576</v>
      </c>
      <c r="B1196" s="1">
        <f>DATE(2013,5,20) + TIME(21,35,23)</f>
        <v>41414.899571759262</v>
      </c>
      <c r="C1196">
        <v>80</v>
      </c>
      <c r="D1196">
        <v>79.929283142000003</v>
      </c>
      <c r="E1196">
        <v>40</v>
      </c>
      <c r="F1196">
        <v>39.442787170000003</v>
      </c>
      <c r="G1196">
        <v>1335.8657227000001</v>
      </c>
      <c r="H1196">
        <v>1334.1448975000001</v>
      </c>
      <c r="I1196">
        <v>1328.6339111</v>
      </c>
      <c r="J1196">
        <v>1327.6749268000001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1116.588246</v>
      </c>
      <c r="B1197" s="1">
        <f>DATE(2013,5,21) + TIME(14,7,4)</f>
        <v>41415.588240740741</v>
      </c>
      <c r="C1197">
        <v>80</v>
      </c>
      <c r="D1197">
        <v>79.929260253999999</v>
      </c>
      <c r="E1197">
        <v>40</v>
      </c>
      <c r="F1197">
        <v>39.433979033999996</v>
      </c>
      <c r="G1197">
        <v>1335.8616943</v>
      </c>
      <c r="H1197">
        <v>1334.1450195</v>
      </c>
      <c r="I1197">
        <v>1328.6320800999999</v>
      </c>
      <c r="J1197">
        <v>1327.6708983999999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1117.295875</v>
      </c>
      <c r="B1198" s="1">
        <f>DATE(2013,5,22) + TIME(7,6,3)</f>
        <v>41416.295868055553</v>
      </c>
      <c r="C1198">
        <v>80</v>
      </c>
      <c r="D1198">
        <v>79.929214478000006</v>
      </c>
      <c r="E1198">
        <v>40</v>
      </c>
      <c r="F1198">
        <v>39.425567627</v>
      </c>
      <c r="G1198">
        <v>1335.8576660000001</v>
      </c>
      <c r="H1198">
        <v>1334.1451416</v>
      </c>
      <c r="I1198">
        <v>1328.6301269999999</v>
      </c>
      <c r="J1198">
        <v>1327.6667480000001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1118.028243</v>
      </c>
      <c r="B1199" s="1">
        <f>DATE(2013,5,23) + TIME(0,40,40)</f>
        <v>41417.028240740743</v>
      </c>
      <c r="C1199">
        <v>80</v>
      </c>
      <c r="D1199">
        <v>79.929153442</v>
      </c>
      <c r="E1199">
        <v>40</v>
      </c>
      <c r="F1199">
        <v>39.417568207000002</v>
      </c>
      <c r="G1199">
        <v>1335.8535156</v>
      </c>
      <c r="H1199">
        <v>1334.1451416</v>
      </c>
      <c r="I1199">
        <v>1328.6281738</v>
      </c>
      <c r="J1199">
        <v>1327.6624756000001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1118.7933370000001</v>
      </c>
      <c r="B1200" s="1">
        <f>DATE(2013,5,23) + TIME(19,2,24)</f>
        <v>41417.793333333335</v>
      </c>
      <c r="C1200">
        <v>80</v>
      </c>
      <c r="D1200">
        <v>79.929077148000005</v>
      </c>
      <c r="E1200">
        <v>40</v>
      </c>
      <c r="F1200">
        <v>39.409996032999999</v>
      </c>
      <c r="G1200">
        <v>1335.8492432</v>
      </c>
      <c r="H1200">
        <v>1334.1452637</v>
      </c>
      <c r="I1200">
        <v>1328.6260986</v>
      </c>
      <c r="J1200">
        <v>1327.6580810999999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1119.5851439999999</v>
      </c>
      <c r="B1201" s="1">
        <f>DATE(2013,5,24) + TIME(14,2,36)</f>
        <v>41418.585138888891</v>
      </c>
      <c r="C1201">
        <v>80</v>
      </c>
      <c r="D1201">
        <v>79.928993224999999</v>
      </c>
      <c r="E1201">
        <v>40</v>
      </c>
      <c r="F1201">
        <v>39.403018951</v>
      </c>
      <c r="G1201">
        <v>1335.8449707</v>
      </c>
      <c r="H1201">
        <v>1334.1452637</v>
      </c>
      <c r="I1201">
        <v>1328.6240233999999</v>
      </c>
      <c r="J1201">
        <v>1327.6534423999999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1120.399889</v>
      </c>
      <c r="B1202" s="1">
        <f>DATE(2013,5,25) + TIME(9,35,50)</f>
        <v>41419.399884259263</v>
      </c>
      <c r="C1202">
        <v>80</v>
      </c>
      <c r="D1202">
        <v>79.928886414000004</v>
      </c>
      <c r="E1202">
        <v>40</v>
      </c>
      <c r="F1202">
        <v>39.396762848000002</v>
      </c>
      <c r="G1202">
        <v>1335.8405762</v>
      </c>
      <c r="H1202">
        <v>1334.1452637</v>
      </c>
      <c r="I1202">
        <v>1328.6218262</v>
      </c>
      <c r="J1202">
        <v>1327.6485596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1121.2412340000001</v>
      </c>
      <c r="B1203" s="1">
        <f>DATE(2013,5,26) + TIME(5,47,22)</f>
        <v>41420.241226851853</v>
      </c>
      <c r="C1203">
        <v>80</v>
      </c>
      <c r="D1203">
        <v>79.928779602000006</v>
      </c>
      <c r="E1203">
        <v>40</v>
      </c>
      <c r="F1203">
        <v>39.39132309</v>
      </c>
      <c r="G1203">
        <v>1335.8361815999999</v>
      </c>
      <c r="H1203">
        <v>1334.1453856999999</v>
      </c>
      <c r="I1203">
        <v>1328.6196289</v>
      </c>
      <c r="J1203">
        <v>1327.6436768000001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1122.113431</v>
      </c>
      <c r="B1204" s="1">
        <f>DATE(2013,5,27) + TIME(2,43,20)</f>
        <v>41421.113425925927</v>
      </c>
      <c r="C1204">
        <v>80</v>
      </c>
      <c r="D1204">
        <v>79.928665160999998</v>
      </c>
      <c r="E1204">
        <v>40</v>
      </c>
      <c r="F1204">
        <v>39.386814117</v>
      </c>
      <c r="G1204">
        <v>1335.8317870999999</v>
      </c>
      <c r="H1204">
        <v>1334.1453856999999</v>
      </c>
      <c r="I1204">
        <v>1328.6173096</v>
      </c>
      <c r="J1204">
        <v>1327.6385498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1123.022389</v>
      </c>
      <c r="B1205" s="1">
        <f>DATE(2013,5,28) + TIME(0,32,14)</f>
        <v>41422.02238425926</v>
      </c>
      <c r="C1205">
        <v>80</v>
      </c>
      <c r="D1205">
        <v>79.928535460999996</v>
      </c>
      <c r="E1205">
        <v>40</v>
      </c>
      <c r="F1205">
        <v>39.383373259999999</v>
      </c>
      <c r="G1205">
        <v>1335.8272704999999</v>
      </c>
      <c r="H1205">
        <v>1334.1453856999999</v>
      </c>
      <c r="I1205">
        <v>1328.6149902</v>
      </c>
      <c r="J1205">
        <v>1327.6333007999999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1123.9831529999999</v>
      </c>
      <c r="B1206" s="1">
        <f>DATE(2013,5,28) + TIME(23,35,44)</f>
        <v>41422.983148148145</v>
      </c>
      <c r="C1206">
        <v>80</v>
      </c>
      <c r="D1206">
        <v>79.928405761999997</v>
      </c>
      <c r="E1206">
        <v>40</v>
      </c>
      <c r="F1206">
        <v>39.38117218</v>
      </c>
      <c r="G1206">
        <v>1335.8227539</v>
      </c>
      <c r="H1206">
        <v>1334.1455077999999</v>
      </c>
      <c r="I1206">
        <v>1328.6125488</v>
      </c>
      <c r="J1206">
        <v>1327.6278076000001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1124.9937709999999</v>
      </c>
      <c r="B1207" s="1">
        <f>DATE(2013,5,29) + TIME(23,51,1)</f>
        <v>41423.993761574071</v>
      </c>
      <c r="C1207">
        <v>80</v>
      </c>
      <c r="D1207">
        <v>79.928268433</v>
      </c>
      <c r="E1207">
        <v>40</v>
      </c>
      <c r="F1207">
        <v>39.380485534999998</v>
      </c>
      <c r="G1207">
        <v>1335.8181152</v>
      </c>
      <c r="H1207">
        <v>1334.1455077999999</v>
      </c>
      <c r="I1207">
        <v>1328.6099853999999</v>
      </c>
      <c r="J1207">
        <v>1327.6219481999999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1126.0296940000001</v>
      </c>
      <c r="B1208" s="1">
        <f>DATE(2013,5,31) + TIME(0,42,45)</f>
        <v>41425.029687499999</v>
      </c>
      <c r="C1208">
        <v>80</v>
      </c>
      <c r="D1208">
        <v>79.928123474000003</v>
      </c>
      <c r="E1208">
        <v>40</v>
      </c>
      <c r="F1208">
        <v>39.381599426000001</v>
      </c>
      <c r="G1208">
        <v>1335.8133545000001</v>
      </c>
      <c r="H1208">
        <v>1334.1456298999999</v>
      </c>
      <c r="I1208">
        <v>1328.6072998</v>
      </c>
      <c r="J1208">
        <v>1327.6158447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1127</v>
      </c>
      <c r="B1209" s="1">
        <f>DATE(2013,6,1) + TIME(0,0,0)</f>
        <v>41426</v>
      </c>
      <c r="C1209">
        <v>80</v>
      </c>
      <c r="D1209">
        <v>79.927978515999996</v>
      </c>
      <c r="E1209">
        <v>40</v>
      </c>
      <c r="F1209">
        <v>39.384521483999997</v>
      </c>
      <c r="G1209">
        <v>1335.8087158000001</v>
      </c>
      <c r="H1209">
        <v>1334.1456298999999</v>
      </c>
      <c r="I1209">
        <v>1328.6047363</v>
      </c>
      <c r="J1209">
        <v>1327.6097411999999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1128.0413570000001</v>
      </c>
      <c r="B1210" s="1">
        <f>DATE(2013,6,2) + TIME(0,59,33)</f>
        <v>41427.041354166664</v>
      </c>
      <c r="C1210">
        <v>80</v>
      </c>
      <c r="D1210">
        <v>79.927841186999999</v>
      </c>
      <c r="E1210">
        <v>40</v>
      </c>
      <c r="F1210">
        <v>39.389549254999999</v>
      </c>
      <c r="G1210">
        <v>1335.8045654</v>
      </c>
      <c r="H1210">
        <v>1334.1457519999999</v>
      </c>
      <c r="I1210">
        <v>1328.6021728999999</v>
      </c>
      <c r="J1210">
        <v>1327.6038818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1129.1067840000001</v>
      </c>
      <c r="B1211" s="1">
        <f>DATE(2013,6,3) + TIME(2,33,46)</f>
        <v>41428.106782407405</v>
      </c>
      <c r="C1211">
        <v>80</v>
      </c>
      <c r="D1211">
        <v>79.927696228000002</v>
      </c>
      <c r="E1211">
        <v>40</v>
      </c>
      <c r="F1211">
        <v>39.396896362</v>
      </c>
      <c r="G1211">
        <v>1335.8001709</v>
      </c>
      <c r="H1211">
        <v>1334.1459961</v>
      </c>
      <c r="I1211">
        <v>1328.5996094</v>
      </c>
      <c r="J1211">
        <v>1327.5976562000001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1130.1913930000001</v>
      </c>
      <c r="B1212" s="1">
        <f>DATE(2013,6,4) + TIME(4,35,36)</f>
        <v>41429.191388888888</v>
      </c>
      <c r="C1212">
        <v>80</v>
      </c>
      <c r="D1212">
        <v>79.927551269999995</v>
      </c>
      <c r="E1212">
        <v>40</v>
      </c>
      <c r="F1212">
        <v>39.406780243</v>
      </c>
      <c r="G1212">
        <v>1335.7958983999999</v>
      </c>
      <c r="H1212">
        <v>1334.1461182</v>
      </c>
      <c r="I1212">
        <v>1328.5969238</v>
      </c>
      <c r="J1212">
        <v>1327.5913086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1131.3002019999999</v>
      </c>
      <c r="B1213" s="1">
        <f>DATE(2013,6,5) + TIME(7,12,17)</f>
        <v>41430.300196759257</v>
      </c>
      <c r="C1213">
        <v>80</v>
      </c>
      <c r="D1213">
        <v>79.927413939999994</v>
      </c>
      <c r="E1213">
        <v>40</v>
      </c>
      <c r="F1213">
        <v>39.419483184999997</v>
      </c>
      <c r="G1213">
        <v>1335.791626</v>
      </c>
      <c r="H1213">
        <v>1334.1463623</v>
      </c>
      <c r="I1213">
        <v>1328.5942382999999</v>
      </c>
      <c r="J1213">
        <v>1327.5848389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1132.446864</v>
      </c>
      <c r="B1214" s="1">
        <f>DATE(2013,6,6) + TIME(10,43,29)</f>
        <v>41431.446863425925</v>
      </c>
      <c r="C1214">
        <v>80</v>
      </c>
      <c r="D1214">
        <v>79.927268982000001</v>
      </c>
      <c r="E1214">
        <v>40</v>
      </c>
      <c r="F1214">
        <v>39.435440063000001</v>
      </c>
      <c r="G1214">
        <v>1335.7874756000001</v>
      </c>
      <c r="H1214">
        <v>1334.1464844</v>
      </c>
      <c r="I1214">
        <v>1328.5916748</v>
      </c>
      <c r="J1214">
        <v>1327.5783690999999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1133.6352449999999</v>
      </c>
      <c r="B1215" s="1">
        <f>DATE(2013,6,7) + TIME(15,14,45)</f>
        <v>41432.635243055556</v>
      </c>
      <c r="C1215">
        <v>80</v>
      </c>
      <c r="D1215">
        <v>79.927131653000004</v>
      </c>
      <c r="E1215">
        <v>40</v>
      </c>
      <c r="F1215">
        <v>39.455120086999997</v>
      </c>
      <c r="G1215">
        <v>1335.7833252</v>
      </c>
      <c r="H1215">
        <v>1334.1467285000001</v>
      </c>
      <c r="I1215">
        <v>1328.5888672000001</v>
      </c>
      <c r="J1215">
        <v>1327.5716553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1134.8760749999999</v>
      </c>
      <c r="B1216" s="1">
        <f>DATE(2013,6,8) + TIME(21,1,32)</f>
        <v>41433.876064814816</v>
      </c>
      <c r="C1216">
        <v>80</v>
      </c>
      <c r="D1216">
        <v>79.926986693999993</v>
      </c>
      <c r="E1216">
        <v>40</v>
      </c>
      <c r="F1216">
        <v>39.479179381999998</v>
      </c>
      <c r="G1216">
        <v>1335.7790527</v>
      </c>
      <c r="H1216">
        <v>1334.1469727000001</v>
      </c>
      <c r="I1216">
        <v>1328.5861815999999</v>
      </c>
      <c r="J1216">
        <v>1327.5648193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1136.1789839999999</v>
      </c>
      <c r="B1217" s="1">
        <f>DATE(2013,6,10) + TIME(4,17,44)</f>
        <v>41435.178981481484</v>
      </c>
      <c r="C1217">
        <v>80</v>
      </c>
      <c r="D1217">
        <v>79.926849364999995</v>
      </c>
      <c r="E1217">
        <v>40</v>
      </c>
      <c r="F1217">
        <v>39.508419037000003</v>
      </c>
      <c r="G1217">
        <v>1335.7749022999999</v>
      </c>
      <c r="H1217">
        <v>1334.1470947</v>
      </c>
      <c r="I1217">
        <v>1328.5834961</v>
      </c>
      <c r="J1217">
        <v>1327.5577393000001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1137.544392</v>
      </c>
      <c r="B1218" s="1">
        <f>DATE(2013,6,11) + TIME(13,3,55)</f>
        <v>41436.544386574074</v>
      </c>
      <c r="C1218">
        <v>80</v>
      </c>
      <c r="D1218">
        <v>79.926704407000003</v>
      </c>
      <c r="E1218">
        <v>40</v>
      </c>
      <c r="F1218">
        <v>39.543663025000001</v>
      </c>
      <c r="G1218">
        <v>1335.7706298999999</v>
      </c>
      <c r="H1218">
        <v>1334.1473389</v>
      </c>
      <c r="I1218">
        <v>1328.5806885</v>
      </c>
      <c r="J1218">
        <v>1327.5504149999999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1138.938506</v>
      </c>
      <c r="B1219" s="1">
        <f>DATE(2013,6,12) + TIME(22,31,26)</f>
        <v>41437.93849537037</v>
      </c>
      <c r="C1219">
        <v>80</v>
      </c>
      <c r="D1219">
        <v>79.926567078000005</v>
      </c>
      <c r="E1219">
        <v>40</v>
      </c>
      <c r="F1219">
        <v>39.585117339999996</v>
      </c>
      <c r="G1219">
        <v>1335.7663574000001</v>
      </c>
      <c r="H1219">
        <v>1334.1475829999999</v>
      </c>
      <c r="I1219">
        <v>1328.5778809000001</v>
      </c>
      <c r="J1219">
        <v>1327.5429687999999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1140.368657</v>
      </c>
      <c r="B1220" s="1">
        <f>DATE(2013,6,14) + TIME(8,50,51)</f>
        <v>41439.368645833332</v>
      </c>
      <c r="C1220">
        <v>80</v>
      </c>
      <c r="D1220">
        <v>79.926429748999993</v>
      </c>
      <c r="E1220">
        <v>40</v>
      </c>
      <c r="F1220">
        <v>39.633590697999999</v>
      </c>
      <c r="G1220">
        <v>1335.7620850000001</v>
      </c>
      <c r="H1220">
        <v>1334.1479492000001</v>
      </c>
      <c r="I1220">
        <v>1328.5751952999999</v>
      </c>
      <c r="J1220">
        <v>1327.5354004000001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1141.8418369999999</v>
      </c>
      <c r="B1221" s="1">
        <f>DATE(2013,6,15) + TIME(20,12,14)</f>
        <v>41440.841828703706</v>
      </c>
      <c r="C1221">
        <v>80</v>
      </c>
      <c r="D1221">
        <v>79.926292419000006</v>
      </c>
      <c r="E1221">
        <v>40</v>
      </c>
      <c r="F1221">
        <v>39.690074920999997</v>
      </c>
      <c r="G1221">
        <v>1335.7579346</v>
      </c>
      <c r="H1221">
        <v>1334.1481934000001</v>
      </c>
      <c r="I1221">
        <v>1328.5725098</v>
      </c>
      <c r="J1221">
        <v>1327.527832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1143.365773</v>
      </c>
      <c r="B1222" s="1">
        <f>DATE(2013,6,17) + TIME(8,46,42)</f>
        <v>41442.365763888891</v>
      </c>
      <c r="C1222">
        <v>80</v>
      </c>
      <c r="D1222">
        <v>79.926155089999995</v>
      </c>
      <c r="E1222">
        <v>40</v>
      </c>
      <c r="F1222">
        <v>39.755798339999998</v>
      </c>
      <c r="G1222">
        <v>1335.7537841999999</v>
      </c>
      <c r="H1222">
        <v>1334.1484375</v>
      </c>
      <c r="I1222">
        <v>1328.5698242000001</v>
      </c>
      <c r="J1222">
        <v>1327.5201416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1144.937829</v>
      </c>
      <c r="B1223" s="1">
        <f>DATE(2013,6,18) + TIME(22,30,28)</f>
        <v>41443.937824074077</v>
      </c>
      <c r="C1223">
        <v>80</v>
      </c>
      <c r="D1223">
        <v>79.926025390999996</v>
      </c>
      <c r="E1223">
        <v>40</v>
      </c>
      <c r="F1223">
        <v>39.831905364999997</v>
      </c>
      <c r="G1223">
        <v>1335.7496338000001</v>
      </c>
      <c r="H1223">
        <v>1334.1486815999999</v>
      </c>
      <c r="I1223">
        <v>1328.5673827999999</v>
      </c>
      <c r="J1223">
        <v>1327.5123291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1146.522995</v>
      </c>
      <c r="B1224" s="1">
        <f>DATE(2013,6,20) + TIME(12,33,6)</f>
        <v>41445.522986111115</v>
      </c>
      <c r="C1224">
        <v>80</v>
      </c>
      <c r="D1224">
        <v>79.925895690999994</v>
      </c>
      <c r="E1224">
        <v>40</v>
      </c>
      <c r="F1224">
        <v>39.918422698999997</v>
      </c>
      <c r="G1224">
        <v>1335.7456055</v>
      </c>
      <c r="H1224">
        <v>1334.1489257999999</v>
      </c>
      <c r="I1224">
        <v>1328.5649414</v>
      </c>
      <c r="J1224">
        <v>1327.5046387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1148.1307380000001</v>
      </c>
      <c r="B1225" s="1">
        <f>DATE(2013,6,22) + TIME(3,8,15)</f>
        <v>41447.130729166667</v>
      </c>
      <c r="C1225">
        <v>80</v>
      </c>
      <c r="D1225">
        <v>79.925773621000005</v>
      </c>
      <c r="E1225">
        <v>40</v>
      </c>
      <c r="F1225">
        <v>40.016540526999997</v>
      </c>
      <c r="G1225">
        <v>1335.7415771000001</v>
      </c>
      <c r="H1225">
        <v>1334.1491699000001</v>
      </c>
      <c r="I1225">
        <v>1328.5626221</v>
      </c>
      <c r="J1225">
        <v>1327.4970702999999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1149.7708970000001</v>
      </c>
      <c r="B1226" s="1">
        <f>DATE(2013,6,23) + TIME(18,30,5)</f>
        <v>41448.770891203705</v>
      </c>
      <c r="C1226">
        <v>80</v>
      </c>
      <c r="D1226">
        <v>79.925659179999997</v>
      </c>
      <c r="E1226">
        <v>40</v>
      </c>
      <c r="F1226">
        <v>40.127838134999998</v>
      </c>
      <c r="G1226">
        <v>1335.7376709</v>
      </c>
      <c r="H1226">
        <v>1334.1494141000001</v>
      </c>
      <c r="I1226">
        <v>1328.5605469</v>
      </c>
      <c r="J1226">
        <v>1327.489624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1151.4531890000001</v>
      </c>
      <c r="B1227" s="1">
        <f>DATE(2013,6,25) + TIME(10,52,35)</f>
        <v>41450.453182870369</v>
      </c>
      <c r="C1227">
        <v>80</v>
      </c>
      <c r="D1227">
        <v>79.925544739000003</v>
      </c>
      <c r="E1227">
        <v>40</v>
      </c>
      <c r="F1227">
        <v>40.254234314000001</v>
      </c>
      <c r="G1227">
        <v>1335.7337646000001</v>
      </c>
      <c r="H1227">
        <v>1334.1495361</v>
      </c>
      <c r="I1227">
        <v>1328.5585937999999</v>
      </c>
      <c r="J1227">
        <v>1327.4824219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1153.208762</v>
      </c>
      <c r="B1228" s="1">
        <f>DATE(2013,6,27) + TIME(5,0,36)</f>
        <v>41452.208749999998</v>
      </c>
      <c r="C1228">
        <v>80</v>
      </c>
      <c r="D1228">
        <v>79.925437927000004</v>
      </c>
      <c r="E1228">
        <v>40</v>
      </c>
      <c r="F1228">
        <v>40.399303435999997</v>
      </c>
      <c r="G1228">
        <v>1335.7299805</v>
      </c>
      <c r="H1228">
        <v>1334.1497803</v>
      </c>
      <c r="I1228">
        <v>1328.5567627</v>
      </c>
      <c r="J1228">
        <v>1327.4752197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1155.0594329999999</v>
      </c>
      <c r="B1229" s="1">
        <f>DATE(2013,6,29) + TIME(1,25,35)</f>
        <v>41454.059432870374</v>
      </c>
      <c r="C1229">
        <v>80</v>
      </c>
      <c r="D1229">
        <v>79.925331115999995</v>
      </c>
      <c r="E1229">
        <v>40</v>
      </c>
      <c r="F1229">
        <v>40.567276001000003</v>
      </c>
      <c r="G1229">
        <v>1335.7260742000001</v>
      </c>
      <c r="H1229">
        <v>1334.1499022999999</v>
      </c>
      <c r="I1229">
        <v>1328.5551757999999</v>
      </c>
      <c r="J1229">
        <v>1327.4681396000001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1156.0297169999999</v>
      </c>
      <c r="B1230" s="1">
        <f>DATE(2013,6,30) + TIME(0,42,47)</f>
        <v>41455.029710648145</v>
      </c>
      <c r="C1230">
        <v>80</v>
      </c>
      <c r="D1230">
        <v>79.925231933999996</v>
      </c>
      <c r="E1230">
        <v>40</v>
      </c>
      <c r="F1230">
        <v>40.686008452999999</v>
      </c>
      <c r="G1230">
        <v>1335.722168</v>
      </c>
      <c r="H1230">
        <v>1334.1500243999999</v>
      </c>
      <c r="I1230">
        <v>1328.5552978999999</v>
      </c>
      <c r="J1230">
        <v>1327.4621582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1157</v>
      </c>
      <c r="B1231" s="1">
        <f>DATE(2013,7,1) + TIME(0,0,0)</f>
        <v>41456</v>
      </c>
      <c r="C1231">
        <v>80</v>
      </c>
      <c r="D1231">
        <v>79.92515564</v>
      </c>
      <c r="E1231">
        <v>40</v>
      </c>
      <c r="F1231">
        <v>40.807464600000003</v>
      </c>
      <c r="G1231">
        <v>1335.7202147999999</v>
      </c>
      <c r="H1231">
        <v>1334.1501464999999</v>
      </c>
      <c r="I1231">
        <v>1328.5541992000001</v>
      </c>
      <c r="J1231">
        <v>1327.458374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1158.9232569999999</v>
      </c>
      <c r="B1232" s="1">
        <f>DATE(2013,7,2) + TIME(22,9,29)</f>
        <v>41457.923252314817</v>
      </c>
      <c r="C1232">
        <v>80</v>
      </c>
      <c r="D1232">
        <v>79.925094603999995</v>
      </c>
      <c r="E1232">
        <v>40</v>
      </c>
      <c r="F1232">
        <v>41.011043549</v>
      </c>
      <c r="G1232">
        <v>1335.7181396000001</v>
      </c>
      <c r="H1232">
        <v>1334.1500243999999</v>
      </c>
      <c r="I1232">
        <v>1328.5522461</v>
      </c>
      <c r="J1232">
        <v>1327.4539795000001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1160.8640829999999</v>
      </c>
      <c r="B1233" s="1">
        <f>DATE(2013,7,4) + TIME(20,44,16)</f>
        <v>41459.864074074074</v>
      </c>
      <c r="C1233">
        <v>80</v>
      </c>
      <c r="D1233">
        <v>79.925018311000002</v>
      </c>
      <c r="E1233">
        <v>40</v>
      </c>
      <c r="F1233">
        <v>41.245880127</v>
      </c>
      <c r="G1233">
        <v>1335.7142334</v>
      </c>
      <c r="H1233">
        <v>1334.1501464999999</v>
      </c>
      <c r="I1233">
        <v>1328.5518798999999</v>
      </c>
      <c r="J1233">
        <v>1327.4482422000001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1161.8644509999999</v>
      </c>
      <c r="B1234" s="1">
        <f>DATE(2013,7,5) + TIME(20,44,48)</f>
        <v>41460.864444444444</v>
      </c>
      <c r="C1234">
        <v>80</v>
      </c>
      <c r="D1234">
        <v>79.924934386999993</v>
      </c>
      <c r="E1234">
        <v>40</v>
      </c>
      <c r="F1234">
        <v>41.412067413000003</v>
      </c>
      <c r="G1234">
        <v>1335.7105713000001</v>
      </c>
      <c r="H1234">
        <v>1334.1502685999999</v>
      </c>
      <c r="I1234">
        <v>1328.5532227000001</v>
      </c>
      <c r="J1234">
        <v>1327.4437256000001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1162.8648189999999</v>
      </c>
      <c r="B1235" s="1">
        <f>DATE(2013,7,6) + TIME(20,45,20)</f>
        <v>41461.864814814813</v>
      </c>
      <c r="C1235">
        <v>80</v>
      </c>
      <c r="D1235">
        <v>79.924865722999996</v>
      </c>
      <c r="E1235">
        <v>40</v>
      </c>
      <c r="F1235">
        <v>41.581111907999997</v>
      </c>
      <c r="G1235">
        <v>1335.7086182</v>
      </c>
      <c r="H1235">
        <v>1334.1501464999999</v>
      </c>
      <c r="I1235">
        <v>1328.5529785000001</v>
      </c>
      <c r="J1235">
        <v>1327.440918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1163.865186</v>
      </c>
      <c r="B1236" s="1">
        <f>DATE(2013,7,7) + TIME(20,45,52)</f>
        <v>41462.865185185183</v>
      </c>
      <c r="C1236">
        <v>80</v>
      </c>
      <c r="D1236">
        <v>79.924812317000004</v>
      </c>
      <c r="E1236">
        <v>40</v>
      </c>
      <c r="F1236">
        <v>41.754566193000002</v>
      </c>
      <c r="G1236">
        <v>1335.7067870999999</v>
      </c>
      <c r="H1236">
        <v>1334.1501464999999</v>
      </c>
      <c r="I1236">
        <v>1328.5528564000001</v>
      </c>
      <c r="J1236">
        <v>1327.4384766000001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1164.865554</v>
      </c>
      <c r="B1237" s="1">
        <f>DATE(2013,7,8) + TIME(20,46,23)</f>
        <v>41463.865543981483</v>
      </c>
      <c r="C1237">
        <v>80</v>
      </c>
      <c r="D1237">
        <v>79.924766540999997</v>
      </c>
      <c r="E1237">
        <v>40</v>
      </c>
      <c r="F1237">
        <v>41.933521270999996</v>
      </c>
      <c r="G1237">
        <v>1335.7049560999999</v>
      </c>
      <c r="H1237">
        <v>1334.1501464999999</v>
      </c>
      <c r="I1237">
        <v>1328.5528564000001</v>
      </c>
      <c r="J1237">
        <v>1327.4362793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1165.865922</v>
      </c>
      <c r="B1238" s="1">
        <f>DATE(2013,7,9) + TIME(20,46,55)</f>
        <v>41464.865914351853</v>
      </c>
      <c r="C1238">
        <v>80</v>
      </c>
      <c r="D1238">
        <v>79.924728393999999</v>
      </c>
      <c r="E1238">
        <v>40</v>
      </c>
      <c r="F1238">
        <v>42.118732452000003</v>
      </c>
      <c r="G1238">
        <v>1335.703125</v>
      </c>
      <c r="H1238">
        <v>1334.1501464999999</v>
      </c>
      <c r="I1238">
        <v>1328.5529785000001</v>
      </c>
      <c r="J1238">
        <v>1327.4342041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1166.8662899999999</v>
      </c>
      <c r="B1239" s="1">
        <f>DATE(2013,7,10) + TIME(20,47,27)</f>
        <v>41465.866284722222</v>
      </c>
      <c r="C1239">
        <v>80</v>
      </c>
      <c r="D1239">
        <v>79.924690247000001</v>
      </c>
      <c r="E1239">
        <v>40</v>
      </c>
      <c r="F1239">
        <v>42.310691833</v>
      </c>
      <c r="G1239">
        <v>1335.7014160000001</v>
      </c>
      <c r="H1239">
        <v>1334.1500243999999</v>
      </c>
      <c r="I1239">
        <v>1328.5533447</v>
      </c>
      <c r="J1239">
        <v>1327.4324951000001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1167.866657</v>
      </c>
      <c r="B1240" s="1">
        <f>DATE(2013,7,11) + TIME(20,47,59)</f>
        <v>41466.866655092592</v>
      </c>
      <c r="C1240">
        <v>80</v>
      </c>
      <c r="D1240">
        <v>79.924652100000003</v>
      </c>
      <c r="E1240">
        <v>40</v>
      </c>
      <c r="F1240">
        <v>42.509704589999998</v>
      </c>
      <c r="G1240">
        <v>1335.6995850000001</v>
      </c>
      <c r="H1240">
        <v>1334.1500243999999</v>
      </c>
      <c r="I1240">
        <v>1328.5537108999999</v>
      </c>
      <c r="J1240">
        <v>1327.4309082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1168.867025</v>
      </c>
      <c r="B1241" s="1">
        <f>DATE(2013,7,12) + TIME(20,48,30)</f>
        <v>41467.867013888892</v>
      </c>
      <c r="C1241">
        <v>80</v>
      </c>
      <c r="D1241">
        <v>79.924613953000005</v>
      </c>
      <c r="E1241">
        <v>40</v>
      </c>
      <c r="F1241">
        <v>42.715900421000001</v>
      </c>
      <c r="G1241">
        <v>1335.697876</v>
      </c>
      <c r="H1241">
        <v>1334.1500243999999</v>
      </c>
      <c r="I1241">
        <v>1328.5543213000001</v>
      </c>
      <c r="J1241">
        <v>1327.4296875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1169.867393</v>
      </c>
      <c r="B1242" s="1">
        <f>DATE(2013,7,13) + TIME(20,49,2)</f>
        <v>41468.867384259262</v>
      </c>
      <c r="C1242">
        <v>80</v>
      </c>
      <c r="D1242">
        <v>79.924583435000002</v>
      </c>
      <c r="E1242">
        <v>40</v>
      </c>
      <c r="F1242">
        <v>42.929309844999999</v>
      </c>
      <c r="G1242">
        <v>1335.6961670000001</v>
      </c>
      <c r="H1242">
        <v>1334.1499022999999</v>
      </c>
      <c r="I1242">
        <v>1328.5549315999999</v>
      </c>
      <c r="J1242">
        <v>1327.4285889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1171.868129</v>
      </c>
      <c r="B1243" s="1">
        <f>DATE(2013,7,15) + TIME(20,50,6)</f>
        <v>41470.868125000001</v>
      </c>
      <c r="C1243">
        <v>80</v>
      </c>
      <c r="D1243">
        <v>79.924568175999994</v>
      </c>
      <c r="E1243">
        <v>40</v>
      </c>
      <c r="F1243">
        <v>43.284797668000003</v>
      </c>
      <c r="G1243">
        <v>1335.6944579999999</v>
      </c>
      <c r="H1243">
        <v>1334.1497803</v>
      </c>
      <c r="I1243">
        <v>1328.5539550999999</v>
      </c>
      <c r="J1243">
        <v>1327.4272461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1173.8720470000001</v>
      </c>
      <c r="B1244" s="1">
        <f>DATE(2013,7,17) + TIME(20,55,44)</f>
        <v>41472.872037037036</v>
      </c>
      <c r="C1244">
        <v>80</v>
      </c>
      <c r="D1244">
        <v>79.924530028999996</v>
      </c>
      <c r="E1244">
        <v>40</v>
      </c>
      <c r="F1244">
        <v>43.695880889999998</v>
      </c>
      <c r="G1244">
        <v>1335.6910399999999</v>
      </c>
      <c r="H1244">
        <v>1334.1496582</v>
      </c>
      <c r="I1244">
        <v>1328.5561522999999</v>
      </c>
      <c r="J1244">
        <v>1327.4259033000001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1175.9654029999999</v>
      </c>
      <c r="B1245" s="1">
        <f>DATE(2013,7,19) + TIME(23,10,10)</f>
        <v>41474.96539351852</v>
      </c>
      <c r="C1245">
        <v>80</v>
      </c>
      <c r="D1245">
        <v>79.924484253000003</v>
      </c>
      <c r="E1245">
        <v>40</v>
      </c>
      <c r="F1245">
        <v>44.159740448000001</v>
      </c>
      <c r="G1245">
        <v>1335.6878661999999</v>
      </c>
      <c r="H1245">
        <v>1334.1495361</v>
      </c>
      <c r="I1245">
        <v>1328.5583495999999</v>
      </c>
      <c r="J1245">
        <v>1327.4254149999999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1177.0619939999999</v>
      </c>
      <c r="B1246" s="1">
        <f>DATE(2013,7,21) + TIME(1,29,16)</f>
        <v>41476.061990740738</v>
      </c>
      <c r="C1246">
        <v>80</v>
      </c>
      <c r="D1246">
        <v>79.924423218000001</v>
      </c>
      <c r="E1246">
        <v>40</v>
      </c>
      <c r="F1246">
        <v>44.487060546999999</v>
      </c>
      <c r="G1246">
        <v>1335.6846923999999</v>
      </c>
      <c r="H1246">
        <v>1334.1494141000001</v>
      </c>
      <c r="I1246">
        <v>1328.5634766000001</v>
      </c>
      <c r="J1246">
        <v>1327.4261475000001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1179.1997960000001</v>
      </c>
      <c r="B1247" s="1">
        <f>DATE(2013,7,23) + TIME(4,47,42)</f>
        <v>41478.199791666666</v>
      </c>
      <c r="C1247">
        <v>80</v>
      </c>
      <c r="D1247">
        <v>79.924400329999997</v>
      </c>
      <c r="E1247">
        <v>40</v>
      </c>
      <c r="F1247">
        <v>44.998535156000003</v>
      </c>
      <c r="G1247">
        <v>1335.6828613</v>
      </c>
      <c r="H1247">
        <v>1334.1491699000001</v>
      </c>
      <c r="I1247">
        <v>1328.5623779</v>
      </c>
      <c r="J1247">
        <v>1327.4265137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1181.351263</v>
      </c>
      <c r="B1248" s="1">
        <f>DATE(2013,7,25) + TIME(8,25,49)</f>
        <v>41480.351261574076</v>
      </c>
      <c r="C1248">
        <v>80</v>
      </c>
      <c r="D1248">
        <v>79.924362183</v>
      </c>
      <c r="E1248">
        <v>40</v>
      </c>
      <c r="F1248">
        <v>45.545501709</v>
      </c>
      <c r="G1248">
        <v>1335.6796875</v>
      </c>
      <c r="H1248">
        <v>1334.1490478999999</v>
      </c>
      <c r="I1248">
        <v>1328.5656738</v>
      </c>
      <c r="J1248">
        <v>1327.4279785000001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1183.5376980000001</v>
      </c>
      <c r="B1249" s="1">
        <f>DATE(2013,7,27) + TIME(12,54,17)</f>
        <v>41482.53769675926</v>
      </c>
      <c r="C1249">
        <v>80</v>
      </c>
      <c r="D1249">
        <v>79.924324036000002</v>
      </c>
      <c r="E1249">
        <v>40</v>
      </c>
      <c r="F1249">
        <v>46.130840302000003</v>
      </c>
      <c r="G1249">
        <v>1335.6765137</v>
      </c>
      <c r="H1249">
        <v>1334.1488036999999</v>
      </c>
      <c r="I1249">
        <v>1328.5692139</v>
      </c>
      <c r="J1249">
        <v>1327.4301757999999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1185.7882239999999</v>
      </c>
      <c r="B1250" s="1">
        <f>DATE(2013,7,29) + TIME(18,55,2)</f>
        <v>41484.788217592592</v>
      </c>
      <c r="C1250">
        <v>80</v>
      </c>
      <c r="D1250">
        <v>79.924293517999999</v>
      </c>
      <c r="E1250">
        <v>40</v>
      </c>
      <c r="F1250">
        <v>46.758136749000002</v>
      </c>
      <c r="G1250">
        <v>1335.6734618999999</v>
      </c>
      <c r="H1250">
        <v>1334.1485596</v>
      </c>
      <c r="I1250">
        <v>1328.5732422000001</v>
      </c>
      <c r="J1250">
        <v>1327.4333495999999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1188</v>
      </c>
      <c r="B1251" s="1">
        <f>DATE(2013,8,1) + TIME(0,0,0)</f>
        <v>41487</v>
      </c>
      <c r="C1251">
        <v>80</v>
      </c>
      <c r="D1251">
        <v>79.924262999999996</v>
      </c>
      <c r="E1251">
        <v>40</v>
      </c>
      <c r="F1251">
        <v>47.409500121999997</v>
      </c>
      <c r="G1251">
        <v>1335.6704102000001</v>
      </c>
      <c r="H1251">
        <v>1334.1483154</v>
      </c>
      <c r="I1251">
        <v>1328.5777588000001</v>
      </c>
      <c r="J1251">
        <v>1327.4375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1190.330078</v>
      </c>
      <c r="B1252" s="1">
        <f>DATE(2013,8,3) + TIME(7,55,18)</f>
        <v>41489.330069444448</v>
      </c>
      <c r="C1252">
        <v>80</v>
      </c>
      <c r="D1252">
        <v>79.924232482999997</v>
      </c>
      <c r="E1252">
        <v>40</v>
      </c>
      <c r="F1252">
        <v>48.100311279000003</v>
      </c>
      <c r="G1252">
        <v>1335.6674805</v>
      </c>
      <c r="H1252">
        <v>1334.1479492000001</v>
      </c>
      <c r="I1252">
        <v>1328.5821533000001</v>
      </c>
      <c r="J1252">
        <v>1327.4423827999999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1192.7265179999999</v>
      </c>
      <c r="B1253" s="1">
        <f>DATE(2013,8,5) + TIME(17,26,11)</f>
        <v>41491.7265162037</v>
      </c>
      <c r="C1253">
        <v>80</v>
      </c>
      <c r="D1253">
        <v>79.924209594999994</v>
      </c>
      <c r="E1253">
        <v>40</v>
      </c>
      <c r="F1253">
        <v>48.822078705000003</v>
      </c>
      <c r="G1253">
        <v>1335.6644286999999</v>
      </c>
      <c r="H1253">
        <v>1334.1477050999999</v>
      </c>
      <c r="I1253">
        <v>1328.5872803</v>
      </c>
      <c r="J1253">
        <v>1327.4482422000001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1195.22038</v>
      </c>
      <c r="B1254" s="1">
        <f>DATE(2013,8,8) + TIME(5,17,20)</f>
        <v>41494.220370370371</v>
      </c>
      <c r="C1254">
        <v>80</v>
      </c>
      <c r="D1254">
        <v>79.924194335999999</v>
      </c>
      <c r="E1254">
        <v>40</v>
      </c>
      <c r="F1254">
        <v>49.572090148999997</v>
      </c>
      <c r="G1254">
        <v>1335.6613769999999</v>
      </c>
      <c r="H1254">
        <v>1334.1474608999999</v>
      </c>
      <c r="I1254">
        <v>1328.5927733999999</v>
      </c>
      <c r="J1254">
        <v>1327.4549560999999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1197.842238</v>
      </c>
      <c r="B1255" s="1">
        <f>DATE(2013,8,10) + TIME(20,12,49)</f>
        <v>41496.842233796298</v>
      </c>
      <c r="C1255">
        <v>80</v>
      </c>
      <c r="D1255">
        <v>79.924179077000005</v>
      </c>
      <c r="E1255">
        <v>40</v>
      </c>
      <c r="F1255">
        <v>50.349353790000002</v>
      </c>
      <c r="G1255">
        <v>1335.6584473</v>
      </c>
      <c r="H1255">
        <v>1334.1470947</v>
      </c>
      <c r="I1255">
        <v>1328.5988769999999</v>
      </c>
      <c r="J1255">
        <v>1327.4626464999999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1200.6008280000001</v>
      </c>
      <c r="B1256" s="1">
        <f>DATE(2013,8,13) + TIME(14,25,11)</f>
        <v>41499.600821759261</v>
      </c>
      <c r="C1256">
        <v>80</v>
      </c>
      <c r="D1256">
        <v>79.924171447999996</v>
      </c>
      <c r="E1256">
        <v>40</v>
      </c>
      <c r="F1256">
        <v>51.150722504000001</v>
      </c>
      <c r="G1256">
        <v>1335.6553954999999</v>
      </c>
      <c r="H1256">
        <v>1334.1467285000001</v>
      </c>
      <c r="I1256">
        <v>1328.6055908000001</v>
      </c>
      <c r="J1256">
        <v>1327.4713135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1203.4203990000001</v>
      </c>
      <c r="B1257" s="1">
        <f>DATE(2013,8,16) + TIME(10,5,22)</f>
        <v>41502.420393518521</v>
      </c>
      <c r="C1257">
        <v>80</v>
      </c>
      <c r="D1257">
        <v>79.924171447999996</v>
      </c>
      <c r="E1257">
        <v>40</v>
      </c>
      <c r="F1257">
        <v>51.959312439000001</v>
      </c>
      <c r="G1257">
        <v>1335.6522216999999</v>
      </c>
      <c r="H1257">
        <v>1334.1464844</v>
      </c>
      <c r="I1257">
        <v>1328.6130370999999</v>
      </c>
      <c r="J1257">
        <v>1327.480957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1206.335182</v>
      </c>
      <c r="B1258" s="1">
        <f>DATE(2013,8,19) + TIME(8,2,39)</f>
        <v>41505.335173611114</v>
      </c>
      <c r="C1258">
        <v>80</v>
      </c>
      <c r="D1258">
        <v>79.924171447999996</v>
      </c>
      <c r="E1258">
        <v>40</v>
      </c>
      <c r="F1258">
        <v>52.769714354999998</v>
      </c>
      <c r="G1258">
        <v>1335.6492920000001</v>
      </c>
      <c r="H1258">
        <v>1334.1461182</v>
      </c>
      <c r="I1258">
        <v>1328.6209716999999</v>
      </c>
      <c r="J1258">
        <v>1327.4915771000001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1209.3855209999999</v>
      </c>
      <c r="B1259" s="1">
        <f>DATE(2013,8,22) + TIME(9,15,8)</f>
        <v>41508.385509259257</v>
      </c>
      <c r="C1259">
        <v>80</v>
      </c>
      <c r="D1259">
        <v>79.924171447999996</v>
      </c>
      <c r="E1259">
        <v>40</v>
      </c>
      <c r="F1259">
        <v>53.581695557000003</v>
      </c>
      <c r="G1259">
        <v>1335.6462402</v>
      </c>
      <c r="H1259">
        <v>1334.145874</v>
      </c>
      <c r="I1259">
        <v>1328.6293945</v>
      </c>
      <c r="J1259">
        <v>1327.5030518000001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1212.5565429999999</v>
      </c>
      <c r="B1260" s="1">
        <f>DATE(2013,8,25) + TIME(13,21,25)</f>
        <v>41511.556539351855</v>
      </c>
      <c r="C1260">
        <v>80</v>
      </c>
      <c r="D1260">
        <v>79.924186707000004</v>
      </c>
      <c r="E1260">
        <v>40</v>
      </c>
      <c r="F1260">
        <v>54.390560149999999</v>
      </c>
      <c r="G1260">
        <v>1335.6431885</v>
      </c>
      <c r="H1260">
        <v>1334.1456298999999</v>
      </c>
      <c r="I1260">
        <v>1328.6385498</v>
      </c>
      <c r="J1260">
        <v>1327.5152588000001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1215.8731210000001</v>
      </c>
      <c r="B1261" s="1">
        <f>DATE(2013,8,28) + TIME(20,57,17)</f>
        <v>41514.873113425929</v>
      </c>
      <c r="C1261">
        <v>80</v>
      </c>
      <c r="D1261">
        <v>79.924201964999995</v>
      </c>
      <c r="E1261">
        <v>40</v>
      </c>
      <c r="F1261">
        <v>55.193767547999997</v>
      </c>
      <c r="G1261">
        <v>1335.6402588000001</v>
      </c>
      <c r="H1261">
        <v>1334.1452637</v>
      </c>
      <c r="I1261">
        <v>1328.6481934000001</v>
      </c>
      <c r="J1261">
        <v>1327.5283202999999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1219</v>
      </c>
      <c r="B1262" s="1">
        <f>DATE(2013,9,1) + TIME(0,0,0)</f>
        <v>41518</v>
      </c>
      <c r="C1262">
        <v>80</v>
      </c>
      <c r="D1262">
        <v>79.924209594999994</v>
      </c>
      <c r="E1262">
        <v>40</v>
      </c>
      <c r="F1262">
        <v>55.952339172000002</v>
      </c>
      <c r="G1262">
        <v>1335.6373291</v>
      </c>
      <c r="H1262">
        <v>1334.1450195</v>
      </c>
      <c r="I1262">
        <v>1328.6586914</v>
      </c>
      <c r="J1262">
        <v>1327.5421143000001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1222.402998</v>
      </c>
      <c r="B1263" s="1">
        <f>DATE(2013,9,4) + TIME(9,40,19)</f>
        <v>41521.402997685182</v>
      </c>
      <c r="C1263">
        <v>80</v>
      </c>
      <c r="D1263">
        <v>79.924240112000007</v>
      </c>
      <c r="E1263">
        <v>40</v>
      </c>
      <c r="F1263">
        <v>56.690204620000003</v>
      </c>
      <c r="G1263">
        <v>1335.6346435999999</v>
      </c>
      <c r="H1263">
        <v>1334.1447754000001</v>
      </c>
      <c r="I1263">
        <v>1328.6683350000001</v>
      </c>
      <c r="J1263">
        <v>1327.5559082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1226.101185</v>
      </c>
      <c r="B1264" s="1">
        <f>DATE(2013,9,8) + TIME(2,25,42)</f>
        <v>41525.101180555554</v>
      </c>
      <c r="C1264">
        <v>80</v>
      </c>
      <c r="D1264">
        <v>79.924278259000005</v>
      </c>
      <c r="E1264">
        <v>40</v>
      </c>
      <c r="F1264">
        <v>57.424343108999999</v>
      </c>
      <c r="G1264">
        <v>1335.6318358999999</v>
      </c>
      <c r="H1264">
        <v>1334.1445312000001</v>
      </c>
      <c r="I1264">
        <v>1328.6788329999999</v>
      </c>
      <c r="J1264">
        <v>1327.5699463000001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1229.958106</v>
      </c>
      <c r="B1265" s="1">
        <f>DATE(2013,9,11) + TIME(22,59,40)</f>
        <v>41528.958101851851</v>
      </c>
      <c r="C1265">
        <v>80</v>
      </c>
      <c r="D1265">
        <v>79.924316406000003</v>
      </c>
      <c r="E1265">
        <v>40</v>
      </c>
      <c r="F1265">
        <v>58.149925232000001</v>
      </c>
      <c r="G1265">
        <v>1335.6289062000001</v>
      </c>
      <c r="H1265">
        <v>1334.1444091999999</v>
      </c>
      <c r="I1265">
        <v>1328.6900635</v>
      </c>
      <c r="J1265">
        <v>1327.5848389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1233.869522</v>
      </c>
      <c r="B1266" s="1">
        <f>DATE(2013,9,15) + TIME(20,52,6)</f>
        <v>41532.869513888887</v>
      </c>
      <c r="C1266">
        <v>80</v>
      </c>
      <c r="D1266">
        <v>79.924362183</v>
      </c>
      <c r="E1266">
        <v>40</v>
      </c>
      <c r="F1266">
        <v>58.849769592000001</v>
      </c>
      <c r="G1266">
        <v>1335.6260986</v>
      </c>
      <c r="H1266">
        <v>1334.1441649999999</v>
      </c>
      <c r="I1266">
        <v>1328.7019043</v>
      </c>
      <c r="J1266">
        <v>1327.6002197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1237.881656</v>
      </c>
      <c r="B1267" s="1">
        <f>DATE(2013,9,19) + TIME(21,9,35)</f>
        <v>41536.881655092591</v>
      </c>
      <c r="C1267">
        <v>80</v>
      </c>
      <c r="D1267">
        <v>79.924407959000007</v>
      </c>
      <c r="E1267">
        <v>40</v>
      </c>
      <c r="F1267">
        <v>59.516574859999999</v>
      </c>
      <c r="G1267">
        <v>1335.6234131000001</v>
      </c>
      <c r="H1267">
        <v>1334.144043</v>
      </c>
      <c r="I1267">
        <v>1328.7137451000001</v>
      </c>
      <c r="J1267">
        <v>1327.6158447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1242.043226</v>
      </c>
      <c r="B1268" s="1">
        <f>DATE(2013,9,24) + TIME(1,2,14)</f>
        <v>41541.043217592596</v>
      </c>
      <c r="C1268">
        <v>80</v>
      </c>
      <c r="D1268">
        <v>79.924468993999994</v>
      </c>
      <c r="E1268">
        <v>40</v>
      </c>
      <c r="F1268">
        <v>60.152561188</v>
      </c>
      <c r="G1268">
        <v>1335.6207274999999</v>
      </c>
      <c r="H1268">
        <v>1334.1439209</v>
      </c>
      <c r="I1268">
        <v>1328.7257079999999</v>
      </c>
      <c r="J1268">
        <v>1327.6314697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1246.419265</v>
      </c>
      <c r="B1269" s="1">
        <f>DATE(2013,9,28) + TIME(10,3,44)</f>
        <v>41545.419259259259</v>
      </c>
      <c r="C1269">
        <v>80</v>
      </c>
      <c r="D1269">
        <v>79.924537658999995</v>
      </c>
      <c r="E1269">
        <v>40</v>
      </c>
      <c r="F1269">
        <v>60.763050079000003</v>
      </c>
      <c r="G1269">
        <v>1335.6181641000001</v>
      </c>
      <c r="H1269">
        <v>1334.1437988</v>
      </c>
      <c r="I1269">
        <v>1328.7375488</v>
      </c>
      <c r="J1269">
        <v>1327.6469727000001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1249</v>
      </c>
      <c r="B1270" s="1">
        <f>DATE(2013,10,1) + TIME(0,0,0)</f>
        <v>41548</v>
      </c>
      <c r="C1270">
        <v>80</v>
      </c>
      <c r="D1270">
        <v>79.924537658999995</v>
      </c>
      <c r="E1270">
        <v>40</v>
      </c>
      <c r="F1270">
        <v>61.227325438999998</v>
      </c>
      <c r="G1270">
        <v>1335.6157227000001</v>
      </c>
      <c r="H1270">
        <v>1334.1439209</v>
      </c>
      <c r="I1270">
        <v>1328.7508545000001</v>
      </c>
      <c r="J1270">
        <v>1327.6624756000001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1253.5219540000001</v>
      </c>
      <c r="B1271" s="1">
        <f>DATE(2013,10,5) + TIME(12,31,36)</f>
        <v>41552.521944444445</v>
      </c>
      <c r="C1271">
        <v>80</v>
      </c>
      <c r="D1271">
        <v>79.924636840999995</v>
      </c>
      <c r="E1271">
        <v>40</v>
      </c>
      <c r="F1271">
        <v>61.710178374999998</v>
      </c>
      <c r="G1271">
        <v>1335.6142577999999</v>
      </c>
      <c r="H1271">
        <v>1334.1437988</v>
      </c>
      <c r="I1271">
        <v>1328.7579346</v>
      </c>
      <c r="J1271">
        <v>1327.6745605000001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1258.2270820000001</v>
      </c>
      <c r="B1272" s="1">
        <f>DATE(2013,10,10) + TIME(5,26,59)</f>
        <v>41557.227071759262</v>
      </c>
      <c r="C1272">
        <v>80</v>
      </c>
      <c r="D1272">
        <v>79.924728393999999</v>
      </c>
      <c r="E1272">
        <v>40</v>
      </c>
      <c r="F1272">
        <v>62.214519500999998</v>
      </c>
      <c r="G1272">
        <v>1335.6118164</v>
      </c>
      <c r="H1272">
        <v>1334.1437988</v>
      </c>
      <c r="I1272">
        <v>1328.769043</v>
      </c>
      <c r="J1272">
        <v>1327.6875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1263.0410890000001</v>
      </c>
      <c r="B1273" s="1">
        <f>DATE(2013,10,15) + TIME(0,59,10)</f>
        <v>41562.041087962964</v>
      </c>
      <c r="C1273">
        <v>80</v>
      </c>
      <c r="D1273">
        <v>79.924812317000004</v>
      </c>
      <c r="E1273">
        <v>40</v>
      </c>
      <c r="F1273">
        <v>62.708602904999999</v>
      </c>
      <c r="G1273">
        <v>1335.609375</v>
      </c>
      <c r="H1273">
        <v>1334.1437988</v>
      </c>
      <c r="I1273">
        <v>1328.7806396000001</v>
      </c>
      <c r="J1273">
        <v>1327.7015381000001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1267.900617</v>
      </c>
      <c r="B1274" s="1">
        <f>DATE(2013,10,19) + TIME(21,36,53)</f>
        <v>41566.900613425925</v>
      </c>
      <c r="C1274">
        <v>80</v>
      </c>
      <c r="D1274">
        <v>79.924903869999994</v>
      </c>
      <c r="E1274">
        <v>40</v>
      </c>
      <c r="F1274">
        <v>63.177703856999997</v>
      </c>
      <c r="G1274">
        <v>1335.6070557</v>
      </c>
      <c r="H1274">
        <v>1334.1437988</v>
      </c>
      <c r="I1274">
        <v>1328.7922363</v>
      </c>
      <c r="J1274">
        <v>1327.7156981999999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1272.8524070000001</v>
      </c>
      <c r="B1275" s="1">
        <f>DATE(2013,10,24) + TIME(20,27,27)</f>
        <v>41571.852395833332</v>
      </c>
      <c r="C1275">
        <v>80</v>
      </c>
      <c r="D1275">
        <v>79.924995421999995</v>
      </c>
      <c r="E1275">
        <v>40</v>
      </c>
      <c r="F1275">
        <v>63.617115020999996</v>
      </c>
      <c r="G1275">
        <v>1335.6048584</v>
      </c>
      <c r="H1275">
        <v>1334.1437988</v>
      </c>
      <c r="I1275">
        <v>1328.8035889</v>
      </c>
      <c r="J1275">
        <v>1327.7296143000001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1277.94715</v>
      </c>
      <c r="B1276" s="1">
        <f>DATE(2013,10,29) + TIME(22,43,53)</f>
        <v>41576.947141203702</v>
      </c>
      <c r="C1276">
        <v>80</v>
      </c>
      <c r="D1276">
        <v>79.925102233999993</v>
      </c>
      <c r="E1276">
        <v>40</v>
      </c>
      <c r="F1276">
        <v>64.029502868999998</v>
      </c>
      <c r="G1276">
        <v>1335.6026611</v>
      </c>
      <c r="H1276">
        <v>1334.1439209</v>
      </c>
      <c r="I1276">
        <v>1328.8145752</v>
      </c>
      <c r="J1276">
        <v>1327.7429199000001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1280</v>
      </c>
      <c r="B1277" s="1">
        <f>DATE(2013,11,1) + TIME(0,0,0)</f>
        <v>41579</v>
      </c>
      <c r="C1277">
        <v>80</v>
      </c>
      <c r="D1277">
        <v>79.925102233999993</v>
      </c>
      <c r="E1277">
        <v>40</v>
      </c>
      <c r="F1277">
        <v>64.292358398000005</v>
      </c>
      <c r="G1277">
        <v>1335.6007079999999</v>
      </c>
      <c r="H1277">
        <v>1334.144043</v>
      </c>
      <c r="I1277">
        <v>1328.8264160000001</v>
      </c>
      <c r="J1277">
        <v>1327.7559814000001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1280.0000010000001</v>
      </c>
      <c r="B1278" s="1">
        <f>DATE(2013,11,1) + TIME(0,0,0)</f>
        <v>41579</v>
      </c>
      <c r="C1278">
        <v>80</v>
      </c>
      <c r="D1278">
        <v>79.925071716000005</v>
      </c>
      <c r="E1278">
        <v>40</v>
      </c>
      <c r="F1278">
        <v>64.292388915999993</v>
      </c>
      <c r="G1278">
        <v>1333.9345702999999</v>
      </c>
      <c r="H1278">
        <v>1333.8957519999999</v>
      </c>
      <c r="I1278">
        <v>1330.2421875</v>
      </c>
      <c r="J1278">
        <v>1329.0914307</v>
      </c>
      <c r="K1278">
        <v>0</v>
      </c>
      <c r="L1278">
        <v>550</v>
      </c>
      <c r="M1278">
        <v>550</v>
      </c>
      <c r="N1278">
        <v>0</v>
      </c>
    </row>
    <row r="1279" spans="1:14" x14ac:dyDescent="0.25">
      <c r="A1279">
        <v>1280.000004</v>
      </c>
      <c r="B1279" s="1">
        <f>DATE(2013,11,1) + TIME(0,0,0)</f>
        <v>41579</v>
      </c>
      <c r="C1279">
        <v>80</v>
      </c>
      <c r="D1279">
        <v>79.925018311000002</v>
      </c>
      <c r="E1279">
        <v>40</v>
      </c>
      <c r="F1279">
        <v>64.292419433999996</v>
      </c>
      <c r="G1279">
        <v>1333.5803223</v>
      </c>
      <c r="H1279">
        <v>1333.5551757999999</v>
      </c>
      <c r="I1279">
        <v>1330.6297606999999</v>
      </c>
      <c r="J1279">
        <v>1329.5537108999999</v>
      </c>
      <c r="K1279">
        <v>0</v>
      </c>
      <c r="L1279">
        <v>550</v>
      </c>
      <c r="M1279">
        <v>550</v>
      </c>
      <c r="N1279">
        <v>0</v>
      </c>
    </row>
    <row r="1280" spans="1:14" x14ac:dyDescent="0.25">
      <c r="A1280">
        <v>1280.0000130000001</v>
      </c>
      <c r="B1280" s="1">
        <f>DATE(2013,11,1) + TIME(0,0,1)</f>
        <v>41579.000011574077</v>
      </c>
      <c r="C1280">
        <v>80</v>
      </c>
      <c r="D1280">
        <v>79.924957274999997</v>
      </c>
      <c r="E1280">
        <v>40</v>
      </c>
      <c r="F1280">
        <v>64.292404175000001</v>
      </c>
      <c r="G1280">
        <v>1333.1383057</v>
      </c>
      <c r="H1280">
        <v>1333.0979004000001</v>
      </c>
      <c r="I1280">
        <v>1331.2104492000001</v>
      </c>
      <c r="J1280">
        <v>1330.1495361</v>
      </c>
      <c r="K1280">
        <v>0</v>
      </c>
      <c r="L1280">
        <v>550</v>
      </c>
      <c r="M1280">
        <v>550</v>
      </c>
      <c r="N1280">
        <v>0</v>
      </c>
    </row>
    <row r="1281" spans="1:14" x14ac:dyDescent="0.25">
      <c r="A1281">
        <v>1280.0000399999999</v>
      </c>
      <c r="B1281" s="1">
        <f>DATE(2013,11,1) + TIME(0,0,3)</f>
        <v>41579.000034722223</v>
      </c>
      <c r="C1281">
        <v>80</v>
      </c>
      <c r="D1281">
        <v>79.924888611</v>
      </c>
      <c r="E1281">
        <v>40</v>
      </c>
      <c r="F1281">
        <v>64.292213439999998</v>
      </c>
      <c r="G1281">
        <v>1332.6685791</v>
      </c>
      <c r="H1281">
        <v>1332.5955810999999</v>
      </c>
      <c r="I1281">
        <v>1331.8760986</v>
      </c>
      <c r="J1281">
        <v>1330.7938231999999</v>
      </c>
      <c r="K1281">
        <v>0</v>
      </c>
      <c r="L1281">
        <v>550</v>
      </c>
      <c r="M1281">
        <v>550</v>
      </c>
      <c r="N1281">
        <v>0</v>
      </c>
    </row>
    <row r="1282" spans="1:14" x14ac:dyDescent="0.25">
      <c r="A1282">
        <v>1280.000121</v>
      </c>
      <c r="B1282" s="1">
        <f>DATE(2013,11,1) + TIME(0,0,10)</f>
        <v>41579.000115740739</v>
      </c>
      <c r="C1282">
        <v>80</v>
      </c>
      <c r="D1282">
        <v>79.924819946</v>
      </c>
      <c r="E1282">
        <v>40</v>
      </c>
      <c r="F1282">
        <v>64.291435242000006</v>
      </c>
      <c r="G1282">
        <v>1332.1883545000001</v>
      </c>
      <c r="H1282">
        <v>1332.0788574000001</v>
      </c>
      <c r="I1282">
        <v>1332.5457764</v>
      </c>
      <c r="J1282">
        <v>1331.4376221</v>
      </c>
      <c r="K1282">
        <v>0</v>
      </c>
      <c r="L1282">
        <v>550</v>
      </c>
      <c r="M1282">
        <v>550</v>
      </c>
      <c r="N1282">
        <v>0</v>
      </c>
    </row>
    <row r="1283" spans="1:14" x14ac:dyDescent="0.25">
      <c r="A1283">
        <v>1280.000364</v>
      </c>
      <c r="B1283" s="1">
        <f>DATE(2013,11,1) + TIME(0,0,31)</f>
        <v>41579.000358796293</v>
      </c>
      <c r="C1283">
        <v>80</v>
      </c>
      <c r="D1283">
        <v>79.924736022999994</v>
      </c>
      <c r="E1283">
        <v>40</v>
      </c>
      <c r="F1283">
        <v>64.288848877000007</v>
      </c>
      <c r="G1283">
        <v>1331.7346190999999</v>
      </c>
      <c r="H1283">
        <v>1331.5866699000001</v>
      </c>
      <c r="I1283">
        <v>1333.1654053</v>
      </c>
      <c r="J1283">
        <v>1332.0211182</v>
      </c>
      <c r="K1283">
        <v>0</v>
      </c>
      <c r="L1283">
        <v>550</v>
      </c>
      <c r="M1283">
        <v>550</v>
      </c>
      <c r="N1283">
        <v>0</v>
      </c>
    </row>
    <row r="1284" spans="1:14" x14ac:dyDescent="0.25">
      <c r="A1284">
        <v>1280.0010930000001</v>
      </c>
      <c r="B1284" s="1">
        <f>DATE(2013,11,1) + TIME(0,1,34)</f>
        <v>41579.001087962963</v>
      </c>
      <c r="C1284">
        <v>80</v>
      </c>
      <c r="D1284">
        <v>79.924636840999995</v>
      </c>
      <c r="E1284">
        <v>40</v>
      </c>
      <c r="F1284">
        <v>64.28062439</v>
      </c>
      <c r="G1284">
        <v>1331.3858643000001</v>
      </c>
      <c r="H1284">
        <v>1331.2084961</v>
      </c>
      <c r="I1284">
        <v>1333.6424560999999</v>
      </c>
      <c r="J1284">
        <v>1332.4587402</v>
      </c>
      <c r="K1284">
        <v>0</v>
      </c>
      <c r="L1284">
        <v>550</v>
      </c>
      <c r="M1284">
        <v>550</v>
      </c>
      <c r="N1284">
        <v>0</v>
      </c>
    </row>
    <row r="1285" spans="1:14" x14ac:dyDescent="0.25">
      <c r="A1285">
        <v>1280.0032799999999</v>
      </c>
      <c r="B1285" s="1">
        <f>DATE(2013,11,1) + TIME(0,4,43)</f>
        <v>41579.003275462965</v>
      </c>
      <c r="C1285">
        <v>80</v>
      </c>
      <c r="D1285">
        <v>79.924453735</v>
      </c>
      <c r="E1285">
        <v>40</v>
      </c>
      <c r="F1285">
        <v>64.255325317</v>
      </c>
      <c r="G1285">
        <v>1331.1787108999999</v>
      </c>
      <c r="H1285">
        <v>1330.9876709</v>
      </c>
      <c r="I1285">
        <v>1333.9266356999999</v>
      </c>
      <c r="J1285">
        <v>1332.7174072</v>
      </c>
      <c r="K1285">
        <v>0</v>
      </c>
      <c r="L1285">
        <v>550</v>
      </c>
      <c r="M1285">
        <v>550</v>
      </c>
      <c r="N1285">
        <v>0</v>
      </c>
    </row>
    <row r="1286" spans="1:14" x14ac:dyDescent="0.25">
      <c r="A1286">
        <v>1280.0098410000001</v>
      </c>
      <c r="B1286" s="1">
        <f>DATE(2013,11,1) + TIME(0,14,10)</f>
        <v>41579.009837962964</v>
      </c>
      <c r="C1286">
        <v>80</v>
      </c>
      <c r="D1286">
        <v>79.923965453999998</v>
      </c>
      <c r="E1286">
        <v>40</v>
      </c>
      <c r="F1286">
        <v>64.179000853999995</v>
      </c>
      <c r="G1286">
        <v>1331.0794678</v>
      </c>
      <c r="H1286">
        <v>1330.8843993999999</v>
      </c>
      <c r="I1286">
        <v>1334.0515137</v>
      </c>
      <c r="J1286">
        <v>1332.831543</v>
      </c>
      <c r="K1286">
        <v>0</v>
      </c>
      <c r="L1286">
        <v>550</v>
      </c>
      <c r="M1286">
        <v>550</v>
      </c>
      <c r="N1286">
        <v>0</v>
      </c>
    </row>
    <row r="1287" spans="1:14" x14ac:dyDescent="0.25">
      <c r="A1287">
        <v>1280.029524</v>
      </c>
      <c r="B1287" s="1">
        <f>DATE(2013,11,1) + TIME(0,42,30)</f>
        <v>41579.029513888891</v>
      </c>
      <c r="C1287">
        <v>80</v>
      </c>
      <c r="D1287">
        <v>79.922546386999997</v>
      </c>
      <c r="E1287">
        <v>40</v>
      </c>
      <c r="F1287">
        <v>63.952232361</v>
      </c>
      <c r="G1287">
        <v>1331.0435791</v>
      </c>
      <c r="H1287">
        <v>1330.8474120999999</v>
      </c>
      <c r="I1287">
        <v>1334.0820312000001</v>
      </c>
      <c r="J1287">
        <v>1332.8583983999999</v>
      </c>
      <c r="K1287">
        <v>0</v>
      </c>
      <c r="L1287">
        <v>550</v>
      </c>
      <c r="M1287">
        <v>550</v>
      </c>
      <c r="N1287">
        <v>0</v>
      </c>
    </row>
    <row r="1288" spans="1:14" x14ac:dyDescent="0.25">
      <c r="A1288">
        <v>1280.088573</v>
      </c>
      <c r="B1288" s="1">
        <f>DATE(2013,11,1) + TIME(2,7,32)</f>
        <v>41579.088564814818</v>
      </c>
      <c r="C1288">
        <v>80</v>
      </c>
      <c r="D1288">
        <v>79.918319702000005</v>
      </c>
      <c r="E1288">
        <v>40</v>
      </c>
      <c r="F1288">
        <v>63.295322417999998</v>
      </c>
      <c r="G1288">
        <v>1331.0340576000001</v>
      </c>
      <c r="H1288">
        <v>1330.8367920000001</v>
      </c>
      <c r="I1288">
        <v>1334.0814209</v>
      </c>
      <c r="J1288">
        <v>1332.8544922000001</v>
      </c>
      <c r="K1288">
        <v>0</v>
      </c>
      <c r="L1288">
        <v>550</v>
      </c>
      <c r="M1288">
        <v>550</v>
      </c>
      <c r="N1288">
        <v>0</v>
      </c>
    </row>
    <row r="1289" spans="1:14" x14ac:dyDescent="0.25">
      <c r="A1289">
        <v>1280.1784620000001</v>
      </c>
      <c r="B1289" s="1">
        <f>DATE(2013,11,1) + TIME(4,16,59)</f>
        <v>41579.178460648145</v>
      </c>
      <c r="C1289">
        <v>80</v>
      </c>
      <c r="D1289">
        <v>79.911888122999997</v>
      </c>
      <c r="E1289">
        <v>40</v>
      </c>
      <c r="F1289">
        <v>62.348640441999997</v>
      </c>
      <c r="G1289">
        <v>1331.0277100000001</v>
      </c>
      <c r="H1289">
        <v>1330.8276367000001</v>
      </c>
      <c r="I1289">
        <v>1334.0714111</v>
      </c>
      <c r="J1289">
        <v>1332.8430175999999</v>
      </c>
      <c r="K1289">
        <v>0</v>
      </c>
      <c r="L1289">
        <v>550</v>
      </c>
      <c r="M1289">
        <v>550</v>
      </c>
      <c r="N1289">
        <v>0</v>
      </c>
    </row>
    <row r="1290" spans="1:14" x14ac:dyDescent="0.25">
      <c r="A1290">
        <v>1280.2734150000001</v>
      </c>
      <c r="B1290" s="1">
        <f>DATE(2013,11,1) + TIME(6,33,43)</f>
        <v>41579.273414351854</v>
      </c>
      <c r="C1290">
        <v>80</v>
      </c>
      <c r="D1290">
        <v>79.905082703000005</v>
      </c>
      <c r="E1290">
        <v>40</v>
      </c>
      <c r="F1290">
        <v>61.405586243000002</v>
      </c>
      <c r="G1290">
        <v>1331.0198975000001</v>
      </c>
      <c r="H1290">
        <v>1330.8160399999999</v>
      </c>
      <c r="I1290">
        <v>1334.0565185999999</v>
      </c>
      <c r="J1290">
        <v>1332.8292236</v>
      </c>
      <c r="K1290">
        <v>0</v>
      </c>
      <c r="L1290">
        <v>550</v>
      </c>
      <c r="M1290">
        <v>550</v>
      </c>
      <c r="N1290">
        <v>0</v>
      </c>
    </row>
    <row r="1291" spans="1:14" x14ac:dyDescent="0.25">
      <c r="A1291">
        <v>1280.3741</v>
      </c>
      <c r="B1291" s="1">
        <f>DATE(2013,11,1) + TIME(8,58,42)</f>
        <v>41579.374097222222</v>
      </c>
      <c r="C1291">
        <v>80</v>
      </c>
      <c r="D1291">
        <v>79.897842406999999</v>
      </c>
      <c r="E1291">
        <v>40</v>
      </c>
      <c r="F1291">
        <v>60.464160919000001</v>
      </c>
      <c r="G1291">
        <v>1331.0119629000001</v>
      </c>
      <c r="H1291">
        <v>1330.8040771000001</v>
      </c>
      <c r="I1291">
        <v>1334.0418701000001</v>
      </c>
      <c r="J1291">
        <v>1332.8154297000001</v>
      </c>
      <c r="K1291">
        <v>0</v>
      </c>
      <c r="L1291">
        <v>550</v>
      </c>
      <c r="M1291">
        <v>550</v>
      </c>
      <c r="N1291">
        <v>0</v>
      </c>
    </row>
    <row r="1292" spans="1:14" x14ac:dyDescent="0.25">
      <c r="A1292">
        <v>1280.4810500000001</v>
      </c>
      <c r="B1292" s="1">
        <f>DATE(2013,11,1) + TIME(11,32,42)</f>
        <v>41579.481041666666</v>
      </c>
      <c r="C1292">
        <v>80</v>
      </c>
      <c r="D1292">
        <v>79.890136718999997</v>
      </c>
      <c r="E1292">
        <v>40</v>
      </c>
      <c r="F1292">
        <v>59.524337768999999</v>
      </c>
      <c r="G1292">
        <v>1331.0037841999999</v>
      </c>
      <c r="H1292">
        <v>1330.7919922000001</v>
      </c>
      <c r="I1292">
        <v>1334.0272216999999</v>
      </c>
      <c r="J1292">
        <v>1332.8016356999999</v>
      </c>
      <c r="K1292">
        <v>0</v>
      </c>
      <c r="L1292">
        <v>550</v>
      </c>
      <c r="M1292">
        <v>550</v>
      </c>
      <c r="N1292">
        <v>0</v>
      </c>
    </row>
    <row r="1293" spans="1:14" x14ac:dyDescent="0.25">
      <c r="A1293">
        <v>1280.593967</v>
      </c>
      <c r="B1293" s="1">
        <f>DATE(2013,11,1) + TIME(14,15,18)</f>
        <v>41579.593958333331</v>
      </c>
      <c r="C1293">
        <v>80</v>
      </c>
      <c r="D1293">
        <v>79.881980896000002</v>
      </c>
      <c r="E1293">
        <v>40</v>
      </c>
      <c r="F1293">
        <v>58.593524932999998</v>
      </c>
      <c r="G1293">
        <v>1330.9953613</v>
      </c>
      <c r="H1293">
        <v>1330.7795410000001</v>
      </c>
      <c r="I1293">
        <v>1334.0125731999999</v>
      </c>
      <c r="J1293">
        <v>1332.7879639</v>
      </c>
      <c r="K1293">
        <v>0</v>
      </c>
      <c r="L1293">
        <v>550</v>
      </c>
      <c r="M1293">
        <v>550</v>
      </c>
      <c r="N1293">
        <v>0</v>
      </c>
    </row>
    <row r="1294" spans="1:14" x14ac:dyDescent="0.25">
      <c r="A1294">
        <v>1280.7124980000001</v>
      </c>
      <c r="B1294" s="1">
        <f>DATE(2013,11,1) + TIME(17,5,59)</f>
        <v>41579.712488425925</v>
      </c>
      <c r="C1294">
        <v>80</v>
      </c>
      <c r="D1294">
        <v>79.873405457000004</v>
      </c>
      <c r="E1294">
        <v>40</v>
      </c>
      <c r="F1294">
        <v>57.678642273000001</v>
      </c>
      <c r="G1294">
        <v>1330.9868164</v>
      </c>
      <c r="H1294">
        <v>1330.7668457</v>
      </c>
      <c r="I1294">
        <v>1333.9982910000001</v>
      </c>
      <c r="J1294">
        <v>1332.7745361</v>
      </c>
      <c r="K1294">
        <v>0</v>
      </c>
      <c r="L1294">
        <v>550</v>
      </c>
      <c r="M1294">
        <v>550</v>
      </c>
      <c r="N1294">
        <v>0</v>
      </c>
    </row>
    <row r="1295" spans="1:14" x14ac:dyDescent="0.25">
      <c r="A1295">
        <v>1280.837092</v>
      </c>
      <c r="B1295" s="1">
        <f>DATE(2013,11,1) + TIME(20,5,24)</f>
        <v>41579.837083333332</v>
      </c>
      <c r="C1295">
        <v>80</v>
      </c>
      <c r="D1295">
        <v>79.864372252999999</v>
      </c>
      <c r="E1295">
        <v>40</v>
      </c>
      <c r="F1295">
        <v>56.779632567999997</v>
      </c>
      <c r="G1295">
        <v>1330.9781493999999</v>
      </c>
      <c r="H1295">
        <v>1330.7539062000001</v>
      </c>
      <c r="I1295">
        <v>1333.984375</v>
      </c>
      <c r="J1295">
        <v>1332.7614745999999</v>
      </c>
      <c r="K1295">
        <v>0</v>
      </c>
      <c r="L1295">
        <v>550</v>
      </c>
      <c r="M1295">
        <v>550</v>
      </c>
      <c r="N1295">
        <v>0</v>
      </c>
    </row>
    <row r="1296" spans="1:14" x14ac:dyDescent="0.25">
      <c r="A1296">
        <v>1280.968206</v>
      </c>
      <c r="B1296" s="1">
        <f>DATE(2013,11,1) + TIME(23,14,13)</f>
        <v>41579.968206018515</v>
      </c>
      <c r="C1296">
        <v>80</v>
      </c>
      <c r="D1296">
        <v>79.854858398000005</v>
      </c>
      <c r="E1296">
        <v>40</v>
      </c>
      <c r="F1296">
        <v>55.896732329999999</v>
      </c>
      <c r="G1296">
        <v>1330.9693603999999</v>
      </c>
      <c r="H1296">
        <v>1330.7408447</v>
      </c>
      <c r="I1296">
        <v>1333.9708252</v>
      </c>
      <c r="J1296">
        <v>1332.7486572</v>
      </c>
      <c r="K1296">
        <v>0</v>
      </c>
      <c r="L1296">
        <v>550</v>
      </c>
      <c r="M1296">
        <v>550</v>
      </c>
      <c r="N1296">
        <v>0</v>
      </c>
    </row>
    <row r="1297" spans="1:14" x14ac:dyDescent="0.25">
      <c r="A1297">
        <v>1281.106362</v>
      </c>
      <c r="B1297" s="1">
        <f>DATE(2013,11,2) + TIME(2,33,9)</f>
        <v>41580.106354166666</v>
      </c>
      <c r="C1297">
        <v>80</v>
      </c>
      <c r="D1297">
        <v>79.844810486</v>
      </c>
      <c r="E1297">
        <v>40</v>
      </c>
      <c r="F1297">
        <v>55.030120850000003</v>
      </c>
      <c r="G1297">
        <v>1330.9604492000001</v>
      </c>
      <c r="H1297">
        <v>1330.7276611</v>
      </c>
      <c r="I1297">
        <v>1333.9576416</v>
      </c>
      <c r="J1297">
        <v>1332.7360839999999</v>
      </c>
      <c r="K1297">
        <v>0</v>
      </c>
      <c r="L1297">
        <v>550</v>
      </c>
      <c r="M1297">
        <v>550</v>
      </c>
      <c r="N1297">
        <v>0</v>
      </c>
    </row>
    <row r="1298" spans="1:14" x14ac:dyDescent="0.25">
      <c r="A1298">
        <v>1281.252142</v>
      </c>
      <c r="B1298" s="1">
        <f>DATE(2013,11,2) + TIME(6,3,5)</f>
        <v>41580.252141203702</v>
      </c>
      <c r="C1298">
        <v>80</v>
      </c>
      <c r="D1298">
        <v>79.834205627000003</v>
      </c>
      <c r="E1298">
        <v>40</v>
      </c>
      <c r="F1298">
        <v>54.180000305</v>
      </c>
      <c r="G1298">
        <v>1330.9514160000001</v>
      </c>
      <c r="H1298">
        <v>1330.7142334</v>
      </c>
      <c r="I1298">
        <v>1333.9448242000001</v>
      </c>
      <c r="J1298">
        <v>1332.7238769999999</v>
      </c>
      <c r="K1298">
        <v>0</v>
      </c>
      <c r="L1298">
        <v>550</v>
      </c>
      <c r="M1298">
        <v>550</v>
      </c>
      <c r="N1298">
        <v>0</v>
      </c>
    </row>
    <row r="1299" spans="1:14" x14ac:dyDescent="0.25">
      <c r="A1299">
        <v>1281.4061899999999</v>
      </c>
      <c r="B1299" s="1">
        <f>DATE(2013,11,2) + TIME(9,44,54)</f>
        <v>41580.406180555554</v>
      </c>
      <c r="C1299">
        <v>80</v>
      </c>
      <c r="D1299">
        <v>79.822990417</v>
      </c>
      <c r="E1299">
        <v>40</v>
      </c>
      <c r="F1299">
        <v>53.346637725999997</v>
      </c>
      <c r="G1299">
        <v>1330.9421387</v>
      </c>
      <c r="H1299">
        <v>1330.7005615</v>
      </c>
      <c r="I1299">
        <v>1333.9324951000001</v>
      </c>
      <c r="J1299">
        <v>1332.7119141000001</v>
      </c>
      <c r="K1299">
        <v>0</v>
      </c>
      <c r="L1299">
        <v>550</v>
      </c>
      <c r="M1299">
        <v>550</v>
      </c>
      <c r="N1299">
        <v>0</v>
      </c>
    </row>
    <row r="1300" spans="1:14" x14ac:dyDescent="0.25">
      <c r="A1300">
        <v>1281.569156</v>
      </c>
      <c r="B1300" s="1">
        <f>DATE(2013,11,2) + TIME(13,39,35)</f>
        <v>41580.569155092591</v>
      </c>
      <c r="C1300">
        <v>80</v>
      </c>
      <c r="D1300">
        <v>79.811126709000007</v>
      </c>
      <c r="E1300">
        <v>40</v>
      </c>
      <c r="F1300">
        <v>52.530689240000001</v>
      </c>
      <c r="G1300">
        <v>1330.9327393000001</v>
      </c>
      <c r="H1300">
        <v>1330.6866454999999</v>
      </c>
      <c r="I1300">
        <v>1333.9205322</v>
      </c>
      <c r="J1300">
        <v>1332.7003173999999</v>
      </c>
      <c r="K1300">
        <v>0</v>
      </c>
      <c r="L1300">
        <v>550</v>
      </c>
      <c r="M1300">
        <v>550</v>
      </c>
      <c r="N1300">
        <v>0</v>
      </c>
    </row>
    <row r="1301" spans="1:14" x14ac:dyDescent="0.25">
      <c r="A1301">
        <v>1281.741845</v>
      </c>
      <c r="B1301" s="1">
        <f>DATE(2013,11,2) + TIME(17,48,15)</f>
        <v>41580.741840277777</v>
      </c>
      <c r="C1301">
        <v>80</v>
      </c>
      <c r="D1301">
        <v>79.798561096</v>
      </c>
      <c r="E1301">
        <v>40</v>
      </c>
      <c r="F1301">
        <v>51.732460021999998</v>
      </c>
      <c r="G1301">
        <v>1330.9232178</v>
      </c>
      <c r="H1301">
        <v>1330.6724853999999</v>
      </c>
      <c r="I1301">
        <v>1333.9090576000001</v>
      </c>
      <c r="J1301">
        <v>1332.6890868999999</v>
      </c>
      <c r="K1301">
        <v>0</v>
      </c>
      <c r="L1301">
        <v>550</v>
      </c>
      <c r="M1301">
        <v>550</v>
      </c>
      <c r="N1301">
        <v>0</v>
      </c>
    </row>
    <row r="1302" spans="1:14" x14ac:dyDescent="0.25">
      <c r="A1302">
        <v>1281.9251899999999</v>
      </c>
      <c r="B1302" s="1">
        <f>DATE(2013,11,2) + TIME(22,12,16)</f>
        <v>41580.925185185188</v>
      </c>
      <c r="C1302">
        <v>80</v>
      </c>
      <c r="D1302">
        <v>79.785217285000002</v>
      </c>
      <c r="E1302">
        <v>40</v>
      </c>
      <c r="F1302">
        <v>50.952209473000003</v>
      </c>
      <c r="G1302">
        <v>1330.9134521000001</v>
      </c>
      <c r="H1302">
        <v>1330.6580810999999</v>
      </c>
      <c r="I1302">
        <v>1333.8981934000001</v>
      </c>
      <c r="J1302">
        <v>1332.6782227000001</v>
      </c>
      <c r="K1302">
        <v>0</v>
      </c>
      <c r="L1302">
        <v>550</v>
      </c>
      <c r="M1302">
        <v>550</v>
      </c>
      <c r="N1302">
        <v>0</v>
      </c>
    </row>
    <row r="1303" spans="1:14" x14ac:dyDescent="0.25">
      <c r="A1303">
        <v>1282.120193</v>
      </c>
      <c r="B1303" s="1">
        <f>DATE(2013,11,3) + TIME(2,53,4)</f>
        <v>41581.120185185187</v>
      </c>
      <c r="C1303">
        <v>80</v>
      </c>
      <c r="D1303">
        <v>79.771049500000004</v>
      </c>
      <c r="E1303">
        <v>40</v>
      </c>
      <c r="F1303">
        <v>50.190494536999999</v>
      </c>
      <c r="G1303">
        <v>1330.9034423999999</v>
      </c>
      <c r="H1303">
        <v>1330.6433105000001</v>
      </c>
      <c r="I1303">
        <v>1333.8876952999999</v>
      </c>
      <c r="J1303">
        <v>1332.6677245999999</v>
      </c>
      <c r="K1303">
        <v>0</v>
      </c>
      <c r="L1303">
        <v>550</v>
      </c>
      <c r="M1303">
        <v>550</v>
      </c>
      <c r="N1303">
        <v>0</v>
      </c>
    </row>
    <row r="1304" spans="1:14" x14ac:dyDescent="0.25">
      <c r="A1304">
        <v>1282.3279700000001</v>
      </c>
      <c r="B1304" s="1">
        <f>DATE(2013,11,3) + TIME(7,52,16)</f>
        <v>41581.327962962961</v>
      </c>
      <c r="C1304">
        <v>80</v>
      </c>
      <c r="D1304">
        <v>79.755973815999994</v>
      </c>
      <c r="E1304">
        <v>40</v>
      </c>
      <c r="F1304">
        <v>49.447708130000002</v>
      </c>
      <c r="G1304">
        <v>1330.8931885</v>
      </c>
      <c r="H1304">
        <v>1330.6281738</v>
      </c>
      <c r="I1304">
        <v>1333.8778076000001</v>
      </c>
      <c r="J1304">
        <v>1332.6575928</v>
      </c>
      <c r="K1304">
        <v>0</v>
      </c>
      <c r="L1304">
        <v>550</v>
      </c>
      <c r="M1304">
        <v>550</v>
      </c>
      <c r="N1304">
        <v>0</v>
      </c>
    </row>
    <row r="1305" spans="1:14" x14ac:dyDescent="0.25">
      <c r="A1305">
        <v>1282.5497829999999</v>
      </c>
      <c r="B1305" s="1">
        <f>DATE(2013,11,3) + TIME(13,11,41)</f>
        <v>41581.549780092595</v>
      </c>
      <c r="C1305">
        <v>80</v>
      </c>
      <c r="D1305">
        <v>79.739913939999994</v>
      </c>
      <c r="E1305">
        <v>40</v>
      </c>
      <c r="F1305">
        <v>48.724773407000001</v>
      </c>
      <c r="G1305">
        <v>1330.8826904</v>
      </c>
      <c r="H1305">
        <v>1330.6126709</v>
      </c>
      <c r="I1305">
        <v>1333.8684082</v>
      </c>
      <c r="J1305">
        <v>1332.6477050999999</v>
      </c>
      <c r="K1305">
        <v>0</v>
      </c>
      <c r="L1305">
        <v>550</v>
      </c>
      <c r="M1305">
        <v>550</v>
      </c>
      <c r="N1305">
        <v>0</v>
      </c>
    </row>
    <row r="1306" spans="1:14" x14ac:dyDescent="0.25">
      <c r="A1306">
        <v>1282.787049</v>
      </c>
      <c r="B1306" s="1">
        <f>DATE(2013,11,3) + TIME(18,53,20)</f>
        <v>41581.787037037036</v>
      </c>
      <c r="C1306">
        <v>80</v>
      </c>
      <c r="D1306">
        <v>79.722778320000003</v>
      </c>
      <c r="E1306">
        <v>40</v>
      </c>
      <c r="F1306">
        <v>48.022636413999997</v>
      </c>
      <c r="G1306">
        <v>1330.8719481999999</v>
      </c>
      <c r="H1306">
        <v>1330.5968018000001</v>
      </c>
      <c r="I1306">
        <v>1333.8596190999999</v>
      </c>
      <c r="J1306">
        <v>1332.6384277</v>
      </c>
      <c r="K1306">
        <v>0</v>
      </c>
      <c r="L1306">
        <v>550</v>
      </c>
      <c r="M1306">
        <v>550</v>
      </c>
      <c r="N1306">
        <v>0</v>
      </c>
    </row>
    <row r="1307" spans="1:14" x14ac:dyDescent="0.25">
      <c r="A1307">
        <v>1283.0413699999999</v>
      </c>
      <c r="B1307" s="1">
        <f>DATE(2013,11,4) + TIME(0,59,34)</f>
        <v>41582.041365740741</v>
      </c>
      <c r="C1307">
        <v>80</v>
      </c>
      <c r="D1307">
        <v>79.704483031999999</v>
      </c>
      <c r="E1307">
        <v>40</v>
      </c>
      <c r="F1307">
        <v>47.342277527</v>
      </c>
      <c r="G1307">
        <v>1330.8608397999999</v>
      </c>
      <c r="H1307">
        <v>1330.5804443</v>
      </c>
      <c r="I1307">
        <v>1333.8513184000001</v>
      </c>
      <c r="J1307">
        <v>1332.6293945</v>
      </c>
      <c r="K1307">
        <v>0</v>
      </c>
      <c r="L1307">
        <v>550</v>
      </c>
      <c r="M1307">
        <v>550</v>
      </c>
      <c r="N1307">
        <v>0</v>
      </c>
    </row>
    <row r="1308" spans="1:14" x14ac:dyDescent="0.25">
      <c r="A1308">
        <v>1283.314562</v>
      </c>
      <c r="B1308" s="1">
        <f>DATE(2013,11,4) + TIME(7,32,58)</f>
        <v>41582.314560185187</v>
      </c>
      <c r="C1308">
        <v>80</v>
      </c>
      <c r="D1308">
        <v>79.684898376000007</v>
      </c>
      <c r="E1308">
        <v>40</v>
      </c>
      <c r="F1308">
        <v>46.684783936000002</v>
      </c>
      <c r="G1308">
        <v>1330.8492432</v>
      </c>
      <c r="H1308">
        <v>1330.5635986</v>
      </c>
      <c r="I1308">
        <v>1333.84375</v>
      </c>
      <c r="J1308">
        <v>1332.6208495999999</v>
      </c>
      <c r="K1308">
        <v>0</v>
      </c>
      <c r="L1308">
        <v>550</v>
      </c>
      <c r="M1308">
        <v>550</v>
      </c>
      <c r="N1308">
        <v>0</v>
      </c>
    </row>
    <row r="1309" spans="1:14" x14ac:dyDescent="0.25">
      <c r="A1309">
        <v>1283.6086809999999</v>
      </c>
      <c r="B1309" s="1">
        <f>DATE(2013,11,4) + TIME(14,36,30)</f>
        <v>41582.608680555553</v>
      </c>
      <c r="C1309">
        <v>80</v>
      </c>
      <c r="D1309">
        <v>79.663925171000002</v>
      </c>
      <c r="E1309">
        <v>40</v>
      </c>
      <c r="F1309">
        <v>46.051361084</v>
      </c>
      <c r="G1309">
        <v>1330.8374022999999</v>
      </c>
      <c r="H1309">
        <v>1330.5461425999999</v>
      </c>
      <c r="I1309">
        <v>1333.8367920000001</v>
      </c>
      <c r="J1309">
        <v>1332.612793</v>
      </c>
      <c r="K1309">
        <v>0</v>
      </c>
      <c r="L1309">
        <v>550</v>
      </c>
      <c r="M1309">
        <v>550</v>
      </c>
      <c r="N1309">
        <v>0</v>
      </c>
    </row>
    <row r="1310" spans="1:14" x14ac:dyDescent="0.25">
      <c r="A1310">
        <v>1283.926068</v>
      </c>
      <c r="B1310" s="1">
        <f>DATE(2013,11,4) + TIME(22,13,32)</f>
        <v>41582.926064814812</v>
      </c>
      <c r="C1310">
        <v>80</v>
      </c>
      <c r="D1310">
        <v>79.641418457</v>
      </c>
      <c r="E1310">
        <v>40</v>
      </c>
      <c r="F1310">
        <v>45.443336487000003</v>
      </c>
      <c r="G1310">
        <v>1330.8250731999999</v>
      </c>
      <c r="H1310">
        <v>1330.5281981999999</v>
      </c>
      <c r="I1310">
        <v>1333.8304443</v>
      </c>
      <c r="J1310">
        <v>1332.6051024999999</v>
      </c>
      <c r="K1310">
        <v>0</v>
      </c>
      <c r="L1310">
        <v>550</v>
      </c>
      <c r="M1310">
        <v>550</v>
      </c>
      <c r="N1310">
        <v>0</v>
      </c>
    </row>
    <row r="1311" spans="1:14" x14ac:dyDescent="0.25">
      <c r="A1311">
        <v>1284.269229</v>
      </c>
      <c r="B1311" s="1">
        <f>DATE(2013,11,5) + TIME(6,27,41)</f>
        <v>41583.269224537034</v>
      </c>
      <c r="C1311">
        <v>80</v>
      </c>
      <c r="D1311">
        <v>79.617240906000006</v>
      </c>
      <c r="E1311">
        <v>40</v>
      </c>
      <c r="F1311">
        <v>44.862373351999999</v>
      </c>
      <c r="G1311">
        <v>1330.8123779</v>
      </c>
      <c r="H1311">
        <v>1330.5095214999999</v>
      </c>
      <c r="I1311">
        <v>1333.8248291</v>
      </c>
      <c r="J1311">
        <v>1332.5980225000001</v>
      </c>
      <c r="K1311">
        <v>0</v>
      </c>
      <c r="L1311">
        <v>550</v>
      </c>
      <c r="M1311">
        <v>550</v>
      </c>
      <c r="N1311">
        <v>0</v>
      </c>
    </row>
    <row r="1312" spans="1:14" x14ac:dyDescent="0.25">
      <c r="A1312">
        <v>1284.641292</v>
      </c>
      <c r="B1312" s="1">
        <f>DATE(2013,11,5) + TIME(15,23,27)</f>
        <v>41583.641284722224</v>
      </c>
      <c r="C1312">
        <v>80</v>
      </c>
      <c r="D1312">
        <v>79.591224670000003</v>
      </c>
      <c r="E1312">
        <v>40</v>
      </c>
      <c r="F1312">
        <v>44.309787749999998</v>
      </c>
      <c r="G1312">
        <v>1330.7990723</v>
      </c>
      <c r="H1312">
        <v>1330.4899902</v>
      </c>
      <c r="I1312">
        <v>1333.8198242000001</v>
      </c>
      <c r="J1312">
        <v>1332.5913086</v>
      </c>
      <c r="K1312">
        <v>0</v>
      </c>
      <c r="L1312">
        <v>550</v>
      </c>
      <c r="M1312">
        <v>550</v>
      </c>
      <c r="N1312">
        <v>0</v>
      </c>
    </row>
    <row r="1313" spans="1:14" x14ac:dyDescent="0.25">
      <c r="A1313">
        <v>1285.045742</v>
      </c>
      <c r="B1313" s="1">
        <f>DATE(2013,11,6) + TIME(1,5,52)</f>
        <v>41584.045740740738</v>
      </c>
      <c r="C1313">
        <v>80</v>
      </c>
      <c r="D1313">
        <v>79.563179016000007</v>
      </c>
      <c r="E1313">
        <v>40</v>
      </c>
      <c r="F1313">
        <v>43.787128447999997</v>
      </c>
      <c r="G1313">
        <v>1330.7851562000001</v>
      </c>
      <c r="H1313">
        <v>1330.4698486</v>
      </c>
      <c r="I1313">
        <v>1333.8155518000001</v>
      </c>
      <c r="J1313">
        <v>1332.5852050999999</v>
      </c>
      <c r="K1313">
        <v>0</v>
      </c>
      <c r="L1313">
        <v>550</v>
      </c>
      <c r="M1313">
        <v>550</v>
      </c>
      <c r="N1313">
        <v>0</v>
      </c>
    </row>
    <row r="1314" spans="1:14" x14ac:dyDescent="0.25">
      <c r="A1314">
        <v>1285.4865540000001</v>
      </c>
      <c r="B1314" s="1">
        <f>DATE(2013,11,6) + TIME(11,40,38)</f>
        <v>41584.486550925925</v>
      </c>
      <c r="C1314">
        <v>80</v>
      </c>
      <c r="D1314">
        <v>79.532913207999997</v>
      </c>
      <c r="E1314">
        <v>40</v>
      </c>
      <c r="F1314">
        <v>43.295997620000001</v>
      </c>
      <c r="G1314">
        <v>1330.7705077999999</v>
      </c>
      <c r="H1314">
        <v>1330.4486084</v>
      </c>
      <c r="I1314">
        <v>1333.8120117000001</v>
      </c>
      <c r="J1314">
        <v>1332.5794678</v>
      </c>
      <c r="K1314">
        <v>0</v>
      </c>
      <c r="L1314">
        <v>550</v>
      </c>
      <c r="M1314">
        <v>550</v>
      </c>
      <c r="N1314">
        <v>0</v>
      </c>
    </row>
    <row r="1315" spans="1:14" x14ac:dyDescent="0.25">
      <c r="A1315">
        <v>1285.96828</v>
      </c>
      <c r="B1315" s="1">
        <f>DATE(2013,11,6) + TIME(23,14,19)</f>
        <v>41584.968275462961</v>
      </c>
      <c r="C1315">
        <v>80</v>
      </c>
      <c r="D1315">
        <v>79.500190735000004</v>
      </c>
      <c r="E1315">
        <v>40</v>
      </c>
      <c r="F1315">
        <v>42.837985992</v>
      </c>
      <c r="G1315">
        <v>1330.755249</v>
      </c>
      <c r="H1315">
        <v>1330.4263916</v>
      </c>
      <c r="I1315">
        <v>1333.809082</v>
      </c>
      <c r="J1315">
        <v>1332.5743408000001</v>
      </c>
      <c r="K1315">
        <v>0</v>
      </c>
      <c r="L1315">
        <v>550</v>
      </c>
      <c r="M1315">
        <v>550</v>
      </c>
      <c r="N1315">
        <v>0</v>
      </c>
    </row>
    <row r="1316" spans="1:14" x14ac:dyDescent="0.25">
      <c r="A1316">
        <v>1286.4961539999999</v>
      </c>
      <c r="B1316" s="1">
        <f>DATE(2013,11,7) + TIME(11,54,27)</f>
        <v>41585.496145833335</v>
      </c>
      <c r="C1316">
        <v>80</v>
      </c>
      <c r="D1316">
        <v>79.464767456000004</v>
      </c>
      <c r="E1316">
        <v>40</v>
      </c>
      <c r="F1316">
        <v>42.414592743</v>
      </c>
      <c r="G1316">
        <v>1330.7391356999999</v>
      </c>
      <c r="H1316">
        <v>1330.4030762</v>
      </c>
      <c r="I1316">
        <v>1333.8067627</v>
      </c>
      <c r="J1316">
        <v>1332.5695800999999</v>
      </c>
      <c r="K1316">
        <v>0</v>
      </c>
      <c r="L1316">
        <v>550</v>
      </c>
      <c r="M1316">
        <v>550</v>
      </c>
      <c r="N1316">
        <v>0</v>
      </c>
    </row>
    <row r="1317" spans="1:14" x14ac:dyDescent="0.25">
      <c r="A1317">
        <v>1287.076196</v>
      </c>
      <c r="B1317" s="1">
        <f>DATE(2013,11,8) + TIME(1,49,43)</f>
        <v>41586.076192129629</v>
      </c>
      <c r="C1317">
        <v>80</v>
      </c>
      <c r="D1317">
        <v>79.426353454999997</v>
      </c>
      <c r="E1317">
        <v>40</v>
      </c>
      <c r="F1317">
        <v>42.027145386000001</v>
      </c>
      <c r="G1317">
        <v>1330.7220459</v>
      </c>
      <c r="H1317">
        <v>1330.3785399999999</v>
      </c>
      <c r="I1317">
        <v>1333.8051757999999</v>
      </c>
      <c r="J1317">
        <v>1332.5654297000001</v>
      </c>
      <c r="K1317">
        <v>0</v>
      </c>
      <c r="L1317">
        <v>550</v>
      </c>
      <c r="M1317">
        <v>550</v>
      </c>
      <c r="N1317">
        <v>0</v>
      </c>
    </row>
    <row r="1318" spans="1:14" x14ac:dyDescent="0.25">
      <c r="A1318">
        <v>1287.681771</v>
      </c>
      <c r="B1318" s="1">
        <f>DATE(2013,11,8) + TIME(16,21,44)</f>
        <v>41586.681759259256</v>
      </c>
      <c r="C1318">
        <v>80</v>
      </c>
      <c r="D1318">
        <v>79.386619568</v>
      </c>
      <c r="E1318">
        <v>40</v>
      </c>
      <c r="F1318">
        <v>41.691963196000003</v>
      </c>
      <c r="G1318">
        <v>1330.7039795000001</v>
      </c>
      <c r="H1318">
        <v>1330.3526611</v>
      </c>
      <c r="I1318">
        <v>1333.8044434000001</v>
      </c>
      <c r="J1318">
        <v>1332.5618896000001</v>
      </c>
      <c r="K1318">
        <v>0</v>
      </c>
      <c r="L1318">
        <v>550</v>
      </c>
      <c r="M1318">
        <v>550</v>
      </c>
      <c r="N1318">
        <v>0</v>
      </c>
    </row>
    <row r="1319" spans="1:14" x14ac:dyDescent="0.25">
      <c r="A1319">
        <v>1288.3143359999999</v>
      </c>
      <c r="B1319" s="1">
        <f>DATE(2013,11,9) + TIME(7,32,38)</f>
        <v>41587.314328703702</v>
      </c>
      <c r="C1319">
        <v>80</v>
      </c>
      <c r="D1319">
        <v>79.345504761000001</v>
      </c>
      <c r="E1319">
        <v>40</v>
      </c>
      <c r="F1319">
        <v>41.403438567999999</v>
      </c>
      <c r="G1319">
        <v>1330.6857910000001</v>
      </c>
      <c r="H1319">
        <v>1330.3264160000001</v>
      </c>
      <c r="I1319">
        <v>1333.8041992000001</v>
      </c>
      <c r="J1319">
        <v>1332.5589600000001</v>
      </c>
      <c r="K1319">
        <v>0</v>
      </c>
      <c r="L1319">
        <v>550</v>
      </c>
      <c r="M1319">
        <v>550</v>
      </c>
      <c r="N1319">
        <v>0</v>
      </c>
    </row>
    <row r="1320" spans="1:14" x14ac:dyDescent="0.25">
      <c r="A1320">
        <v>1288.976445</v>
      </c>
      <c r="B1320" s="1">
        <f>DATE(2013,11,9) + TIME(23,26,4)</f>
        <v>41587.976435185185</v>
      </c>
      <c r="C1320">
        <v>80</v>
      </c>
      <c r="D1320">
        <v>79.302902222</v>
      </c>
      <c r="E1320">
        <v>40</v>
      </c>
      <c r="F1320">
        <v>41.156124114999997</v>
      </c>
      <c r="G1320">
        <v>1330.6671143000001</v>
      </c>
      <c r="H1320">
        <v>1330.2996826000001</v>
      </c>
      <c r="I1320">
        <v>1333.8043213000001</v>
      </c>
      <c r="J1320">
        <v>1332.5563964999999</v>
      </c>
      <c r="K1320">
        <v>0</v>
      </c>
      <c r="L1320">
        <v>550</v>
      </c>
      <c r="M1320">
        <v>550</v>
      </c>
      <c r="N1320">
        <v>0</v>
      </c>
    </row>
    <row r="1321" spans="1:14" x14ac:dyDescent="0.25">
      <c r="A1321">
        <v>1289.67227</v>
      </c>
      <c r="B1321" s="1">
        <f>DATE(2013,11,10) + TIME(16,8,4)</f>
        <v>41588.672268518516</v>
      </c>
      <c r="C1321">
        <v>80</v>
      </c>
      <c r="D1321">
        <v>79.258575438999998</v>
      </c>
      <c r="E1321">
        <v>40</v>
      </c>
      <c r="F1321">
        <v>40.944847107000001</v>
      </c>
      <c r="G1321">
        <v>1330.6480713000001</v>
      </c>
      <c r="H1321">
        <v>1330.2725829999999</v>
      </c>
      <c r="I1321">
        <v>1333.8048096</v>
      </c>
      <c r="J1321">
        <v>1332.5540771000001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1290.4066350000001</v>
      </c>
      <c r="B1322" s="1">
        <f>DATE(2013,11,11) + TIME(9,45,33)</f>
        <v>41589.406631944446</v>
      </c>
      <c r="C1322">
        <v>80</v>
      </c>
      <c r="D1322">
        <v>79.212287903000004</v>
      </c>
      <c r="E1322">
        <v>40</v>
      </c>
      <c r="F1322">
        <v>40.765129088999998</v>
      </c>
      <c r="G1322">
        <v>1330.6285399999999</v>
      </c>
      <c r="H1322">
        <v>1330.244751</v>
      </c>
      <c r="I1322">
        <v>1333.8055420000001</v>
      </c>
      <c r="J1322">
        <v>1332.5522461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1291.185283</v>
      </c>
      <c r="B1323" s="1">
        <f>DATE(2013,11,12) + TIME(4,26,48)</f>
        <v>41590.185277777775</v>
      </c>
      <c r="C1323">
        <v>80</v>
      </c>
      <c r="D1323">
        <v>79.163749695000007</v>
      </c>
      <c r="E1323">
        <v>40</v>
      </c>
      <c r="F1323">
        <v>40.613052367999998</v>
      </c>
      <c r="G1323">
        <v>1330.6085204999999</v>
      </c>
      <c r="H1323">
        <v>1330.2163086</v>
      </c>
      <c r="I1323">
        <v>1333.8063964999999</v>
      </c>
      <c r="J1323">
        <v>1332.5505370999999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1292.012909</v>
      </c>
      <c r="B1324" s="1">
        <f>DATE(2013,11,13) + TIME(0,18,35)</f>
        <v>41591.01290509259</v>
      </c>
      <c r="C1324">
        <v>80</v>
      </c>
      <c r="D1324">
        <v>79.112716675000001</v>
      </c>
      <c r="E1324">
        <v>40</v>
      </c>
      <c r="F1324">
        <v>40.485424041999998</v>
      </c>
      <c r="G1324">
        <v>1330.5876464999999</v>
      </c>
      <c r="H1324">
        <v>1330.1867675999999</v>
      </c>
      <c r="I1324">
        <v>1333.8073730000001</v>
      </c>
      <c r="J1324">
        <v>1332.5489502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1292.873881</v>
      </c>
      <c r="B1325" s="1">
        <f>DATE(2013,11,13) + TIME(20,58,23)</f>
        <v>41591.873877314814</v>
      </c>
      <c r="C1325">
        <v>80</v>
      </c>
      <c r="D1325">
        <v>79.060005188000005</v>
      </c>
      <c r="E1325">
        <v>40</v>
      </c>
      <c r="F1325">
        <v>40.381263732999997</v>
      </c>
      <c r="G1325">
        <v>1330.5661620999999</v>
      </c>
      <c r="H1325">
        <v>1330.1563721</v>
      </c>
      <c r="I1325">
        <v>1333.8085937999999</v>
      </c>
      <c r="J1325">
        <v>1332.5476074000001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1293.7719059999999</v>
      </c>
      <c r="B1326" s="1">
        <f>DATE(2013,11,14) + TIME(18,31,32)</f>
        <v>41592.771898148145</v>
      </c>
      <c r="C1326">
        <v>80</v>
      </c>
      <c r="D1326">
        <v>79.005401610999996</v>
      </c>
      <c r="E1326">
        <v>40</v>
      </c>
      <c r="F1326">
        <v>40.296630858999997</v>
      </c>
      <c r="G1326">
        <v>1330.5441894999999</v>
      </c>
      <c r="H1326">
        <v>1330.1254882999999</v>
      </c>
      <c r="I1326">
        <v>1333.8096923999999</v>
      </c>
      <c r="J1326">
        <v>1332.5463867000001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1294.7103059999999</v>
      </c>
      <c r="B1327" s="1">
        <f>DATE(2013,11,15) + TIME(17,2,50)</f>
        <v>41593.710300925923</v>
      </c>
      <c r="C1327">
        <v>80</v>
      </c>
      <c r="D1327">
        <v>78.948707580999994</v>
      </c>
      <c r="E1327">
        <v>40</v>
      </c>
      <c r="F1327">
        <v>40.228237151999998</v>
      </c>
      <c r="G1327">
        <v>1330.5218506000001</v>
      </c>
      <c r="H1327">
        <v>1330.0939940999999</v>
      </c>
      <c r="I1327">
        <v>1333.8107910000001</v>
      </c>
      <c r="J1327">
        <v>1332.5451660000001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1295.6927860000001</v>
      </c>
      <c r="B1328" s="1">
        <f>DATE(2013,11,16) + TIME(16,37,36)</f>
        <v>41594.692777777775</v>
      </c>
      <c r="C1328">
        <v>80</v>
      </c>
      <c r="D1328">
        <v>78.889678954999994</v>
      </c>
      <c r="E1328">
        <v>40</v>
      </c>
      <c r="F1328">
        <v>40.173278809000003</v>
      </c>
      <c r="G1328">
        <v>1330.4989014</v>
      </c>
      <c r="H1328">
        <v>1330.0617675999999</v>
      </c>
      <c r="I1328">
        <v>1333.8117675999999</v>
      </c>
      <c r="J1328">
        <v>1332.5439452999999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1296.7234430000001</v>
      </c>
      <c r="B1329" s="1">
        <f>DATE(2013,11,17) + TIME(17,21,45)</f>
        <v>41595.723437499997</v>
      </c>
      <c r="C1329">
        <v>80</v>
      </c>
      <c r="D1329">
        <v>78.828041076999995</v>
      </c>
      <c r="E1329">
        <v>40</v>
      </c>
      <c r="F1329">
        <v>40.129375457999998</v>
      </c>
      <c r="G1329">
        <v>1330.4753418</v>
      </c>
      <c r="H1329">
        <v>1330.0289307</v>
      </c>
      <c r="I1329">
        <v>1333.8127440999999</v>
      </c>
      <c r="J1329">
        <v>1332.5427245999999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1297.8068539999999</v>
      </c>
      <c r="B1330" s="1">
        <f>DATE(2013,11,18) + TIME(19,21,52)</f>
        <v>41596.806851851848</v>
      </c>
      <c r="C1330">
        <v>80</v>
      </c>
      <c r="D1330">
        <v>78.763504028</v>
      </c>
      <c r="E1330">
        <v>40</v>
      </c>
      <c r="F1330">
        <v>40.094497681</v>
      </c>
      <c r="G1330">
        <v>1330.4512939000001</v>
      </c>
      <c r="H1330">
        <v>1329.9952393000001</v>
      </c>
      <c r="I1330">
        <v>1333.8137207</v>
      </c>
      <c r="J1330">
        <v>1332.5415039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1298.9481499999999</v>
      </c>
      <c r="B1331" s="1">
        <f>DATE(2013,11,19) + TIME(22,45,20)</f>
        <v>41597.948148148149</v>
      </c>
      <c r="C1331">
        <v>80</v>
      </c>
      <c r="D1331">
        <v>78.695701599000003</v>
      </c>
      <c r="E1331">
        <v>40</v>
      </c>
      <c r="F1331">
        <v>40.066936493</v>
      </c>
      <c r="G1331">
        <v>1330.4265137</v>
      </c>
      <c r="H1331">
        <v>1329.9606934000001</v>
      </c>
      <c r="I1331">
        <v>1333.8144531</v>
      </c>
      <c r="J1331">
        <v>1332.5402832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1300.1488890000001</v>
      </c>
      <c r="B1332" s="1">
        <f>DATE(2013,11,21) + TIME(3,34,23)</f>
        <v>41599.148877314816</v>
      </c>
      <c r="C1332">
        <v>80</v>
      </c>
      <c r="D1332">
        <v>78.624427795000003</v>
      </c>
      <c r="E1332">
        <v>40</v>
      </c>
      <c r="F1332">
        <v>40.045322417999998</v>
      </c>
      <c r="G1332">
        <v>1330.4008789</v>
      </c>
      <c r="H1332">
        <v>1329.9251709</v>
      </c>
      <c r="I1332">
        <v>1333.8151855000001</v>
      </c>
      <c r="J1332">
        <v>1332.5389404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1301.403928</v>
      </c>
      <c r="B1333" s="1">
        <f>DATE(2013,11,22) + TIME(9,41,39)</f>
        <v>41600.403923611113</v>
      </c>
      <c r="C1333">
        <v>80</v>
      </c>
      <c r="D1333">
        <v>78.549758910999998</v>
      </c>
      <c r="E1333">
        <v>40</v>
      </c>
      <c r="F1333">
        <v>40.028537749999998</v>
      </c>
      <c r="G1333">
        <v>1330.3746338000001</v>
      </c>
      <c r="H1333">
        <v>1329.8887939000001</v>
      </c>
      <c r="I1333">
        <v>1333.815918</v>
      </c>
      <c r="J1333">
        <v>1332.5375977000001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1302.700922</v>
      </c>
      <c r="B1334" s="1">
        <f>DATE(2013,11,23) + TIME(16,49,19)</f>
        <v>41601.700914351852</v>
      </c>
      <c r="C1334">
        <v>80</v>
      </c>
      <c r="D1334">
        <v>78.472099303999997</v>
      </c>
      <c r="E1334">
        <v>40</v>
      </c>
      <c r="F1334">
        <v>40.015644072999997</v>
      </c>
      <c r="G1334">
        <v>1330.3477783000001</v>
      </c>
      <c r="H1334">
        <v>1329.8515625</v>
      </c>
      <c r="I1334">
        <v>1333.8165283000001</v>
      </c>
      <c r="J1334">
        <v>1332.5362548999999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1304.0389459999999</v>
      </c>
      <c r="B1335" s="1">
        <f>DATE(2013,11,25) + TIME(0,56,4)</f>
        <v>41603.038935185185</v>
      </c>
      <c r="C1335">
        <v>80</v>
      </c>
      <c r="D1335">
        <v>78.391342163000004</v>
      </c>
      <c r="E1335">
        <v>40</v>
      </c>
      <c r="F1335">
        <v>40.005725861000002</v>
      </c>
      <c r="G1335">
        <v>1330.3205565999999</v>
      </c>
      <c r="H1335">
        <v>1329.8139647999999</v>
      </c>
      <c r="I1335">
        <v>1333.8170166</v>
      </c>
      <c r="J1335">
        <v>1332.5347899999999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1305.414407</v>
      </c>
      <c r="B1336" s="1">
        <f>DATE(2013,11,26) + TIME(9,56,44)</f>
        <v>41604.414398148147</v>
      </c>
      <c r="C1336">
        <v>80</v>
      </c>
      <c r="D1336">
        <v>78.307502747000001</v>
      </c>
      <c r="E1336">
        <v>40</v>
      </c>
      <c r="F1336">
        <v>39.998092651</v>
      </c>
      <c r="G1336">
        <v>1330.2929687999999</v>
      </c>
      <c r="H1336">
        <v>1329.776001</v>
      </c>
      <c r="I1336">
        <v>1333.8173827999999</v>
      </c>
      <c r="J1336">
        <v>1332.5333252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1306.835959</v>
      </c>
      <c r="B1337" s="1">
        <f>DATE(2013,11,27) + TIME(20,3,46)</f>
        <v>41605.835949074077</v>
      </c>
      <c r="C1337">
        <v>80</v>
      </c>
      <c r="D1337">
        <v>78.220054626000007</v>
      </c>
      <c r="E1337">
        <v>40</v>
      </c>
      <c r="F1337">
        <v>39.992153168000002</v>
      </c>
      <c r="G1337">
        <v>1330.2651367000001</v>
      </c>
      <c r="H1337">
        <v>1329.7376709</v>
      </c>
      <c r="I1337">
        <v>1333.817749</v>
      </c>
      <c r="J1337">
        <v>1332.5318603999999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1308.3129120000001</v>
      </c>
      <c r="B1338" s="1">
        <f>DATE(2013,11,29) + TIME(7,30,35)</f>
        <v>41607.312905092593</v>
      </c>
      <c r="C1338">
        <v>80</v>
      </c>
      <c r="D1338">
        <v>78.128372192</v>
      </c>
      <c r="E1338">
        <v>40</v>
      </c>
      <c r="F1338">
        <v>39.987487793</v>
      </c>
      <c r="G1338">
        <v>1330.2369385</v>
      </c>
      <c r="H1338">
        <v>1329.6990966999999</v>
      </c>
      <c r="I1338">
        <v>1333.8181152</v>
      </c>
      <c r="J1338">
        <v>1332.5303954999999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1309.855826</v>
      </c>
      <c r="B1339" s="1">
        <f>DATE(2013,11,30) + TIME(20,32,23)</f>
        <v>41608.855821759258</v>
      </c>
      <c r="C1339">
        <v>80</v>
      </c>
      <c r="D1339">
        <v>78.031715392999999</v>
      </c>
      <c r="E1339">
        <v>40</v>
      </c>
      <c r="F1339">
        <v>39.983779906999999</v>
      </c>
      <c r="G1339">
        <v>1330.208374</v>
      </c>
      <c r="H1339">
        <v>1329.6597899999999</v>
      </c>
      <c r="I1339">
        <v>1333.8183594</v>
      </c>
      <c r="J1339">
        <v>1332.5289307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1310</v>
      </c>
      <c r="B1340" s="1">
        <f>DATE(2013,12,1) + TIME(0,0,0)</f>
        <v>41609</v>
      </c>
      <c r="C1340">
        <v>80</v>
      </c>
      <c r="D1340">
        <v>78.019279479999994</v>
      </c>
      <c r="E1340">
        <v>40</v>
      </c>
      <c r="F1340">
        <v>39.983444214000002</v>
      </c>
      <c r="G1340">
        <v>1330.1811522999999</v>
      </c>
      <c r="H1340">
        <v>1329.6236572</v>
      </c>
      <c r="I1340">
        <v>1333.8187256000001</v>
      </c>
      <c r="J1340">
        <v>1332.5273437999999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1311.621181</v>
      </c>
      <c r="B1341" s="1">
        <f>DATE(2013,12,2) + TIME(14,54,30)</f>
        <v>41610.621180555558</v>
      </c>
      <c r="C1341">
        <v>80</v>
      </c>
      <c r="D1341">
        <v>77.917495728000006</v>
      </c>
      <c r="E1341">
        <v>40</v>
      </c>
      <c r="F1341">
        <v>39.980556487999998</v>
      </c>
      <c r="G1341">
        <v>1330.1756591999999</v>
      </c>
      <c r="H1341">
        <v>1329.6148682</v>
      </c>
      <c r="I1341">
        <v>1333.8187256000001</v>
      </c>
      <c r="J1341">
        <v>1332.5272216999999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1313.344429</v>
      </c>
      <c r="B1342" s="1">
        <f>DATE(2013,12,4) + TIME(8,15,58)</f>
        <v>41612.344421296293</v>
      </c>
      <c r="C1342">
        <v>80</v>
      </c>
      <c r="D1342">
        <v>77.808151245000005</v>
      </c>
      <c r="E1342">
        <v>40</v>
      </c>
      <c r="F1342">
        <v>39.978195190000001</v>
      </c>
      <c r="G1342">
        <v>1330.1459961</v>
      </c>
      <c r="H1342">
        <v>1329.5744629000001</v>
      </c>
      <c r="I1342">
        <v>1333.8189697</v>
      </c>
      <c r="J1342">
        <v>1332.5256348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1315.1796870000001</v>
      </c>
      <c r="B1343" s="1">
        <f>DATE(2013,12,6) + TIME(4,18,44)</f>
        <v>41614.179675925923</v>
      </c>
      <c r="C1343">
        <v>80</v>
      </c>
      <c r="D1343">
        <v>77.690261840999995</v>
      </c>
      <c r="E1343">
        <v>40</v>
      </c>
      <c r="F1343">
        <v>39.976261139000002</v>
      </c>
      <c r="G1343">
        <v>1330.1152344</v>
      </c>
      <c r="H1343">
        <v>1329.5328368999999</v>
      </c>
      <c r="I1343">
        <v>1333.8190918</v>
      </c>
      <c r="J1343">
        <v>1332.5240478999999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1317.049348</v>
      </c>
      <c r="B1344" s="1">
        <f>DATE(2013,12,8) + TIME(1,11,3)</f>
        <v>41616.049340277779</v>
      </c>
      <c r="C1344">
        <v>80</v>
      </c>
      <c r="D1344">
        <v>77.566535950000002</v>
      </c>
      <c r="E1344">
        <v>40</v>
      </c>
      <c r="F1344">
        <v>39.974731445000003</v>
      </c>
      <c r="G1344">
        <v>1330.083374</v>
      </c>
      <c r="H1344">
        <v>1329.489624</v>
      </c>
      <c r="I1344">
        <v>1333.8193358999999</v>
      </c>
      <c r="J1344">
        <v>1332.5224608999999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1318.9399719999999</v>
      </c>
      <c r="B1345" s="1">
        <f>DATE(2013,12,9) + TIME(22,33,33)</f>
        <v>41617.939965277779</v>
      </c>
      <c r="C1345">
        <v>80</v>
      </c>
      <c r="D1345">
        <v>77.437767029</v>
      </c>
      <c r="E1345">
        <v>40</v>
      </c>
      <c r="F1345">
        <v>39.973518372000001</v>
      </c>
      <c r="G1345">
        <v>1330.0513916</v>
      </c>
      <c r="H1345">
        <v>1329.4462891000001</v>
      </c>
      <c r="I1345">
        <v>1333.8194579999999</v>
      </c>
      <c r="J1345">
        <v>1332.520874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1320.865497</v>
      </c>
      <c r="B1346" s="1">
        <f>DATE(2013,12,11) + TIME(20,46,18)</f>
        <v>41619.865486111114</v>
      </c>
      <c r="C1346">
        <v>80</v>
      </c>
      <c r="D1346">
        <v>77.303558350000003</v>
      </c>
      <c r="E1346">
        <v>40</v>
      </c>
      <c r="F1346">
        <v>39.972537994</v>
      </c>
      <c r="G1346">
        <v>1330.0195312000001</v>
      </c>
      <c r="H1346">
        <v>1329.4031981999999</v>
      </c>
      <c r="I1346">
        <v>1333.8197021000001</v>
      </c>
      <c r="J1346">
        <v>1332.5194091999999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1322.8400340000001</v>
      </c>
      <c r="B1347" s="1">
        <f>DATE(2013,12,13) + TIME(20,9,38)</f>
        <v>41621.84002314815</v>
      </c>
      <c r="C1347">
        <v>80</v>
      </c>
      <c r="D1347">
        <v>77.163269043</v>
      </c>
      <c r="E1347">
        <v>40</v>
      </c>
      <c r="F1347">
        <v>39.971736907999997</v>
      </c>
      <c r="G1347">
        <v>1329.9876709</v>
      </c>
      <c r="H1347">
        <v>1329.3601074000001</v>
      </c>
      <c r="I1347">
        <v>1333.8198242000001</v>
      </c>
      <c r="J1347">
        <v>1332.5179443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1324.878557</v>
      </c>
      <c r="B1348" s="1">
        <f>DATE(2013,12,15) + TIME(21,5,7)</f>
        <v>41623.878553240742</v>
      </c>
      <c r="C1348">
        <v>80</v>
      </c>
      <c r="D1348">
        <v>77.015991210999999</v>
      </c>
      <c r="E1348">
        <v>40</v>
      </c>
      <c r="F1348">
        <v>39.971076965000002</v>
      </c>
      <c r="G1348">
        <v>1329.9558105000001</v>
      </c>
      <c r="H1348">
        <v>1329.3170166</v>
      </c>
      <c r="I1348">
        <v>1333.8199463000001</v>
      </c>
      <c r="J1348">
        <v>1332.5164795000001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1326.997572</v>
      </c>
      <c r="B1349" s="1">
        <f>DATE(2013,12,17) + TIME(23,56,30)</f>
        <v>41625.997569444444</v>
      </c>
      <c r="C1349">
        <v>80</v>
      </c>
      <c r="D1349">
        <v>76.860610961999996</v>
      </c>
      <c r="E1349">
        <v>40</v>
      </c>
      <c r="F1349">
        <v>39.970523833999998</v>
      </c>
      <c r="G1349">
        <v>1329.9238281</v>
      </c>
      <c r="H1349">
        <v>1329.2738036999999</v>
      </c>
      <c r="I1349">
        <v>1333.8200684000001</v>
      </c>
      <c r="J1349">
        <v>1332.5151367000001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1329.191337</v>
      </c>
      <c r="B1350" s="1">
        <f>DATE(2013,12,20) + TIME(4,35,31)</f>
        <v>41628.191331018519</v>
      </c>
      <c r="C1350">
        <v>80</v>
      </c>
      <c r="D1350">
        <v>76.696846007999994</v>
      </c>
      <c r="E1350">
        <v>40</v>
      </c>
      <c r="F1350">
        <v>39.970058440999999</v>
      </c>
      <c r="G1350">
        <v>1329.8913574000001</v>
      </c>
      <c r="H1350">
        <v>1329.2302245999999</v>
      </c>
      <c r="I1350">
        <v>1333.8201904</v>
      </c>
      <c r="J1350">
        <v>1332.5137939000001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1331.4312219999999</v>
      </c>
      <c r="B1351" s="1">
        <f>DATE(2013,12,22) + TIME(10,20,57)</f>
        <v>41630.431215277778</v>
      </c>
      <c r="C1351">
        <v>80</v>
      </c>
      <c r="D1351">
        <v>76.525619507000002</v>
      </c>
      <c r="E1351">
        <v>40</v>
      </c>
      <c r="F1351">
        <v>39.969669342000003</v>
      </c>
      <c r="G1351">
        <v>1329.8586425999999</v>
      </c>
      <c r="H1351">
        <v>1329.1862793</v>
      </c>
      <c r="I1351">
        <v>1333.8203125</v>
      </c>
      <c r="J1351">
        <v>1332.5124512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1333.7318230000001</v>
      </c>
      <c r="B1352" s="1">
        <f>DATE(2013,12,24) + TIME(17,33,49)</f>
        <v>41632.731817129628</v>
      </c>
      <c r="C1352">
        <v>80</v>
      </c>
      <c r="D1352">
        <v>76.346412658999995</v>
      </c>
      <c r="E1352">
        <v>40</v>
      </c>
      <c r="F1352">
        <v>39.969341278000002</v>
      </c>
      <c r="G1352">
        <v>1329.8260498</v>
      </c>
      <c r="H1352">
        <v>1329.1424560999999</v>
      </c>
      <c r="I1352">
        <v>1333.8204346</v>
      </c>
      <c r="J1352">
        <v>1332.5111084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1336.108641</v>
      </c>
      <c r="B1353" s="1">
        <f>DATE(2013,12,27) + TIME(2,36,26)</f>
        <v>41635.108634259261</v>
      </c>
      <c r="C1353">
        <v>80</v>
      </c>
      <c r="D1353">
        <v>76.158363342000001</v>
      </c>
      <c r="E1353">
        <v>40</v>
      </c>
      <c r="F1353">
        <v>39.969055175999998</v>
      </c>
      <c r="G1353">
        <v>1329.7933350000001</v>
      </c>
      <c r="H1353">
        <v>1329.0986327999999</v>
      </c>
      <c r="I1353">
        <v>1333.8205565999999</v>
      </c>
      <c r="J1353">
        <v>1332.5098877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1338.579105</v>
      </c>
      <c r="B1354" s="1">
        <f>DATE(2013,12,29) + TIME(13,53,54)</f>
        <v>41637.579097222224</v>
      </c>
      <c r="C1354">
        <v>80</v>
      </c>
      <c r="D1354">
        <v>75.960304260000001</v>
      </c>
      <c r="E1354">
        <v>40</v>
      </c>
      <c r="F1354">
        <v>39.968803405999999</v>
      </c>
      <c r="G1354">
        <v>1329.7604980000001</v>
      </c>
      <c r="H1354">
        <v>1329.0546875</v>
      </c>
      <c r="I1354">
        <v>1333.8206786999999</v>
      </c>
      <c r="J1354">
        <v>1332.5086670000001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1341</v>
      </c>
      <c r="B1355" s="1">
        <f>DATE(2014,1,1) + TIME(0,0,0)</f>
        <v>41640</v>
      </c>
      <c r="C1355">
        <v>80</v>
      </c>
      <c r="D1355">
        <v>75.758155822999996</v>
      </c>
      <c r="E1355">
        <v>40</v>
      </c>
      <c r="F1355">
        <v>39.968593597000002</v>
      </c>
      <c r="G1355">
        <v>1329.7274170000001</v>
      </c>
      <c r="H1355">
        <v>1329.0104980000001</v>
      </c>
      <c r="I1355">
        <v>1333.8206786999999</v>
      </c>
      <c r="J1355">
        <v>1332.5075684000001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1343.5841809999999</v>
      </c>
      <c r="B1356" s="1">
        <f>DATE(2014,1,3) + TIME(14,1,13)</f>
        <v>41642.584178240744</v>
      </c>
      <c r="C1356">
        <v>80</v>
      </c>
      <c r="D1356">
        <v>75.544502257999994</v>
      </c>
      <c r="E1356">
        <v>40</v>
      </c>
      <c r="F1356">
        <v>39.968399048000002</v>
      </c>
      <c r="G1356">
        <v>1329.6951904</v>
      </c>
      <c r="H1356">
        <v>1328.9674072</v>
      </c>
      <c r="I1356">
        <v>1333.8208007999999</v>
      </c>
      <c r="J1356">
        <v>1332.5064697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1346.2908480000001</v>
      </c>
      <c r="B1357" s="1">
        <f>DATE(2014,1,6) + TIME(6,58,49)</f>
        <v>41645.290844907409</v>
      </c>
      <c r="C1357">
        <v>80</v>
      </c>
      <c r="D1357">
        <v>75.318641662999994</v>
      </c>
      <c r="E1357">
        <v>40</v>
      </c>
      <c r="F1357">
        <v>39.968215942</v>
      </c>
      <c r="G1357">
        <v>1329.6623535000001</v>
      </c>
      <c r="H1357">
        <v>1328.9237060999999</v>
      </c>
      <c r="I1357">
        <v>1333.8209228999999</v>
      </c>
      <c r="J1357">
        <v>1332.5054932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1349.0498600000001</v>
      </c>
      <c r="B1358" s="1">
        <f>DATE(2014,1,9) + TIME(1,11,47)</f>
        <v>41648.049849537034</v>
      </c>
      <c r="C1358">
        <v>80</v>
      </c>
      <c r="D1358">
        <v>75.082801818999997</v>
      </c>
      <c r="E1358">
        <v>40</v>
      </c>
      <c r="F1358">
        <v>39.968048095999997</v>
      </c>
      <c r="G1358">
        <v>1329.6289062000001</v>
      </c>
      <c r="H1358">
        <v>1328.8793945</v>
      </c>
      <c r="I1358">
        <v>1333.8209228999999</v>
      </c>
      <c r="J1358">
        <v>1332.5043945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1351.882474</v>
      </c>
      <c r="B1359" s="1">
        <f>DATE(2014,1,11) + TIME(21,10,45)</f>
        <v>41650.882465277777</v>
      </c>
      <c r="C1359">
        <v>80</v>
      </c>
      <c r="D1359">
        <v>74.836921692000004</v>
      </c>
      <c r="E1359">
        <v>40</v>
      </c>
      <c r="F1359">
        <v>39.967887877999999</v>
      </c>
      <c r="G1359">
        <v>1329.5957031</v>
      </c>
      <c r="H1359">
        <v>1328.8352050999999</v>
      </c>
      <c r="I1359">
        <v>1333.8210449000001</v>
      </c>
      <c r="J1359">
        <v>1332.5035399999999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1354.811422</v>
      </c>
      <c r="B1360" s="1">
        <f>DATE(2014,1,14) + TIME(19,28,26)</f>
        <v>41653.811412037037</v>
      </c>
      <c r="C1360">
        <v>80</v>
      </c>
      <c r="D1360">
        <v>74.580169678000004</v>
      </c>
      <c r="E1360">
        <v>40</v>
      </c>
      <c r="F1360">
        <v>39.967739105</v>
      </c>
      <c r="G1360">
        <v>1329.5623779</v>
      </c>
      <c r="H1360">
        <v>1328.7910156</v>
      </c>
      <c r="I1360">
        <v>1333.8210449000001</v>
      </c>
      <c r="J1360">
        <v>1332.5025635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1357.852576</v>
      </c>
      <c r="B1361" s="1">
        <f>DATE(2014,1,17) + TIME(20,27,42)</f>
        <v>41656.852569444447</v>
      </c>
      <c r="C1361">
        <v>80</v>
      </c>
      <c r="D1361">
        <v>74.311546325999998</v>
      </c>
      <c r="E1361">
        <v>40</v>
      </c>
      <c r="F1361">
        <v>39.967590332</v>
      </c>
      <c r="G1361">
        <v>1329.5290527</v>
      </c>
      <c r="H1361">
        <v>1328.7469481999999</v>
      </c>
      <c r="I1361">
        <v>1333.8210449000001</v>
      </c>
      <c r="J1361">
        <v>1332.5017089999999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1360.9311399999999</v>
      </c>
      <c r="B1362" s="1">
        <f>DATE(2014,1,20) + TIME(22,20,50)</f>
        <v>41659.931134259263</v>
      </c>
      <c r="C1362">
        <v>80</v>
      </c>
      <c r="D1362">
        <v>74.033645629999995</v>
      </c>
      <c r="E1362">
        <v>40</v>
      </c>
      <c r="F1362">
        <v>39.967445374</v>
      </c>
      <c r="G1362">
        <v>1329.4956055</v>
      </c>
      <c r="H1362">
        <v>1328.7026367000001</v>
      </c>
      <c r="I1362">
        <v>1333.8210449000001</v>
      </c>
      <c r="J1362">
        <v>1332.5009766000001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1364.067448</v>
      </c>
      <c r="B1363" s="1">
        <f>DATE(2014,1,24) + TIME(1,37,7)</f>
        <v>41663.067442129628</v>
      </c>
      <c r="C1363">
        <v>80</v>
      </c>
      <c r="D1363">
        <v>73.747329711999996</v>
      </c>
      <c r="E1363">
        <v>40</v>
      </c>
      <c r="F1363">
        <v>39.967308043999999</v>
      </c>
      <c r="G1363">
        <v>1329.4624022999999</v>
      </c>
      <c r="H1363">
        <v>1328.6586914</v>
      </c>
      <c r="I1363">
        <v>1333.8210449000001</v>
      </c>
      <c r="J1363">
        <v>1332.5002440999999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1367.2831060000001</v>
      </c>
      <c r="B1364" s="1">
        <f>DATE(2014,1,27) + TIME(6,47,40)</f>
        <v>41666.283101851855</v>
      </c>
      <c r="C1364">
        <v>80</v>
      </c>
      <c r="D1364">
        <v>73.452095032000003</v>
      </c>
      <c r="E1364">
        <v>40</v>
      </c>
      <c r="F1364">
        <v>39.967166900999999</v>
      </c>
      <c r="G1364">
        <v>1329.4295654</v>
      </c>
      <c r="H1364">
        <v>1328.6153564000001</v>
      </c>
      <c r="I1364">
        <v>1333.8209228999999</v>
      </c>
      <c r="J1364">
        <v>1332.4995117000001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1370.6017320000001</v>
      </c>
      <c r="B1365" s="1">
        <f>DATE(2014,1,30) + TIME(14,26,29)</f>
        <v>41669.601724537039</v>
      </c>
      <c r="C1365">
        <v>80</v>
      </c>
      <c r="D1365">
        <v>73.146705627000003</v>
      </c>
      <c r="E1365">
        <v>40</v>
      </c>
      <c r="F1365">
        <v>39.967029572000001</v>
      </c>
      <c r="G1365">
        <v>1329.3969727000001</v>
      </c>
      <c r="H1365">
        <v>1328.5722656</v>
      </c>
      <c r="I1365">
        <v>1333.8209228999999</v>
      </c>
      <c r="J1365">
        <v>1332.4989014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1372</v>
      </c>
      <c r="B1366" s="1">
        <f>DATE(2014,2,1) + TIME(0,0,0)</f>
        <v>41671</v>
      </c>
      <c r="C1366">
        <v>80</v>
      </c>
      <c r="D1366">
        <v>72.953468322999996</v>
      </c>
      <c r="E1366">
        <v>40</v>
      </c>
      <c r="F1366">
        <v>39.966972351000003</v>
      </c>
      <c r="G1366">
        <v>1329.3648682</v>
      </c>
      <c r="H1366">
        <v>1328.5311279</v>
      </c>
      <c r="I1366">
        <v>1333.8208007999999</v>
      </c>
      <c r="J1366">
        <v>1332.4981689000001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1375.448009</v>
      </c>
      <c r="B1367" s="1">
        <f>DATE(2014,2,4) + TIME(10,45,7)</f>
        <v>41674.447997685187</v>
      </c>
      <c r="C1367">
        <v>80</v>
      </c>
      <c r="D1367">
        <v>72.668952942000004</v>
      </c>
      <c r="E1367">
        <v>40</v>
      </c>
      <c r="F1367">
        <v>39.966835021999998</v>
      </c>
      <c r="G1367">
        <v>1329.3475341999999</v>
      </c>
      <c r="H1367">
        <v>1328.5050048999999</v>
      </c>
      <c r="I1367">
        <v>1333.8208007999999</v>
      </c>
      <c r="J1367">
        <v>1332.4980469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1379.063582</v>
      </c>
      <c r="B1368" s="1">
        <f>DATE(2014,2,8) + TIME(1,31,33)</f>
        <v>41678.063576388886</v>
      </c>
      <c r="C1368">
        <v>80</v>
      </c>
      <c r="D1368">
        <v>72.351242064999994</v>
      </c>
      <c r="E1368">
        <v>40</v>
      </c>
      <c r="F1368">
        <v>39.966690063000001</v>
      </c>
      <c r="G1368">
        <v>1329.3170166</v>
      </c>
      <c r="H1368">
        <v>1328.4659423999999</v>
      </c>
      <c r="I1368">
        <v>1333.8206786999999</v>
      </c>
      <c r="J1368">
        <v>1332.4974365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1382.758433</v>
      </c>
      <c r="B1369" s="1">
        <f>DATE(2014,2,11) + TIME(18,12,8)</f>
        <v>41681.758425925924</v>
      </c>
      <c r="C1369">
        <v>80</v>
      </c>
      <c r="D1369">
        <v>72.012619018999999</v>
      </c>
      <c r="E1369">
        <v>40</v>
      </c>
      <c r="F1369">
        <v>39.966545105000002</v>
      </c>
      <c r="G1369">
        <v>1329.2851562000001</v>
      </c>
      <c r="H1369">
        <v>1328.4246826000001</v>
      </c>
      <c r="I1369">
        <v>1333.8205565999999</v>
      </c>
      <c r="J1369">
        <v>1332.4969481999999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1386.563306</v>
      </c>
      <c r="B1370" s="1">
        <f>DATE(2014,2,15) + TIME(13,31,9)</f>
        <v>41685.563298611109</v>
      </c>
      <c r="C1370">
        <v>80</v>
      </c>
      <c r="D1370">
        <v>71.659141540999997</v>
      </c>
      <c r="E1370">
        <v>40</v>
      </c>
      <c r="F1370">
        <v>39.966400145999998</v>
      </c>
      <c r="G1370">
        <v>1329.2529297000001</v>
      </c>
      <c r="H1370">
        <v>1328.3825684000001</v>
      </c>
      <c r="I1370">
        <v>1333.8203125</v>
      </c>
      <c r="J1370">
        <v>1332.496582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1390.490959</v>
      </c>
      <c r="B1371" s="1">
        <f>DATE(2014,2,19) + TIME(11,46,58)</f>
        <v>41689.490949074076</v>
      </c>
      <c r="C1371">
        <v>80</v>
      </c>
      <c r="D1371">
        <v>71.292541503999999</v>
      </c>
      <c r="E1371">
        <v>40</v>
      </c>
      <c r="F1371">
        <v>39.966251372999999</v>
      </c>
      <c r="G1371">
        <v>1329.2207031</v>
      </c>
      <c r="H1371">
        <v>1328.340332</v>
      </c>
      <c r="I1371">
        <v>1333.8200684000001</v>
      </c>
      <c r="J1371">
        <v>1332.4960937999999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1394.459906</v>
      </c>
      <c r="B1372" s="1">
        <f>DATE(2014,2,23) + TIME(11,2,15)</f>
        <v>41693.45989583333</v>
      </c>
      <c r="C1372">
        <v>80</v>
      </c>
      <c r="D1372">
        <v>70.916511536000002</v>
      </c>
      <c r="E1372">
        <v>40</v>
      </c>
      <c r="F1372">
        <v>39.966110229000002</v>
      </c>
      <c r="G1372">
        <v>1329.1884766000001</v>
      </c>
      <c r="H1372">
        <v>1328.2980957</v>
      </c>
      <c r="I1372">
        <v>1333.8198242000001</v>
      </c>
      <c r="J1372">
        <v>1332.4958495999999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1398.49875</v>
      </c>
      <c r="B1373" s="1">
        <f>DATE(2014,2,27) + TIME(11,58,12)</f>
        <v>41697.498749999999</v>
      </c>
      <c r="C1373">
        <v>80</v>
      </c>
      <c r="D1373">
        <v>70.533386230000005</v>
      </c>
      <c r="E1373">
        <v>40</v>
      </c>
      <c r="F1373">
        <v>39.965965271000002</v>
      </c>
      <c r="G1373">
        <v>1329.1566161999999</v>
      </c>
      <c r="H1373">
        <v>1328.2563477000001</v>
      </c>
      <c r="I1373">
        <v>1333.8195800999999</v>
      </c>
      <c r="J1373">
        <v>1332.4954834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1400</v>
      </c>
      <c r="B1374" s="1">
        <f>DATE(2014,3,1) + TIME(0,0,0)</f>
        <v>41699</v>
      </c>
      <c r="C1374">
        <v>80</v>
      </c>
      <c r="D1374">
        <v>70.299079895000006</v>
      </c>
      <c r="E1374">
        <v>40</v>
      </c>
      <c r="F1374">
        <v>39.965911865000002</v>
      </c>
      <c r="G1374">
        <v>1329.1254882999999</v>
      </c>
      <c r="H1374">
        <v>1328.2170410000001</v>
      </c>
      <c r="I1374">
        <v>1333.8192139</v>
      </c>
      <c r="J1374">
        <v>1332.4951172000001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1404.1394479999999</v>
      </c>
      <c r="B1375" s="1">
        <f>DATE(2014,3,5) + TIME(3,20,48)</f>
        <v>41703.139444444445</v>
      </c>
      <c r="C1375">
        <v>80</v>
      </c>
      <c r="D1375">
        <v>69.962989807</v>
      </c>
      <c r="E1375">
        <v>40</v>
      </c>
      <c r="F1375">
        <v>39.965766907000003</v>
      </c>
      <c r="G1375">
        <v>1329.1103516000001</v>
      </c>
      <c r="H1375">
        <v>1328.1932373</v>
      </c>
      <c r="I1375">
        <v>1333.8192139</v>
      </c>
      <c r="J1375">
        <v>1332.4951172000001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1408.4713979999999</v>
      </c>
      <c r="B1376" s="1">
        <f>DATE(2014,3,9) + TIME(11,18,48)</f>
        <v>41707.471388888887</v>
      </c>
      <c r="C1376">
        <v>80</v>
      </c>
      <c r="D1376">
        <v>69.580787658999995</v>
      </c>
      <c r="E1376">
        <v>40</v>
      </c>
      <c r="F1376">
        <v>39.965618134000003</v>
      </c>
      <c r="G1376">
        <v>1329.0817870999999</v>
      </c>
      <c r="H1376">
        <v>1328.1572266000001</v>
      </c>
      <c r="I1376">
        <v>1333.8187256000001</v>
      </c>
      <c r="J1376">
        <v>1332.4948730000001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1412.990245</v>
      </c>
      <c r="B1377" s="1">
        <f>DATE(2014,3,13) + TIME(23,45,57)</f>
        <v>41711.990243055552</v>
      </c>
      <c r="C1377">
        <v>80</v>
      </c>
      <c r="D1377">
        <v>69.170722960999996</v>
      </c>
      <c r="E1377">
        <v>40</v>
      </c>
      <c r="F1377">
        <v>39.965465545999997</v>
      </c>
      <c r="G1377">
        <v>1329.0520019999999</v>
      </c>
      <c r="H1377">
        <v>1328.1186522999999</v>
      </c>
      <c r="I1377">
        <v>1333.8183594</v>
      </c>
      <c r="J1377">
        <v>1332.4946289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1417.701235</v>
      </c>
      <c r="B1378" s="1">
        <f>DATE(2014,3,18) + TIME(16,49,46)</f>
        <v>41716.701226851852</v>
      </c>
      <c r="C1378">
        <v>80</v>
      </c>
      <c r="D1378">
        <v>68.739936829000001</v>
      </c>
      <c r="E1378">
        <v>40</v>
      </c>
      <c r="F1378">
        <v>39.965305327999999</v>
      </c>
      <c r="G1378">
        <v>1329.0214844</v>
      </c>
      <c r="H1378">
        <v>1328.0789795000001</v>
      </c>
      <c r="I1378">
        <v>1333.8178711</v>
      </c>
      <c r="J1378">
        <v>1332.4945068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1422.550559</v>
      </c>
      <c r="B1379" s="1">
        <f>DATE(2014,3,23) + TIME(13,12,48)</f>
        <v>41721.550555555557</v>
      </c>
      <c r="C1379">
        <v>80</v>
      </c>
      <c r="D1379">
        <v>68.292915343999994</v>
      </c>
      <c r="E1379">
        <v>40</v>
      </c>
      <c r="F1379">
        <v>39.965148925999998</v>
      </c>
      <c r="G1379">
        <v>1328.9906006000001</v>
      </c>
      <c r="H1379">
        <v>1328.0388184000001</v>
      </c>
      <c r="I1379">
        <v>1333.8173827999999</v>
      </c>
      <c r="J1379">
        <v>1332.4943848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1427.475825</v>
      </c>
      <c r="B1380" s="1">
        <f>DATE(2014,3,28) + TIME(11,25,11)</f>
        <v>41726.475821759261</v>
      </c>
      <c r="C1380">
        <v>80</v>
      </c>
      <c r="D1380">
        <v>67.835021972999996</v>
      </c>
      <c r="E1380">
        <v>40</v>
      </c>
      <c r="F1380">
        <v>39.964988708</v>
      </c>
      <c r="G1380">
        <v>1328.9598389</v>
      </c>
      <c r="H1380">
        <v>1327.9986572</v>
      </c>
      <c r="I1380">
        <v>1333.8168945</v>
      </c>
      <c r="J1380">
        <v>1332.4942627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1431</v>
      </c>
      <c r="B1381" s="1">
        <f>DATE(2014,4,1) + TIME(0,0,0)</f>
        <v>41730</v>
      </c>
      <c r="C1381">
        <v>80</v>
      </c>
      <c r="D1381">
        <v>67.427001953000001</v>
      </c>
      <c r="E1381">
        <v>40</v>
      </c>
      <c r="F1381">
        <v>39.964874268000003</v>
      </c>
      <c r="G1381">
        <v>1328.9295654</v>
      </c>
      <c r="H1381">
        <v>1327.9595947</v>
      </c>
      <c r="I1381">
        <v>1333.8162841999999</v>
      </c>
      <c r="J1381">
        <v>1332.4941406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1436.0167819999999</v>
      </c>
      <c r="B1382" s="1">
        <f>DATE(2014,4,6) + TIME(0,24,9)</f>
        <v>41735.016770833332</v>
      </c>
      <c r="C1382">
        <v>80</v>
      </c>
      <c r="D1382">
        <v>67.012611389</v>
      </c>
      <c r="E1382">
        <v>40</v>
      </c>
      <c r="F1382">
        <v>39.964717864999997</v>
      </c>
      <c r="G1382">
        <v>1328.9061279</v>
      </c>
      <c r="H1382">
        <v>1327.9266356999999</v>
      </c>
      <c r="I1382">
        <v>1333.815918</v>
      </c>
      <c r="J1382">
        <v>1332.4941406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1441.2713879999999</v>
      </c>
      <c r="B1383" s="1">
        <f>DATE(2014,4,11) + TIME(6,30,47)</f>
        <v>41740.271377314813</v>
      </c>
      <c r="C1383">
        <v>80</v>
      </c>
      <c r="D1383">
        <v>66.554367064999994</v>
      </c>
      <c r="E1383">
        <v>40</v>
      </c>
      <c r="F1383">
        <v>39.964557648000003</v>
      </c>
      <c r="G1383">
        <v>1328.8786620999999</v>
      </c>
      <c r="H1383">
        <v>1327.8917236</v>
      </c>
      <c r="I1383">
        <v>1333.8151855000001</v>
      </c>
      <c r="J1383">
        <v>1332.4941406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1446.731131</v>
      </c>
      <c r="B1384" s="1">
        <f>DATE(2014,4,16) + TIME(17,32,49)</f>
        <v>41745.731122685182</v>
      </c>
      <c r="C1384">
        <v>80</v>
      </c>
      <c r="D1384">
        <v>66.070358275999993</v>
      </c>
      <c r="E1384">
        <v>40</v>
      </c>
      <c r="F1384">
        <v>39.964393616000002</v>
      </c>
      <c r="G1384">
        <v>1328.8504639</v>
      </c>
      <c r="H1384">
        <v>1327.8551024999999</v>
      </c>
      <c r="I1384">
        <v>1333.8145752</v>
      </c>
      <c r="J1384">
        <v>1332.4940185999999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1452.455504</v>
      </c>
      <c r="B1385" s="1">
        <f>DATE(2014,4,22) + TIME(10,55,55)</f>
        <v>41751.455497685187</v>
      </c>
      <c r="C1385">
        <v>80</v>
      </c>
      <c r="D1385">
        <v>65.566345214999998</v>
      </c>
      <c r="E1385">
        <v>40</v>
      </c>
      <c r="F1385">
        <v>39.964225769000002</v>
      </c>
      <c r="G1385">
        <v>1328.8218993999999</v>
      </c>
      <c r="H1385">
        <v>1327.8181152</v>
      </c>
      <c r="I1385">
        <v>1333.8137207</v>
      </c>
      <c r="J1385">
        <v>1332.4940185999999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1458.3238699999999</v>
      </c>
      <c r="B1386" s="1">
        <f>DATE(2014,4,28) + TIME(7,46,22)</f>
        <v>41757.323865740742</v>
      </c>
      <c r="C1386">
        <v>80</v>
      </c>
      <c r="D1386">
        <v>65.045661925999994</v>
      </c>
      <c r="E1386">
        <v>40</v>
      </c>
      <c r="F1386">
        <v>39.964057922000002</v>
      </c>
      <c r="G1386">
        <v>1328.7933350000001</v>
      </c>
      <c r="H1386">
        <v>1327.7808838000001</v>
      </c>
      <c r="I1386">
        <v>1333.8128661999999</v>
      </c>
      <c r="J1386">
        <v>1332.4940185999999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1461</v>
      </c>
      <c r="B1387" s="1">
        <f>DATE(2014,5,1) + TIME(0,0,0)</f>
        <v>41760</v>
      </c>
      <c r="C1387">
        <v>80</v>
      </c>
      <c r="D1387">
        <v>64.655311584000003</v>
      </c>
      <c r="E1387">
        <v>40</v>
      </c>
      <c r="F1387">
        <v>39.963973998999997</v>
      </c>
      <c r="G1387">
        <v>1328.7646483999999</v>
      </c>
      <c r="H1387">
        <v>1327.7451172000001</v>
      </c>
      <c r="I1387">
        <v>1333.8120117000001</v>
      </c>
      <c r="J1387">
        <v>1332.4940185999999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1461.0000010000001</v>
      </c>
      <c r="B1388" s="1">
        <f>DATE(2014,5,1) + TIME(0,0,0)</f>
        <v>41760</v>
      </c>
      <c r="C1388">
        <v>80</v>
      </c>
      <c r="D1388">
        <v>64.655357361</v>
      </c>
      <c r="E1388">
        <v>40</v>
      </c>
      <c r="F1388">
        <v>39.963954926</v>
      </c>
      <c r="G1388">
        <v>1330.2650146000001</v>
      </c>
      <c r="H1388">
        <v>1329.0329589999999</v>
      </c>
      <c r="I1388">
        <v>1332.3170166</v>
      </c>
      <c r="J1388">
        <v>1331.5462646000001</v>
      </c>
      <c r="K1388">
        <v>550</v>
      </c>
      <c r="L1388">
        <v>0</v>
      </c>
      <c r="M1388">
        <v>0</v>
      </c>
      <c r="N1388">
        <v>550</v>
      </c>
    </row>
    <row r="1389" spans="1:14" x14ac:dyDescent="0.25">
      <c r="A1389">
        <v>1461.000004</v>
      </c>
      <c r="B1389" s="1">
        <f>DATE(2014,5,1) + TIME(0,0,0)</f>
        <v>41760</v>
      </c>
      <c r="C1389">
        <v>80</v>
      </c>
      <c r="D1389">
        <v>64.655441284000005</v>
      </c>
      <c r="E1389">
        <v>40</v>
      </c>
      <c r="F1389">
        <v>39.963909149000003</v>
      </c>
      <c r="G1389">
        <v>1330.6595459</v>
      </c>
      <c r="H1389">
        <v>1329.5032959</v>
      </c>
      <c r="I1389">
        <v>1331.9525146000001</v>
      </c>
      <c r="J1389">
        <v>1331.1817627</v>
      </c>
      <c r="K1389">
        <v>550</v>
      </c>
      <c r="L1389">
        <v>0</v>
      </c>
      <c r="M1389">
        <v>0</v>
      </c>
      <c r="N1389">
        <v>550</v>
      </c>
    </row>
    <row r="1390" spans="1:14" x14ac:dyDescent="0.25">
      <c r="A1390">
        <v>1461.0000130000001</v>
      </c>
      <c r="B1390" s="1">
        <f>DATE(2014,5,1) + TIME(0,0,1)</f>
        <v>41760.000011574077</v>
      </c>
      <c r="C1390">
        <v>80</v>
      </c>
      <c r="D1390">
        <v>64.655586243000002</v>
      </c>
      <c r="E1390">
        <v>40</v>
      </c>
      <c r="F1390">
        <v>39.963844299000002</v>
      </c>
      <c r="G1390">
        <v>1331.2519531</v>
      </c>
      <c r="H1390">
        <v>1330.1098632999999</v>
      </c>
      <c r="I1390">
        <v>1331.4097899999999</v>
      </c>
      <c r="J1390">
        <v>1330.6385498</v>
      </c>
      <c r="K1390">
        <v>550</v>
      </c>
      <c r="L1390">
        <v>0</v>
      </c>
      <c r="M1390">
        <v>0</v>
      </c>
      <c r="N1390">
        <v>550</v>
      </c>
    </row>
    <row r="1391" spans="1:14" x14ac:dyDescent="0.25">
      <c r="A1391">
        <v>1461.0000399999999</v>
      </c>
      <c r="B1391" s="1">
        <f>DATE(2014,5,1) + TIME(0,0,3)</f>
        <v>41760.000034722223</v>
      </c>
      <c r="C1391">
        <v>80</v>
      </c>
      <c r="D1391">
        <v>64.655860900999997</v>
      </c>
      <c r="E1391">
        <v>40</v>
      </c>
      <c r="F1391">
        <v>39.963771819999998</v>
      </c>
      <c r="G1391">
        <v>1331.9281006000001</v>
      </c>
      <c r="H1391">
        <v>1330.7578125</v>
      </c>
      <c r="I1391">
        <v>1330.802124</v>
      </c>
      <c r="J1391">
        <v>1330.0289307</v>
      </c>
      <c r="K1391">
        <v>550</v>
      </c>
      <c r="L1391">
        <v>0</v>
      </c>
      <c r="M1391">
        <v>0</v>
      </c>
      <c r="N1391">
        <v>550</v>
      </c>
    </row>
    <row r="1392" spans="1:14" x14ac:dyDescent="0.25">
      <c r="A1392">
        <v>1461.000121</v>
      </c>
      <c r="B1392" s="1">
        <f>DATE(2014,5,1) + TIME(0,0,10)</f>
        <v>41760.000115740739</v>
      </c>
      <c r="C1392">
        <v>80</v>
      </c>
      <c r="D1392">
        <v>64.656532287999994</v>
      </c>
      <c r="E1392">
        <v>40</v>
      </c>
      <c r="F1392">
        <v>39.963695526000002</v>
      </c>
      <c r="G1392">
        <v>1332.6082764</v>
      </c>
      <c r="H1392">
        <v>1331.4063721</v>
      </c>
      <c r="I1392">
        <v>1330.1944579999999</v>
      </c>
      <c r="J1392">
        <v>1329.4108887</v>
      </c>
      <c r="K1392">
        <v>550</v>
      </c>
      <c r="L1392">
        <v>0</v>
      </c>
      <c r="M1392">
        <v>0</v>
      </c>
      <c r="N1392">
        <v>550</v>
      </c>
    </row>
    <row r="1393" spans="1:14" x14ac:dyDescent="0.25">
      <c r="A1393">
        <v>1461.000364</v>
      </c>
      <c r="B1393" s="1">
        <f>DATE(2014,5,1) + TIME(0,0,31)</f>
        <v>41760.000358796293</v>
      </c>
      <c r="C1393">
        <v>80</v>
      </c>
      <c r="D1393">
        <v>64.658416747999993</v>
      </c>
      <c r="E1393">
        <v>40</v>
      </c>
      <c r="F1393">
        <v>39.963619231999999</v>
      </c>
      <c r="G1393">
        <v>1333.2413329999999</v>
      </c>
      <c r="H1393">
        <v>1332.0102539</v>
      </c>
      <c r="I1393">
        <v>1329.6204834</v>
      </c>
      <c r="J1393">
        <v>1328.8067627</v>
      </c>
      <c r="K1393">
        <v>550</v>
      </c>
      <c r="L1393">
        <v>0</v>
      </c>
      <c r="M1393">
        <v>0</v>
      </c>
      <c r="N1393">
        <v>550</v>
      </c>
    </row>
    <row r="1394" spans="1:14" x14ac:dyDescent="0.25">
      <c r="A1394">
        <v>1461.0010930000001</v>
      </c>
      <c r="B1394" s="1">
        <f>DATE(2014,5,1) + TIME(0,1,34)</f>
        <v>41760.001087962963</v>
      </c>
      <c r="C1394">
        <v>80</v>
      </c>
      <c r="D1394">
        <v>64.663978576999995</v>
      </c>
      <c r="E1394">
        <v>40</v>
      </c>
      <c r="F1394">
        <v>39.963539124</v>
      </c>
      <c r="G1394">
        <v>1333.7252197</v>
      </c>
      <c r="H1394">
        <v>1332.4716797000001</v>
      </c>
      <c r="I1394">
        <v>1329.1606445</v>
      </c>
      <c r="J1394">
        <v>1328.3056641000001</v>
      </c>
      <c r="K1394">
        <v>550</v>
      </c>
      <c r="L1394">
        <v>0</v>
      </c>
      <c r="M1394">
        <v>0</v>
      </c>
      <c r="N1394">
        <v>550</v>
      </c>
    </row>
    <row r="1395" spans="1:14" x14ac:dyDescent="0.25">
      <c r="A1395">
        <v>1461.0032799999999</v>
      </c>
      <c r="B1395" s="1">
        <f>DATE(2014,5,1) + TIME(0,4,43)</f>
        <v>41760.003275462965</v>
      </c>
      <c r="C1395">
        <v>80</v>
      </c>
      <c r="D1395">
        <v>64.680625915999997</v>
      </c>
      <c r="E1395">
        <v>40</v>
      </c>
      <c r="F1395">
        <v>39.963428497000002</v>
      </c>
      <c r="G1395">
        <v>1334.0020752</v>
      </c>
      <c r="H1395">
        <v>1332.7379149999999</v>
      </c>
      <c r="I1395">
        <v>1328.8674315999999</v>
      </c>
      <c r="J1395">
        <v>1327.9865723</v>
      </c>
      <c r="K1395">
        <v>550</v>
      </c>
      <c r="L1395">
        <v>0</v>
      </c>
      <c r="M1395">
        <v>0</v>
      </c>
      <c r="N1395">
        <v>550</v>
      </c>
    </row>
    <row r="1396" spans="1:14" x14ac:dyDescent="0.25">
      <c r="A1396">
        <v>1461.0098410000001</v>
      </c>
      <c r="B1396" s="1">
        <f>DATE(2014,5,1) + TIME(0,14,10)</f>
        <v>41760.009837962964</v>
      </c>
      <c r="C1396">
        <v>80</v>
      </c>
      <c r="D1396">
        <v>64.730453491000006</v>
      </c>
      <c r="E1396">
        <v>40</v>
      </c>
      <c r="F1396">
        <v>39.963180542000003</v>
      </c>
      <c r="G1396">
        <v>1334.1239014</v>
      </c>
      <c r="H1396">
        <v>1332.8575439000001</v>
      </c>
      <c r="I1396">
        <v>1328.7270507999999</v>
      </c>
      <c r="J1396">
        <v>1327.8374022999999</v>
      </c>
      <c r="K1396">
        <v>550</v>
      </c>
      <c r="L1396">
        <v>0</v>
      </c>
      <c r="M1396">
        <v>0</v>
      </c>
      <c r="N1396">
        <v>550</v>
      </c>
    </row>
    <row r="1397" spans="1:14" x14ac:dyDescent="0.25">
      <c r="A1397">
        <v>1461.029524</v>
      </c>
      <c r="B1397" s="1">
        <f>DATE(2014,5,1) + TIME(0,42,30)</f>
        <v>41760.029513888891</v>
      </c>
      <c r="C1397">
        <v>80</v>
      </c>
      <c r="D1397">
        <v>64.878501892000003</v>
      </c>
      <c r="E1397">
        <v>40</v>
      </c>
      <c r="F1397">
        <v>39.962486267000003</v>
      </c>
      <c r="G1397">
        <v>1334.1618652</v>
      </c>
      <c r="H1397">
        <v>1332.8972168</v>
      </c>
      <c r="I1397">
        <v>1328.6888428</v>
      </c>
      <c r="J1397">
        <v>1327.7972411999999</v>
      </c>
      <c r="K1397">
        <v>550</v>
      </c>
      <c r="L1397">
        <v>0</v>
      </c>
      <c r="M1397">
        <v>0</v>
      </c>
      <c r="N1397">
        <v>550</v>
      </c>
    </row>
    <row r="1398" spans="1:14" x14ac:dyDescent="0.25">
      <c r="A1398">
        <v>1461.088573</v>
      </c>
      <c r="B1398" s="1">
        <f>DATE(2014,5,1) + TIME(2,7,32)</f>
        <v>41760.088564814818</v>
      </c>
      <c r="C1398">
        <v>80</v>
      </c>
      <c r="D1398">
        <v>65.310073853000006</v>
      </c>
      <c r="E1398">
        <v>40</v>
      </c>
      <c r="F1398">
        <v>39.960445403999998</v>
      </c>
      <c r="G1398">
        <v>1334.1628418</v>
      </c>
      <c r="H1398">
        <v>1332.9046631000001</v>
      </c>
      <c r="I1398">
        <v>1328.6857910000001</v>
      </c>
      <c r="J1398">
        <v>1327.7938231999999</v>
      </c>
      <c r="K1398">
        <v>550</v>
      </c>
      <c r="L1398">
        <v>0</v>
      </c>
      <c r="M1398">
        <v>0</v>
      </c>
      <c r="N1398">
        <v>550</v>
      </c>
    </row>
    <row r="1399" spans="1:14" x14ac:dyDescent="0.25">
      <c r="A1399">
        <v>1461.1727880000001</v>
      </c>
      <c r="B1399" s="1">
        <f>DATE(2014,5,1) + TIME(4,8,48)</f>
        <v>41760.172777777778</v>
      </c>
      <c r="C1399">
        <v>80</v>
      </c>
      <c r="D1399">
        <v>65.905364989999995</v>
      </c>
      <c r="E1399">
        <v>40</v>
      </c>
      <c r="F1399">
        <v>39.957569122000002</v>
      </c>
      <c r="G1399">
        <v>1334.1763916</v>
      </c>
      <c r="H1399">
        <v>1332.9177245999999</v>
      </c>
      <c r="I1399">
        <v>1328.6861572</v>
      </c>
      <c r="J1399">
        <v>1327.7937012</v>
      </c>
      <c r="K1399">
        <v>550</v>
      </c>
      <c r="L1399">
        <v>0</v>
      </c>
      <c r="M1399">
        <v>0</v>
      </c>
      <c r="N1399">
        <v>550</v>
      </c>
    </row>
    <row r="1400" spans="1:14" x14ac:dyDescent="0.25">
      <c r="A1400">
        <v>1461.2588470000001</v>
      </c>
      <c r="B1400" s="1">
        <f>DATE(2014,5,1) + TIME(6,12,44)</f>
        <v>41760.258842592593</v>
      </c>
      <c r="C1400">
        <v>80</v>
      </c>
      <c r="D1400">
        <v>66.496391295999999</v>
      </c>
      <c r="E1400">
        <v>40</v>
      </c>
      <c r="F1400">
        <v>39.954650878999999</v>
      </c>
      <c r="G1400">
        <v>1334.2073975000001</v>
      </c>
      <c r="H1400">
        <v>1332.9405518000001</v>
      </c>
      <c r="I1400">
        <v>1328.6865233999999</v>
      </c>
      <c r="J1400">
        <v>1327.7933350000001</v>
      </c>
      <c r="K1400">
        <v>550</v>
      </c>
      <c r="L1400">
        <v>0</v>
      </c>
      <c r="M1400">
        <v>0</v>
      </c>
      <c r="N1400">
        <v>550</v>
      </c>
    </row>
    <row r="1401" spans="1:14" x14ac:dyDescent="0.25">
      <c r="A1401">
        <v>1461.3468170000001</v>
      </c>
      <c r="B1401" s="1">
        <f>DATE(2014,5,1) + TIME(8,19,24)</f>
        <v>41760.346805555557</v>
      </c>
      <c r="C1401">
        <v>80</v>
      </c>
      <c r="D1401">
        <v>67.082672118999994</v>
      </c>
      <c r="E1401">
        <v>40</v>
      </c>
      <c r="F1401">
        <v>39.951694488999998</v>
      </c>
      <c r="G1401">
        <v>1334.2401123</v>
      </c>
      <c r="H1401">
        <v>1332.9645995999999</v>
      </c>
      <c r="I1401">
        <v>1328.6870117000001</v>
      </c>
      <c r="J1401">
        <v>1327.7929687999999</v>
      </c>
      <c r="K1401">
        <v>550</v>
      </c>
      <c r="L1401">
        <v>0</v>
      </c>
      <c r="M1401">
        <v>0</v>
      </c>
      <c r="N1401">
        <v>550</v>
      </c>
    </row>
    <row r="1402" spans="1:14" x14ac:dyDescent="0.25">
      <c r="A1402">
        <v>1461.4367689999999</v>
      </c>
      <c r="B1402" s="1">
        <f>DATE(2014,5,1) + TIME(10,28,56)</f>
        <v>41760.436759259261</v>
      </c>
      <c r="C1402">
        <v>80</v>
      </c>
      <c r="D1402">
        <v>67.663642882999994</v>
      </c>
      <c r="E1402">
        <v>40</v>
      </c>
      <c r="F1402">
        <v>39.948696136000002</v>
      </c>
      <c r="G1402">
        <v>1334.2746582</v>
      </c>
      <c r="H1402">
        <v>1332.989624</v>
      </c>
      <c r="I1402">
        <v>1328.6873779</v>
      </c>
      <c r="J1402">
        <v>1327.7924805</v>
      </c>
      <c r="K1402">
        <v>550</v>
      </c>
      <c r="L1402">
        <v>0</v>
      </c>
      <c r="M1402">
        <v>0</v>
      </c>
      <c r="N1402">
        <v>550</v>
      </c>
    </row>
    <row r="1403" spans="1:14" x14ac:dyDescent="0.25">
      <c r="A1403">
        <v>1461.5288049999999</v>
      </c>
      <c r="B1403" s="1">
        <f>DATE(2014,5,1) + TIME(12,41,28)</f>
        <v>41760.528796296298</v>
      </c>
      <c r="C1403">
        <v>80</v>
      </c>
      <c r="D1403">
        <v>68.238868713000002</v>
      </c>
      <c r="E1403">
        <v>40</v>
      </c>
      <c r="F1403">
        <v>39.945652008000003</v>
      </c>
      <c r="G1403">
        <v>1334.3109131000001</v>
      </c>
      <c r="H1403">
        <v>1333.0157471</v>
      </c>
      <c r="I1403">
        <v>1328.6877440999999</v>
      </c>
      <c r="J1403">
        <v>1327.7921143000001</v>
      </c>
      <c r="K1403">
        <v>550</v>
      </c>
      <c r="L1403">
        <v>0</v>
      </c>
      <c r="M1403">
        <v>0</v>
      </c>
      <c r="N1403">
        <v>550</v>
      </c>
    </row>
    <row r="1404" spans="1:14" x14ac:dyDescent="0.25">
      <c r="A1404">
        <v>1461.62302</v>
      </c>
      <c r="B1404" s="1">
        <f>DATE(2014,5,1) + TIME(14,57,8)</f>
        <v>41760.62300925926</v>
      </c>
      <c r="C1404">
        <v>80</v>
      </c>
      <c r="D1404">
        <v>68.807762146000002</v>
      </c>
      <c r="E1404">
        <v>40</v>
      </c>
      <c r="F1404">
        <v>39.942562103</v>
      </c>
      <c r="G1404">
        <v>1334.3486327999999</v>
      </c>
      <c r="H1404">
        <v>1333.0429687999999</v>
      </c>
      <c r="I1404">
        <v>1328.6881103999999</v>
      </c>
      <c r="J1404">
        <v>1327.791626</v>
      </c>
      <c r="K1404">
        <v>550</v>
      </c>
      <c r="L1404">
        <v>0</v>
      </c>
      <c r="M1404">
        <v>0</v>
      </c>
      <c r="N1404">
        <v>550</v>
      </c>
    </row>
    <row r="1405" spans="1:14" x14ac:dyDescent="0.25">
      <c r="A1405">
        <v>1461.719517</v>
      </c>
      <c r="B1405" s="1">
        <f>DATE(2014,5,1) + TIME(17,16,6)</f>
        <v>41760.719513888886</v>
      </c>
      <c r="C1405">
        <v>80</v>
      </c>
      <c r="D1405">
        <v>69.369705199999999</v>
      </c>
      <c r="E1405">
        <v>40</v>
      </c>
      <c r="F1405">
        <v>39.939426421999997</v>
      </c>
      <c r="G1405">
        <v>1334.3880615</v>
      </c>
      <c r="H1405">
        <v>1333.0711670000001</v>
      </c>
      <c r="I1405">
        <v>1328.6884766000001</v>
      </c>
      <c r="J1405">
        <v>1327.7910156</v>
      </c>
      <c r="K1405">
        <v>550</v>
      </c>
      <c r="L1405">
        <v>0</v>
      </c>
      <c r="M1405">
        <v>0</v>
      </c>
      <c r="N1405">
        <v>550</v>
      </c>
    </row>
    <row r="1406" spans="1:14" x14ac:dyDescent="0.25">
      <c r="A1406">
        <v>1461.818405</v>
      </c>
      <c r="B1406" s="1">
        <f>DATE(2014,5,1) + TIME(19,38,30)</f>
        <v>41760.818402777775</v>
      </c>
      <c r="C1406">
        <v>80</v>
      </c>
      <c r="D1406">
        <v>69.924018860000004</v>
      </c>
      <c r="E1406">
        <v>40</v>
      </c>
      <c r="F1406">
        <v>39.936241150000001</v>
      </c>
      <c r="G1406">
        <v>1334.4288329999999</v>
      </c>
      <c r="H1406">
        <v>1333.1002197</v>
      </c>
      <c r="I1406">
        <v>1328.6889647999999</v>
      </c>
      <c r="J1406">
        <v>1327.7905272999999</v>
      </c>
      <c r="K1406">
        <v>550</v>
      </c>
      <c r="L1406">
        <v>0</v>
      </c>
      <c r="M1406">
        <v>0</v>
      </c>
      <c r="N1406">
        <v>550</v>
      </c>
    </row>
    <row r="1407" spans="1:14" x14ac:dyDescent="0.25">
      <c r="A1407">
        <v>1461.9197999999999</v>
      </c>
      <c r="B1407" s="1">
        <f>DATE(2014,5,1) + TIME(22,4,30)</f>
        <v>41760.919791666667</v>
      </c>
      <c r="C1407">
        <v>80</v>
      </c>
      <c r="D1407">
        <v>70.469635010000005</v>
      </c>
      <c r="E1407">
        <v>40</v>
      </c>
      <c r="F1407">
        <v>39.933006286999998</v>
      </c>
      <c r="G1407">
        <v>1334.4709473</v>
      </c>
      <c r="H1407">
        <v>1333.1301269999999</v>
      </c>
      <c r="I1407">
        <v>1328.6893310999999</v>
      </c>
      <c r="J1407">
        <v>1327.7899170000001</v>
      </c>
      <c r="K1407">
        <v>550</v>
      </c>
      <c r="L1407">
        <v>0</v>
      </c>
      <c r="M1407">
        <v>0</v>
      </c>
      <c r="N1407">
        <v>550</v>
      </c>
    </row>
    <row r="1408" spans="1:14" x14ac:dyDescent="0.25">
      <c r="A1408">
        <v>1462.023829</v>
      </c>
      <c r="B1408" s="1">
        <f>DATE(2014,5,2) + TIME(0,34,18)</f>
        <v>41761.023819444446</v>
      </c>
      <c r="C1408">
        <v>80</v>
      </c>
      <c r="D1408">
        <v>71.006080627000003</v>
      </c>
      <c r="E1408">
        <v>40</v>
      </c>
      <c r="F1408">
        <v>39.929714203000003</v>
      </c>
      <c r="G1408">
        <v>1334.5144043</v>
      </c>
      <c r="H1408">
        <v>1333.1608887</v>
      </c>
      <c r="I1408">
        <v>1328.6896973</v>
      </c>
      <c r="J1408">
        <v>1327.7893065999999</v>
      </c>
      <c r="K1408">
        <v>550</v>
      </c>
      <c r="L1408">
        <v>0</v>
      </c>
      <c r="M1408">
        <v>0</v>
      </c>
      <c r="N1408">
        <v>550</v>
      </c>
    </row>
    <row r="1409" spans="1:14" x14ac:dyDescent="0.25">
      <c r="A1409">
        <v>1462.130635</v>
      </c>
      <c r="B1409" s="1">
        <f>DATE(2014,5,2) + TIME(3,8,6)</f>
        <v>41761.130624999998</v>
      </c>
      <c r="C1409">
        <v>80</v>
      </c>
      <c r="D1409">
        <v>71.532646178999997</v>
      </c>
      <c r="E1409">
        <v>40</v>
      </c>
      <c r="F1409">
        <v>39.926368713000002</v>
      </c>
      <c r="G1409">
        <v>1334.5589600000001</v>
      </c>
      <c r="H1409">
        <v>1333.1923827999999</v>
      </c>
      <c r="I1409">
        <v>1328.6901855000001</v>
      </c>
      <c r="J1409">
        <v>1327.7885742000001</v>
      </c>
      <c r="K1409">
        <v>550</v>
      </c>
      <c r="L1409">
        <v>0</v>
      </c>
      <c r="M1409">
        <v>0</v>
      </c>
      <c r="N1409">
        <v>550</v>
      </c>
    </row>
    <row r="1410" spans="1:14" x14ac:dyDescent="0.25">
      <c r="A1410">
        <v>1462.240372</v>
      </c>
      <c r="B1410" s="1">
        <f>DATE(2014,5,2) + TIME(5,46,8)</f>
        <v>41761.240370370368</v>
      </c>
      <c r="C1410">
        <v>80</v>
      </c>
      <c r="D1410">
        <v>72.048561096</v>
      </c>
      <c r="E1410">
        <v>40</v>
      </c>
      <c r="F1410">
        <v>39.922962189000003</v>
      </c>
      <c r="G1410">
        <v>1334.6046143000001</v>
      </c>
      <c r="H1410">
        <v>1333.2246094</v>
      </c>
      <c r="I1410">
        <v>1328.6905518000001</v>
      </c>
      <c r="J1410">
        <v>1327.7878418</v>
      </c>
      <c r="K1410">
        <v>550</v>
      </c>
      <c r="L1410">
        <v>0</v>
      </c>
      <c r="M1410">
        <v>0</v>
      </c>
      <c r="N1410">
        <v>550</v>
      </c>
    </row>
    <row r="1411" spans="1:14" x14ac:dyDescent="0.25">
      <c r="A1411">
        <v>1462.3532110000001</v>
      </c>
      <c r="B1411" s="1">
        <f>DATE(2014,5,2) + TIME(8,28,37)</f>
        <v>41761.353206018517</v>
      </c>
      <c r="C1411">
        <v>80</v>
      </c>
      <c r="D1411">
        <v>72.553016662999994</v>
      </c>
      <c r="E1411">
        <v>40</v>
      </c>
      <c r="F1411">
        <v>39.919494628999999</v>
      </c>
      <c r="G1411">
        <v>1334.6513672000001</v>
      </c>
      <c r="H1411">
        <v>1333.2574463000001</v>
      </c>
      <c r="I1411">
        <v>1328.690918</v>
      </c>
      <c r="J1411">
        <v>1327.7872314000001</v>
      </c>
      <c r="K1411">
        <v>550</v>
      </c>
      <c r="L1411">
        <v>0</v>
      </c>
      <c r="M1411">
        <v>0</v>
      </c>
      <c r="N1411">
        <v>550</v>
      </c>
    </row>
    <row r="1412" spans="1:14" x14ac:dyDescent="0.25">
      <c r="A1412">
        <v>1462.4693950000001</v>
      </c>
      <c r="B1412" s="1">
        <f>DATE(2014,5,2) + TIME(11,15,55)</f>
        <v>41761.469386574077</v>
      </c>
      <c r="C1412">
        <v>80</v>
      </c>
      <c r="D1412">
        <v>73.045448303000001</v>
      </c>
      <c r="E1412">
        <v>40</v>
      </c>
      <c r="F1412">
        <v>39.915958404999998</v>
      </c>
      <c r="G1412">
        <v>1334.6988524999999</v>
      </c>
      <c r="H1412">
        <v>1333.2907714999999</v>
      </c>
      <c r="I1412">
        <v>1328.6912841999999</v>
      </c>
      <c r="J1412">
        <v>1327.7863769999999</v>
      </c>
      <c r="K1412">
        <v>550</v>
      </c>
      <c r="L1412">
        <v>0</v>
      </c>
      <c r="M1412">
        <v>0</v>
      </c>
      <c r="N1412">
        <v>550</v>
      </c>
    </row>
    <row r="1413" spans="1:14" x14ac:dyDescent="0.25">
      <c r="A1413">
        <v>1462.589086</v>
      </c>
      <c r="B1413" s="1">
        <f>DATE(2014,5,2) + TIME(14,8,17)</f>
        <v>41761.589085648149</v>
      </c>
      <c r="C1413">
        <v>80</v>
      </c>
      <c r="D1413">
        <v>73.524833678999997</v>
      </c>
      <c r="E1413">
        <v>40</v>
      </c>
      <c r="F1413">
        <v>39.912353516000003</v>
      </c>
      <c r="G1413">
        <v>1334.7471923999999</v>
      </c>
      <c r="H1413">
        <v>1333.324707</v>
      </c>
      <c r="I1413">
        <v>1328.6917725000001</v>
      </c>
      <c r="J1413">
        <v>1327.7856445</v>
      </c>
      <c r="K1413">
        <v>550</v>
      </c>
      <c r="L1413">
        <v>0</v>
      </c>
      <c r="M1413">
        <v>0</v>
      </c>
      <c r="N1413">
        <v>550</v>
      </c>
    </row>
    <row r="1414" spans="1:14" x14ac:dyDescent="0.25">
      <c r="A1414">
        <v>1462.7125129999999</v>
      </c>
      <c r="B1414" s="1">
        <f>DATE(2014,5,2) + TIME(17,6,1)</f>
        <v>41761.712511574071</v>
      </c>
      <c r="C1414">
        <v>80</v>
      </c>
      <c r="D1414">
        <v>73.990379333000007</v>
      </c>
      <c r="E1414">
        <v>40</v>
      </c>
      <c r="F1414">
        <v>39.908676147000001</v>
      </c>
      <c r="G1414">
        <v>1334.7963867000001</v>
      </c>
      <c r="H1414">
        <v>1333.3590088000001</v>
      </c>
      <c r="I1414">
        <v>1328.6921387</v>
      </c>
      <c r="J1414">
        <v>1327.7847899999999</v>
      </c>
      <c r="K1414">
        <v>550</v>
      </c>
      <c r="L1414">
        <v>0</v>
      </c>
      <c r="M1414">
        <v>0</v>
      </c>
      <c r="N1414">
        <v>550</v>
      </c>
    </row>
    <row r="1415" spans="1:14" x14ac:dyDescent="0.25">
      <c r="A1415">
        <v>1462.839929</v>
      </c>
      <c r="B1415" s="1">
        <f>DATE(2014,5,2) + TIME(20,9,29)</f>
        <v>41761.839918981481</v>
      </c>
      <c r="C1415">
        <v>80</v>
      </c>
      <c r="D1415">
        <v>74.441307068</v>
      </c>
      <c r="E1415">
        <v>40</v>
      </c>
      <c r="F1415">
        <v>39.904918670999997</v>
      </c>
      <c r="G1415">
        <v>1334.8460693</v>
      </c>
      <c r="H1415">
        <v>1333.3936768000001</v>
      </c>
      <c r="I1415">
        <v>1328.6925048999999</v>
      </c>
      <c r="J1415">
        <v>1327.7839355000001</v>
      </c>
      <c r="K1415">
        <v>550</v>
      </c>
      <c r="L1415">
        <v>0</v>
      </c>
      <c r="M1415">
        <v>0</v>
      </c>
      <c r="N1415">
        <v>550</v>
      </c>
    </row>
    <row r="1416" spans="1:14" x14ac:dyDescent="0.25">
      <c r="A1416">
        <v>1462.97162</v>
      </c>
      <c r="B1416" s="1">
        <f>DATE(2014,5,2) + TIME(23,19,7)</f>
        <v>41761.971608796295</v>
      </c>
      <c r="C1416">
        <v>80</v>
      </c>
      <c r="D1416">
        <v>74.876861571999996</v>
      </c>
      <c r="E1416">
        <v>40</v>
      </c>
      <c r="F1416">
        <v>39.901077270999998</v>
      </c>
      <c r="G1416">
        <v>1334.8962402</v>
      </c>
      <c r="H1416">
        <v>1333.4287108999999</v>
      </c>
      <c r="I1416">
        <v>1328.6928711</v>
      </c>
      <c r="J1416">
        <v>1327.7830810999999</v>
      </c>
      <c r="K1416">
        <v>550</v>
      </c>
      <c r="L1416">
        <v>0</v>
      </c>
      <c r="M1416">
        <v>0</v>
      </c>
      <c r="N1416">
        <v>550</v>
      </c>
    </row>
    <row r="1417" spans="1:14" x14ac:dyDescent="0.25">
      <c r="A1417">
        <v>1463.1079030000001</v>
      </c>
      <c r="B1417" s="1">
        <f>DATE(2014,5,3) + TIME(2,35,22)</f>
        <v>41762.107893518521</v>
      </c>
      <c r="C1417">
        <v>80</v>
      </c>
      <c r="D1417">
        <v>75.296081543</v>
      </c>
      <c r="E1417">
        <v>40</v>
      </c>
      <c r="F1417">
        <v>39.897148131999998</v>
      </c>
      <c r="G1417">
        <v>1334.9468993999999</v>
      </c>
      <c r="H1417">
        <v>1333.4639893000001</v>
      </c>
      <c r="I1417">
        <v>1328.6932373</v>
      </c>
      <c r="J1417">
        <v>1327.7822266000001</v>
      </c>
      <c r="K1417">
        <v>550</v>
      </c>
      <c r="L1417">
        <v>0</v>
      </c>
      <c r="M1417">
        <v>0</v>
      </c>
      <c r="N1417">
        <v>550</v>
      </c>
    </row>
    <row r="1418" spans="1:14" x14ac:dyDescent="0.25">
      <c r="A1418">
        <v>1463.2491319999999</v>
      </c>
      <c r="B1418" s="1">
        <f>DATE(2014,5,3) + TIME(5,58,45)</f>
        <v>41762.249131944445</v>
      </c>
      <c r="C1418">
        <v>80</v>
      </c>
      <c r="D1418">
        <v>75.698417664000004</v>
      </c>
      <c r="E1418">
        <v>40</v>
      </c>
      <c r="F1418">
        <v>39.893123627000001</v>
      </c>
      <c r="G1418">
        <v>1334.9978027</v>
      </c>
      <c r="H1418">
        <v>1333.4993896000001</v>
      </c>
      <c r="I1418">
        <v>1328.6936035000001</v>
      </c>
      <c r="J1418">
        <v>1327.78125</v>
      </c>
      <c r="K1418">
        <v>550</v>
      </c>
      <c r="L1418">
        <v>0</v>
      </c>
      <c r="M1418">
        <v>0</v>
      </c>
      <c r="N1418">
        <v>550</v>
      </c>
    </row>
    <row r="1419" spans="1:14" x14ac:dyDescent="0.25">
      <c r="A1419">
        <v>1463.3957109999999</v>
      </c>
      <c r="B1419" s="1">
        <f>DATE(2014,5,3) + TIME(9,29,49)</f>
        <v>41762.39570601852</v>
      </c>
      <c r="C1419">
        <v>80</v>
      </c>
      <c r="D1419">
        <v>76.083328246999997</v>
      </c>
      <c r="E1419">
        <v>40</v>
      </c>
      <c r="F1419">
        <v>39.888996124000002</v>
      </c>
      <c r="G1419">
        <v>1335.0489502</v>
      </c>
      <c r="H1419">
        <v>1333.5349120999999</v>
      </c>
      <c r="I1419">
        <v>1328.6939697</v>
      </c>
      <c r="J1419">
        <v>1327.7802733999999</v>
      </c>
      <c r="K1419">
        <v>550</v>
      </c>
      <c r="L1419">
        <v>0</v>
      </c>
      <c r="M1419">
        <v>0</v>
      </c>
      <c r="N1419">
        <v>550</v>
      </c>
    </row>
    <row r="1420" spans="1:14" x14ac:dyDescent="0.25">
      <c r="A1420">
        <v>1463.5480930000001</v>
      </c>
      <c r="B1420" s="1">
        <f>DATE(2014,5,3) + TIME(13,9,15)</f>
        <v>41762.548090277778</v>
      </c>
      <c r="C1420">
        <v>80</v>
      </c>
      <c r="D1420">
        <v>76.450241089000002</v>
      </c>
      <c r="E1420">
        <v>40</v>
      </c>
      <c r="F1420">
        <v>39.884761810000001</v>
      </c>
      <c r="G1420">
        <v>1335.1002197</v>
      </c>
      <c r="H1420">
        <v>1333.5704346</v>
      </c>
      <c r="I1420">
        <v>1328.6943358999999</v>
      </c>
      <c r="J1420">
        <v>1327.7792969</v>
      </c>
      <c r="K1420">
        <v>550</v>
      </c>
      <c r="L1420">
        <v>0</v>
      </c>
      <c r="M1420">
        <v>0</v>
      </c>
      <c r="N1420">
        <v>550</v>
      </c>
    </row>
    <row r="1421" spans="1:14" x14ac:dyDescent="0.25">
      <c r="A1421">
        <v>1463.7067939999999</v>
      </c>
      <c r="B1421" s="1">
        <f>DATE(2014,5,3) + TIME(16,57,47)</f>
        <v>41762.706793981481</v>
      </c>
      <c r="C1421">
        <v>80</v>
      </c>
      <c r="D1421">
        <v>76.798637389999996</v>
      </c>
      <c r="E1421">
        <v>40</v>
      </c>
      <c r="F1421">
        <v>39.880405426000003</v>
      </c>
      <c r="G1421">
        <v>1335.1514893000001</v>
      </c>
      <c r="H1421">
        <v>1333.605957</v>
      </c>
      <c r="I1421">
        <v>1328.6947021000001</v>
      </c>
      <c r="J1421">
        <v>1327.7783202999999</v>
      </c>
      <c r="K1421">
        <v>550</v>
      </c>
      <c r="L1421">
        <v>0</v>
      </c>
      <c r="M1421">
        <v>0</v>
      </c>
      <c r="N1421">
        <v>550</v>
      </c>
    </row>
    <row r="1422" spans="1:14" x14ac:dyDescent="0.25">
      <c r="A1422">
        <v>1463.8724850000001</v>
      </c>
      <c r="B1422" s="1">
        <f>DATE(2014,5,3) + TIME(20,56,22)</f>
        <v>41762.872476851851</v>
      </c>
      <c r="C1422">
        <v>80</v>
      </c>
      <c r="D1422">
        <v>77.128234863000003</v>
      </c>
      <c r="E1422">
        <v>40</v>
      </c>
      <c r="F1422">
        <v>39.875919342000003</v>
      </c>
      <c r="G1422">
        <v>1335.2026367000001</v>
      </c>
      <c r="H1422">
        <v>1333.6413574000001</v>
      </c>
      <c r="I1422">
        <v>1328.6949463000001</v>
      </c>
      <c r="J1422">
        <v>1327.7772216999999</v>
      </c>
      <c r="K1422">
        <v>550</v>
      </c>
      <c r="L1422">
        <v>0</v>
      </c>
      <c r="M1422">
        <v>0</v>
      </c>
      <c r="N1422">
        <v>550</v>
      </c>
    </row>
    <row r="1423" spans="1:14" x14ac:dyDescent="0.25">
      <c r="A1423">
        <v>1464.0458269999999</v>
      </c>
      <c r="B1423" s="1">
        <f>DATE(2014,5,4) + TIME(1,5,59)</f>
        <v>41763.04582175926</v>
      </c>
      <c r="C1423">
        <v>80</v>
      </c>
      <c r="D1423">
        <v>77.438613892000006</v>
      </c>
      <c r="E1423">
        <v>40</v>
      </c>
      <c r="F1423">
        <v>39.871292113999999</v>
      </c>
      <c r="G1423">
        <v>1335.2536620999999</v>
      </c>
      <c r="H1423">
        <v>1333.6766356999999</v>
      </c>
      <c r="I1423">
        <v>1328.6953125</v>
      </c>
      <c r="J1423">
        <v>1327.7761230000001</v>
      </c>
      <c r="K1423">
        <v>550</v>
      </c>
      <c r="L1423">
        <v>0</v>
      </c>
      <c r="M1423">
        <v>0</v>
      </c>
      <c r="N1423">
        <v>550</v>
      </c>
    </row>
    <row r="1424" spans="1:14" x14ac:dyDescent="0.25">
      <c r="A1424">
        <v>1464.2275749999999</v>
      </c>
      <c r="B1424" s="1">
        <f>DATE(2014,5,4) + TIME(5,27,42)</f>
        <v>41763.227569444447</v>
      </c>
      <c r="C1424">
        <v>80</v>
      </c>
      <c r="D1424">
        <v>77.729408264</v>
      </c>
      <c r="E1424">
        <v>40</v>
      </c>
      <c r="F1424">
        <v>39.866508484000001</v>
      </c>
      <c r="G1424">
        <v>1335.3043213000001</v>
      </c>
      <c r="H1424">
        <v>1333.7116699000001</v>
      </c>
      <c r="I1424">
        <v>1328.6955565999999</v>
      </c>
      <c r="J1424">
        <v>1327.7749022999999</v>
      </c>
      <c r="K1424">
        <v>550</v>
      </c>
      <c r="L1424">
        <v>0</v>
      </c>
      <c r="M1424">
        <v>0</v>
      </c>
      <c r="N1424">
        <v>550</v>
      </c>
    </row>
    <row r="1425" spans="1:14" x14ac:dyDescent="0.25">
      <c r="A1425">
        <v>1464.418664</v>
      </c>
      <c r="B1425" s="1">
        <f>DATE(2014,5,4) + TIME(10,2,52)</f>
        <v>41763.418657407405</v>
      </c>
      <c r="C1425">
        <v>80</v>
      </c>
      <c r="D1425">
        <v>78.000480651999993</v>
      </c>
      <c r="E1425">
        <v>40</v>
      </c>
      <c r="F1425">
        <v>39.861557007000002</v>
      </c>
      <c r="G1425">
        <v>1335.3544922000001</v>
      </c>
      <c r="H1425">
        <v>1333.7463379000001</v>
      </c>
      <c r="I1425">
        <v>1328.6958007999999</v>
      </c>
      <c r="J1425">
        <v>1327.7736815999999</v>
      </c>
      <c r="K1425">
        <v>550</v>
      </c>
      <c r="L1425">
        <v>0</v>
      </c>
      <c r="M1425">
        <v>0</v>
      </c>
      <c r="N1425">
        <v>550</v>
      </c>
    </row>
    <row r="1426" spans="1:14" x14ac:dyDescent="0.25">
      <c r="A1426">
        <v>1464.619209</v>
      </c>
      <c r="B1426" s="1">
        <f>DATE(2014,5,4) + TIME(14,51,39)</f>
        <v>41763.619201388887</v>
      </c>
      <c r="C1426">
        <v>80</v>
      </c>
      <c r="D1426">
        <v>78.250686646000005</v>
      </c>
      <c r="E1426">
        <v>40</v>
      </c>
      <c r="F1426">
        <v>39.856441498000002</v>
      </c>
      <c r="G1426">
        <v>1335.4041748</v>
      </c>
      <c r="H1426">
        <v>1333.7807617000001</v>
      </c>
      <c r="I1426">
        <v>1328.6960449000001</v>
      </c>
      <c r="J1426">
        <v>1327.7724608999999</v>
      </c>
      <c r="K1426">
        <v>550</v>
      </c>
      <c r="L1426">
        <v>0</v>
      </c>
      <c r="M1426">
        <v>0</v>
      </c>
      <c r="N1426">
        <v>550</v>
      </c>
    </row>
    <row r="1427" spans="1:14" x14ac:dyDescent="0.25">
      <c r="A1427">
        <v>1464.829401</v>
      </c>
      <c r="B1427" s="1">
        <f>DATE(2014,5,4) + TIME(19,54,20)</f>
        <v>41763.829398148147</v>
      </c>
      <c r="C1427">
        <v>80</v>
      </c>
      <c r="D1427">
        <v>78.479454040999997</v>
      </c>
      <c r="E1427">
        <v>40</v>
      </c>
      <c r="F1427">
        <v>39.851165770999998</v>
      </c>
      <c r="G1427">
        <v>1335.453125</v>
      </c>
      <c r="H1427">
        <v>1333.8144531</v>
      </c>
      <c r="I1427">
        <v>1328.6962891000001</v>
      </c>
      <c r="J1427">
        <v>1327.7711182</v>
      </c>
      <c r="K1427">
        <v>550</v>
      </c>
      <c r="L1427">
        <v>0</v>
      </c>
      <c r="M1427">
        <v>0</v>
      </c>
      <c r="N1427">
        <v>550</v>
      </c>
    </row>
    <row r="1428" spans="1:14" x14ac:dyDescent="0.25">
      <c r="A1428">
        <v>1465.05009</v>
      </c>
      <c r="B1428" s="1">
        <f>DATE(2014,5,5) + TIME(1,12,7)</f>
        <v>41764.050081018519</v>
      </c>
      <c r="C1428">
        <v>80</v>
      </c>
      <c r="D1428">
        <v>78.687141417999996</v>
      </c>
      <c r="E1428">
        <v>40</v>
      </c>
      <c r="F1428">
        <v>39.845722197999997</v>
      </c>
      <c r="G1428">
        <v>1335.5008545000001</v>
      </c>
      <c r="H1428">
        <v>1333.8474120999999</v>
      </c>
      <c r="I1428">
        <v>1328.6964111</v>
      </c>
      <c r="J1428">
        <v>1327.7697754000001</v>
      </c>
      <c r="K1428">
        <v>550</v>
      </c>
      <c r="L1428">
        <v>0</v>
      </c>
      <c r="M1428">
        <v>0</v>
      </c>
      <c r="N1428">
        <v>550</v>
      </c>
    </row>
    <row r="1429" spans="1:14" x14ac:dyDescent="0.25">
      <c r="A1429">
        <v>1465.282238</v>
      </c>
      <c r="B1429" s="1">
        <f>DATE(2014,5,5) + TIME(6,46,25)</f>
        <v>41764.282233796293</v>
      </c>
      <c r="C1429">
        <v>80</v>
      </c>
      <c r="D1429">
        <v>78.874282836999996</v>
      </c>
      <c r="E1429">
        <v>40</v>
      </c>
      <c r="F1429">
        <v>39.840099334999998</v>
      </c>
      <c r="G1429">
        <v>1335.5472411999999</v>
      </c>
      <c r="H1429">
        <v>1333.8793945</v>
      </c>
      <c r="I1429">
        <v>1328.6965332</v>
      </c>
      <c r="J1429">
        <v>1327.7684326000001</v>
      </c>
      <c r="K1429">
        <v>550</v>
      </c>
      <c r="L1429">
        <v>0</v>
      </c>
      <c r="M1429">
        <v>0</v>
      </c>
      <c r="N1429">
        <v>550</v>
      </c>
    </row>
    <row r="1430" spans="1:14" x14ac:dyDescent="0.25">
      <c r="A1430">
        <v>1465.52694</v>
      </c>
      <c r="B1430" s="1">
        <f>DATE(2014,5,5) + TIME(12,38,47)</f>
        <v>41764.526932870373</v>
      </c>
      <c r="C1430">
        <v>80</v>
      </c>
      <c r="D1430">
        <v>79.041473389000004</v>
      </c>
      <c r="E1430">
        <v>40</v>
      </c>
      <c r="F1430">
        <v>39.834281920999999</v>
      </c>
      <c r="G1430">
        <v>1335.5891113</v>
      </c>
      <c r="H1430">
        <v>1333.9084473</v>
      </c>
      <c r="I1430">
        <v>1328.6965332</v>
      </c>
      <c r="J1430">
        <v>1327.7669678</v>
      </c>
      <c r="K1430">
        <v>550</v>
      </c>
      <c r="L1430">
        <v>0</v>
      </c>
      <c r="M1430">
        <v>0</v>
      </c>
      <c r="N1430">
        <v>550</v>
      </c>
    </row>
    <row r="1431" spans="1:14" x14ac:dyDescent="0.25">
      <c r="A1431">
        <v>1465.7860450000001</v>
      </c>
      <c r="B1431" s="1">
        <f>DATE(2014,5,5) + TIME(18,51,54)</f>
        <v>41764.786041666666</v>
      </c>
      <c r="C1431">
        <v>80</v>
      </c>
      <c r="D1431">
        <v>79.189857482999997</v>
      </c>
      <c r="E1431">
        <v>40</v>
      </c>
      <c r="F1431">
        <v>39.828239441000001</v>
      </c>
      <c r="G1431">
        <v>1335.6292725000001</v>
      </c>
      <c r="H1431">
        <v>1333.9362793</v>
      </c>
      <c r="I1431">
        <v>1328.6965332</v>
      </c>
      <c r="J1431">
        <v>1327.7655029</v>
      </c>
      <c r="K1431">
        <v>550</v>
      </c>
      <c r="L1431">
        <v>0</v>
      </c>
      <c r="M1431">
        <v>0</v>
      </c>
      <c r="N1431">
        <v>550</v>
      </c>
    </row>
    <row r="1432" spans="1:14" x14ac:dyDescent="0.25">
      <c r="A1432">
        <v>1466.061021</v>
      </c>
      <c r="B1432" s="1">
        <f>DATE(2014,5,6) + TIME(1,27,52)</f>
        <v>41765.061018518521</v>
      </c>
      <c r="C1432">
        <v>80</v>
      </c>
      <c r="D1432">
        <v>79.320281981999997</v>
      </c>
      <c r="E1432">
        <v>40</v>
      </c>
      <c r="F1432">
        <v>39.821960449000002</v>
      </c>
      <c r="G1432">
        <v>1335.6669922000001</v>
      </c>
      <c r="H1432">
        <v>1333.9625243999999</v>
      </c>
      <c r="I1432">
        <v>1328.6964111</v>
      </c>
      <c r="J1432">
        <v>1327.7640381000001</v>
      </c>
      <c r="K1432">
        <v>550</v>
      </c>
      <c r="L1432">
        <v>0</v>
      </c>
      <c r="M1432">
        <v>0</v>
      </c>
      <c r="N1432">
        <v>550</v>
      </c>
    </row>
    <row r="1433" spans="1:14" x14ac:dyDescent="0.25">
      <c r="A1433">
        <v>1466.3537200000001</v>
      </c>
      <c r="B1433" s="1">
        <f>DATE(2014,5,6) + TIME(8,29,21)</f>
        <v>41765.353715277779</v>
      </c>
      <c r="C1433">
        <v>80</v>
      </c>
      <c r="D1433">
        <v>79.433723450000002</v>
      </c>
      <c r="E1433">
        <v>40</v>
      </c>
      <c r="F1433">
        <v>39.815422058000003</v>
      </c>
      <c r="G1433">
        <v>1335.6994629000001</v>
      </c>
      <c r="H1433">
        <v>1333.9853516000001</v>
      </c>
      <c r="I1433">
        <v>1328.6962891000001</v>
      </c>
      <c r="J1433">
        <v>1327.7624512</v>
      </c>
      <c r="K1433">
        <v>550</v>
      </c>
      <c r="L1433">
        <v>0</v>
      </c>
      <c r="M1433">
        <v>0</v>
      </c>
      <c r="N1433">
        <v>550</v>
      </c>
    </row>
    <row r="1434" spans="1:14" x14ac:dyDescent="0.25">
      <c r="A1434">
        <v>1466.652335</v>
      </c>
      <c r="B1434" s="1">
        <f>DATE(2014,5,6) + TIME(15,39,21)</f>
        <v>41765.652326388888</v>
      </c>
      <c r="C1434">
        <v>80</v>
      </c>
      <c r="D1434">
        <v>79.527839661000002</v>
      </c>
      <c r="E1434">
        <v>40</v>
      </c>
      <c r="F1434">
        <v>39.808887482000003</v>
      </c>
      <c r="G1434">
        <v>1335.7305908000001</v>
      </c>
      <c r="H1434">
        <v>1334.0072021000001</v>
      </c>
      <c r="I1434">
        <v>1328.6960449000001</v>
      </c>
      <c r="J1434">
        <v>1327.7608643000001</v>
      </c>
      <c r="K1434">
        <v>550</v>
      </c>
      <c r="L1434">
        <v>0</v>
      </c>
      <c r="M1434">
        <v>0</v>
      </c>
      <c r="N1434">
        <v>550</v>
      </c>
    </row>
    <row r="1435" spans="1:14" x14ac:dyDescent="0.25">
      <c r="A1435">
        <v>1466.9582949999999</v>
      </c>
      <c r="B1435" s="1">
        <f>DATE(2014,5,6) + TIME(22,59,56)</f>
        <v>41765.958287037036</v>
      </c>
      <c r="C1435">
        <v>80</v>
      </c>
      <c r="D1435">
        <v>79.605812072999996</v>
      </c>
      <c r="E1435">
        <v>40</v>
      </c>
      <c r="F1435">
        <v>39.802330017000003</v>
      </c>
      <c r="G1435">
        <v>1335.7587891000001</v>
      </c>
      <c r="H1435">
        <v>1334.0272216999999</v>
      </c>
      <c r="I1435">
        <v>1328.6958007999999</v>
      </c>
      <c r="J1435">
        <v>1327.7592772999999</v>
      </c>
      <c r="K1435">
        <v>550</v>
      </c>
      <c r="L1435">
        <v>0</v>
      </c>
      <c r="M1435">
        <v>0</v>
      </c>
      <c r="N1435">
        <v>550</v>
      </c>
    </row>
    <row r="1436" spans="1:14" x14ac:dyDescent="0.25">
      <c r="A1436">
        <v>1467.2731980000001</v>
      </c>
      <c r="B1436" s="1">
        <f>DATE(2014,5,7) + TIME(6,33,24)</f>
        <v>41766.273194444446</v>
      </c>
      <c r="C1436">
        <v>80</v>
      </c>
      <c r="D1436">
        <v>79.670242310000006</v>
      </c>
      <c r="E1436">
        <v>40</v>
      </c>
      <c r="F1436">
        <v>39.795722961000003</v>
      </c>
      <c r="G1436">
        <v>1335.7814940999999</v>
      </c>
      <c r="H1436">
        <v>1334.043457</v>
      </c>
      <c r="I1436">
        <v>1328.6953125</v>
      </c>
      <c r="J1436">
        <v>1327.7576904</v>
      </c>
      <c r="K1436">
        <v>550</v>
      </c>
      <c r="L1436">
        <v>0</v>
      </c>
      <c r="M1436">
        <v>0</v>
      </c>
      <c r="N1436">
        <v>550</v>
      </c>
    </row>
    <row r="1437" spans="1:14" x14ac:dyDescent="0.25">
      <c r="A1437">
        <v>1467.5965739999999</v>
      </c>
      <c r="B1437" s="1">
        <f>DATE(2014,5,7) + TIME(14,19,3)</f>
        <v>41766.596562500003</v>
      </c>
      <c r="C1437">
        <v>80</v>
      </c>
      <c r="D1437">
        <v>79.723037719999994</v>
      </c>
      <c r="E1437">
        <v>40</v>
      </c>
      <c r="F1437">
        <v>39.789089203000003</v>
      </c>
      <c r="G1437">
        <v>1335.800293</v>
      </c>
      <c r="H1437">
        <v>1334.057251</v>
      </c>
      <c r="I1437">
        <v>1328.6949463000001</v>
      </c>
      <c r="J1437">
        <v>1327.7561035000001</v>
      </c>
      <c r="K1437">
        <v>550</v>
      </c>
      <c r="L1437">
        <v>0</v>
      </c>
      <c r="M1437">
        <v>0</v>
      </c>
      <c r="N1437">
        <v>550</v>
      </c>
    </row>
    <row r="1438" spans="1:14" x14ac:dyDescent="0.25">
      <c r="A1438">
        <v>1467.9229230000001</v>
      </c>
      <c r="B1438" s="1">
        <f>DATE(2014,5,7) + TIME(22,9,0)</f>
        <v>41766.92291666667</v>
      </c>
      <c r="C1438">
        <v>80</v>
      </c>
      <c r="D1438">
        <v>79.765480041999993</v>
      </c>
      <c r="E1438">
        <v>40</v>
      </c>
      <c r="F1438">
        <v>39.782531738000003</v>
      </c>
      <c r="G1438">
        <v>1335.8171387</v>
      </c>
      <c r="H1438">
        <v>1334.0698242000001</v>
      </c>
      <c r="I1438">
        <v>1328.6944579999999</v>
      </c>
      <c r="J1438">
        <v>1327.7543945</v>
      </c>
      <c r="K1438">
        <v>550</v>
      </c>
      <c r="L1438">
        <v>0</v>
      </c>
      <c r="M1438">
        <v>0</v>
      </c>
      <c r="N1438">
        <v>550</v>
      </c>
    </row>
    <row r="1439" spans="1:14" x14ac:dyDescent="0.25">
      <c r="A1439">
        <v>1468.2534020000001</v>
      </c>
      <c r="B1439" s="1">
        <f>DATE(2014,5,8) + TIME(6,4,53)</f>
        <v>41767.253391203703</v>
      </c>
      <c r="C1439">
        <v>80</v>
      </c>
      <c r="D1439">
        <v>79.799636840999995</v>
      </c>
      <c r="E1439">
        <v>40</v>
      </c>
      <c r="F1439">
        <v>39.776039124</v>
      </c>
      <c r="G1439">
        <v>1335.8319091999999</v>
      </c>
      <c r="H1439">
        <v>1334.0810547000001</v>
      </c>
      <c r="I1439">
        <v>1328.6939697</v>
      </c>
      <c r="J1439">
        <v>1327.7528076000001</v>
      </c>
      <c r="K1439">
        <v>550</v>
      </c>
      <c r="L1439">
        <v>0</v>
      </c>
      <c r="M1439">
        <v>0</v>
      </c>
      <c r="N1439">
        <v>550</v>
      </c>
    </row>
    <row r="1440" spans="1:14" x14ac:dyDescent="0.25">
      <c r="A1440">
        <v>1468.5889219999999</v>
      </c>
      <c r="B1440" s="1">
        <f>DATE(2014,5,8) + TIME(14,8,2)</f>
        <v>41767.588912037034</v>
      </c>
      <c r="C1440">
        <v>80</v>
      </c>
      <c r="D1440">
        <v>79.827117920000006</v>
      </c>
      <c r="E1440">
        <v>40</v>
      </c>
      <c r="F1440">
        <v>39.769592285000002</v>
      </c>
      <c r="G1440">
        <v>1335.8448486</v>
      </c>
      <c r="H1440">
        <v>1334.0911865</v>
      </c>
      <c r="I1440">
        <v>1328.6934814000001</v>
      </c>
      <c r="J1440">
        <v>1327.7510986</v>
      </c>
      <c r="K1440">
        <v>550</v>
      </c>
      <c r="L1440">
        <v>0</v>
      </c>
      <c r="M1440">
        <v>0</v>
      </c>
      <c r="N1440">
        <v>550</v>
      </c>
    </row>
    <row r="1441" spans="1:14" x14ac:dyDescent="0.25">
      <c r="A1441">
        <v>1468.9304320000001</v>
      </c>
      <c r="B1441" s="1">
        <f>DATE(2014,5,8) + TIME(22,19,49)</f>
        <v>41767.930428240739</v>
      </c>
      <c r="C1441">
        <v>80</v>
      </c>
      <c r="D1441">
        <v>79.849235535000005</v>
      </c>
      <c r="E1441">
        <v>40</v>
      </c>
      <c r="F1441">
        <v>39.763179778999998</v>
      </c>
      <c r="G1441">
        <v>1335.8562012</v>
      </c>
      <c r="H1441">
        <v>1334.1002197</v>
      </c>
      <c r="I1441">
        <v>1328.6928711</v>
      </c>
      <c r="J1441">
        <v>1327.7493896000001</v>
      </c>
      <c r="K1441">
        <v>550</v>
      </c>
      <c r="L1441">
        <v>0</v>
      </c>
      <c r="M1441">
        <v>0</v>
      </c>
      <c r="N1441">
        <v>550</v>
      </c>
    </row>
    <row r="1442" spans="1:14" x14ac:dyDescent="0.25">
      <c r="A1442">
        <v>1469.278939</v>
      </c>
      <c r="B1442" s="1">
        <f>DATE(2014,5,9) + TIME(6,41,40)</f>
        <v>41768.278935185182</v>
      </c>
      <c r="C1442">
        <v>80</v>
      </c>
      <c r="D1442">
        <v>79.867012024000005</v>
      </c>
      <c r="E1442">
        <v>40</v>
      </c>
      <c r="F1442">
        <v>39.756793975999997</v>
      </c>
      <c r="G1442">
        <v>1335.8656006000001</v>
      </c>
      <c r="H1442">
        <v>1334.1080322</v>
      </c>
      <c r="I1442">
        <v>1328.6922606999999</v>
      </c>
      <c r="J1442">
        <v>1327.7476807</v>
      </c>
      <c r="K1442">
        <v>550</v>
      </c>
      <c r="L1442">
        <v>0</v>
      </c>
      <c r="M1442">
        <v>0</v>
      </c>
      <c r="N1442">
        <v>550</v>
      </c>
    </row>
    <row r="1443" spans="1:14" x14ac:dyDescent="0.25">
      <c r="A1443">
        <v>1469.635573</v>
      </c>
      <c r="B1443" s="1">
        <f>DATE(2014,5,9) + TIME(15,15,13)</f>
        <v>41768.635567129626</v>
      </c>
      <c r="C1443">
        <v>80</v>
      </c>
      <c r="D1443">
        <v>79.881286621000001</v>
      </c>
      <c r="E1443">
        <v>40</v>
      </c>
      <c r="F1443">
        <v>39.750419616999999</v>
      </c>
      <c r="G1443">
        <v>1335.8709716999999</v>
      </c>
      <c r="H1443">
        <v>1334.1132812000001</v>
      </c>
      <c r="I1443">
        <v>1328.6916504000001</v>
      </c>
      <c r="J1443">
        <v>1327.7459716999999</v>
      </c>
      <c r="K1443">
        <v>550</v>
      </c>
      <c r="L1443">
        <v>0</v>
      </c>
      <c r="M1443">
        <v>0</v>
      </c>
      <c r="N1443">
        <v>550</v>
      </c>
    </row>
    <row r="1444" spans="1:14" x14ac:dyDescent="0.25">
      <c r="A1444">
        <v>1470.0019400000001</v>
      </c>
      <c r="B1444" s="1">
        <f>DATE(2014,5,10) + TIME(0,2,47)</f>
        <v>41769.001932870371</v>
      </c>
      <c r="C1444">
        <v>80</v>
      </c>
      <c r="D1444">
        <v>79.892745972</v>
      </c>
      <c r="E1444">
        <v>40</v>
      </c>
      <c r="F1444">
        <v>39.744041443</v>
      </c>
      <c r="G1444">
        <v>1335.8753661999999</v>
      </c>
      <c r="H1444">
        <v>1334.1179199000001</v>
      </c>
      <c r="I1444">
        <v>1328.690918</v>
      </c>
      <c r="J1444">
        <v>1327.7441406</v>
      </c>
      <c r="K1444">
        <v>550</v>
      </c>
      <c r="L1444">
        <v>0</v>
      </c>
      <c r="M1444">
        <v>0</v>
      </c>
      <c r="N1444">
        <v>550</v>
      </c>
    </row>
    <row r="1445" spans="1:14" x14ac:dyDescent="0.25">
      <c r="A1445">
        <v>1470.3793989999999</v>
      </c>
      <c r="B1445" s="1">
        <f>DATE(2014,5,10) + TIME(9,6,20)</f>
        <v>41769.37939814815</v>
      </c>
      <c r="C1445">
        <v>80</v>
      </c>
      <c r="D1445">
        <v>79.901931762999993</v>
      </c>
      <c r="E1445">
        <v>40</v>
      </c>
      <c r="F1445">
        <v>39.737648010000001</v>
      </c>
      <c r="G1445">
        <v>1335.8790283000001</v>
      </c>
      <c r="H1445">
        <v>1334.1221923999999</v>
      </c>
      <c r="I1445">
        <v>1328.6901855000001</v>
      </c>
      <c r="J1445">
        <v>1327.7423096</v>
      </c>
      <c r="K1445">
        <v>550</v>
      </c>
      <c r="L1445">
        <v>0</v>
      </c>
      <c r="M1445">
        <v>0</v>
      </c>
      <c r="N1445">
        <v>550</v>
      </c>
    </row>
    <row r="1446" spans="1:14" x14ac:dyDescent="0.25">
      <c r="A1446">
        <v>1470.7706009999999</v>
      </c>
      <c r="B1446" s="1">
        <f>DATE(2014,5,10) + TIME(18,29,39)</f>
        <v>41769.770590277774</v>
      </c>
      <c r="C1446">
        <v>80</v>
      </c>
      <c r="D1446">
        <v>79.909309386999993</v>
      </c>
      <c r="E1446">
        <v>40</v>
      </c>
      <c r="F1446">
        <v>39.731216431</v>
      </c>
      <c r="G1446">
        <v>1335.8819579999999</v>
      </c>
      <c r="H1446">
        <v>1334.1259766000001</v>
      </c>
      <c r="I1446">
        <v>1328.6894531</v>
      </c>
      <c r="J1446">
        <v>1327.7404785000001</v>
      </c>
      <c r="K1446">
        <v>550</v>
      </c>
      <c r="L1446">
        <v>0</v>
      </c>
      <c r="M1446">
        <v>0</v>
      </c>
      <c r="N1446">
        <v>550</v>
      </c>
    </row>
    <row r="1447" spans="1:14" x14ac:dyDescent="0.25">
      <c r="A1447">
        <v>1471.1775500000001</v>
      </c>
      <c r="B1447" s="1">
        <f>DATE(2014,5,11) + TIME(4,15,40)</f>
        <v>41770.177546296298</v>
      </c>
      <c r="C1447">
        <v>80</v>
      </c>
      <c r="D1447">
        <v>79.915214539000004</v>
      </c>
      <c r="E1447">
        <v>40</v>
      </c>
      <c r="F1447">
        <v>39.724735260000003</v>
      </c>
      <c r="G1447">
        <v>1335.8842772999999</v>
      </c>
      <c r="H1447">
        <v>1334.1293945</v>
      </c>
      <c r="I1447">
        <v>1328.6887207</v>
      </c>
      <c r="J1447">
        <v>1327.7385254000001</v>
      </c>
      <c r="K1447">
        <v>550</v>
      </c>
      <c r="L1447">
        <v>0</v>
      </c>
      <c r="M1447">
        <v>0</v>
      </c>
      <c r="N1447">
        <v>550</v>
      </c>
    </row>
    <row r="1448" spans="1:14" x14ac:dyDescent="0.25">
      <c r="A1448">
        <v>1471.6023419999999</v>
      </c>
      <c r="B1448" s="1">
        <f>DATE(2014,5,11) + TIME(14,27,22)</f>
        <v>41770.602337962962</v>
      </c>
      <c r="C1448">
        <v>80</v>
      </c>
      <c r="D1448">
        <v>79.919937133999994</v>
      </c>
      <c r="E1448">
        <v>40</v>
      </c>
      <c r="F1448">
        <v>39.718193053999997</v>
      </c>
      <c r="G1448">
        <v>1335.8858643000001</v>
      </c>
      <c r="H1448">
        <v>1334.1324463000001</v>
      </c>
      <c r="I1448">
        <v>1328.6878661999999</v>
      </c>
      <c r="J1448">
        <v>1327.7364502</v>
      </c>
      <c r="K1448">
        <v>550</v>
      </c>
      <c r="L1448">
        <v>0</v>
      </c>
      <c r="M1448">
        <v>0</v>
      </c>
      <c r="N1448">
        <v>550</v>
      </c>
    </row>
    <row r="1449" spans="1:14" x14ac:dyDescent="0.25">
      <c r="A1449">
        <v>1472.047442</v>
      </c>
      <c r="B1449" s="1">
        <f>DATE(2014,5,12) + TIME(1,8,18)</f>
        <v>41771.047430555554</v>
      </c>
      <c r="C1449">
        <v>80</v>
      </c>
      <c r="D1449">
        <v>79.923698424999998</v>
      </c>
      <c r="E1449">
        <v>40</v>
      </c>
      <c r="F1449">
        <v>39.711582184000001</v>
      </c>
      <c r="G1449">
        <v>1335.8868408000001</v>
      </c>
      <c r="H1449">
        <v>1334.1352539</v>
      </c>
      <c r="I1449">
        <v>1328.6868896000001</v>
      </c>
      <c r="J1449">
        <v>1327.7342529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1472.509759</v>
      </c>
      <c r="B1450" s="1">
        <f>DATE(2014,5,12) + TIME(12,14,3)</f>
        <v>41771.509756944448</v>
      </c>
      <c r="C1450">
        <v>80</v>
      </c>
      <c r="D1450">
        <v>79.926658630000006</v>
      </c>
      <c r="E1450">
        <v>40</v>
      </c>
      <c r="F1450">
        <v>39.704978943</v>
      </c>
      <c r="G1450">
        <v>1335.8873291</v>
      </c>
      <c r="H1450">
        <v>1334.1378173999999</v>
      </c>
      <c r="I1450">
        <v>1328.6860352000001</v>
      </c>
      <c r="J1450">
        <v>1327.7320557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1472.989648</v>
      </c>
      <c r="B1451" s="1">
        <f>DATE(2014,5,12) + TIME(23,45,5)</f>
        <v>41771.989641203705</v>
      </c>
      <c r="C1451">
        <v>80</v>
      </c>
      <c r="D1451">
        <v>79.928977966000005</v>
      </c>
      <c r="E1451">
        <v>40</v>
      </c>
      <c r="F1451">
        <v>39.698398589999996</v>
      </c>
      <c r="G1451">
        <v>1335.887207</v>
      </c>
      <c r="H1451">
        <v>1334.1400146000001</v>
      </c>
      <c r="I1451">
        <v>1328.6850586</v>
      </c>
      <c r="J1451">
        <v>1327.7296143000001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1473.4902890000001</v>
      </c>
      <c r="B1452" s="1">
        <f>DATE(2014,5,13) + TIME(11,46,0)</f>
        <v>41772.490277777775</v>
      </c>
      <c r="C1452">
        <v>80</v>
      </c>
      <c r="D1452">
        <v>79.930801392000006</v>
      </c>
      <c r="E1452">
        <v>40</v>
      </c>
      <c r="F1452">
        <v>39.691844940000003</v>
      </c>
      <c r="G1452">
        <v>1335.8865966999999</v>
      </c>
      <c r="H1452">
        <v>1334.1419678</v>
      </c>
      <c r="I1452">
        <v>1328.6839600000001</v>
      </c>
      <c r="J1452">
        <v>1327.7271728999999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1474.016496</v>
      </c>
      <c r="B1453" s="1">
        <f>DATE(2014,5,14) + TIME(0,23,45)</f>
        <v>41773.016493055555</v>
      </c>
      <c r="C1453">
        <v>80</v>
      </c>
      <c r="D1453">
        <v>79.932235718000001</v>
      </c>
      <c r="E1453">
        <v>40</v>
      </c>
      <c r="F1453">
        <v>39.685291290000002</v>
      </c>
      <c r="G1453">
        <v>1335.8854980000001</v>
      </c>
      <c r="H1453">
        <v>1334.1436768000001</v>
      </c>
      <c r="I1453">
        <v>1328.6828613</v>
      </c>
      <c r="J1453">
        <v>1327.7246094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1474.572028</v>
      </c>
      <c r="B1454" s="1">
        <f>DATE(2014,5,14) + TIME(13,43,43)</f>
        <v>41773.572025462963</v>
      </c>
      <c r="C1454">
        <v>80</v>
      </c>
      <c r="D1454">
        <v>79.933349609000004</v>
      </c>
      <c r="E1454">
        <v>40</v>
      </c>
      <c r="F1454">
        <v>39.678756714000002</v>
      </c>
      <c r="G1454">
        <v>1335.8840332</v>
      </c>
      <c r="H1454">
        <v>1334.1452637</v>
      </c>
      <c r="I1454">
        <v>1328.6816406</v>
      </c>
      <c r="J1454">
        <v>1327.7219238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1475.161621</v>
      </c>
      <c r="B1455" s="1">
        <f>DATE(2014,5,15) + TIME(3,52,44)</f>
        <v>41774.161620370367</v>
      </c>
      <c r="C1455">
        <v>80</v>
      </c>
      <c r="D1455">
        <v>79.934226989999999</v>
      </c>
      <c r="E1455">
        <v>40</v>
      </c>
      <c r="F1455">
        <v>39.672256470000001</v>
      </c>
      <c r="G1455">
        <v>1335.8820800999999</v>
      </c>
      <c r="H1455">
        <v>1334.1466064000001</v>
      </c>
      <c r="I1455">
        <v>1328.6804199000001</v>
      </c>
      <c r="J1455">
        <v>1327.7189940999999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1475.775551</v>
      </c>
      <c r="B1456" s="1">
        <f>DATE(2014,5,15) + TIME(18,36,47)</f>
        <v>41774.775543981479</v>
      </c>
      <c r="C1456">
        <v>80</v>
      </c>
      <c r="D1456">
        <v>79.934890746999997</v>
      </c>
      <c r="E1456">
        <v>40</v>
      </c>
      <c r="F1456">
        <v>39.665943145999996</v>
      </c>
      <c r="G1456">
        <v>1335.8796387</v>
      </c>
      <c r="H1456">
        <v>1334.1478271000001</v>
      </c>
      <c r="I1456">
        <v>1328.6791992000001</v>
      </c>
      <c r="J1456">
        <v>1327.7159423999999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1476.4138989999999</v>
      </c>
      <c r="B1457" s="1">
        <f>DATE(2014,5,16) + TIME(9,56,0)</f>
        <v>41775.413888888892</v>
      </c>
      <c r="C1457">
        <v>80</v>
      </c>
      <c r="D1457">
        <v>79.935394286999994</v>
      </c>
      <c r="E1457">
        <v>40</v>
      </c>
      <c r="F1457">
        <v>39.659889221</v>
      </c>
      <c r="G1457">
        <v>1335.8769531</v>
      </c>
      <c r="H1457">
        <v>1334.1489257999999</v>
      </c>
      <c r="I1457">
        <v>1328.6777344</v>
      </c>
      <c r="J1457">
        <v>1327.7126464999999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1477.0532370000001</v>
      </c>
      <c r="B1458" s="1">
        <f>DATE(2014,5,17) + TIME(1,16,39)</f>
        <v>41776.053229166668</v>
      </c>
      <c r="C1458">
        <v>80</v>
      </c>
      <c r="D1458">
        <v>79.935752868999998</v>
      </c>
      <c r="E1458">
        <v>40</v>
      </c>
      <c r="F1458">
        <v>39.654335021999998</v>
      </c>
      <c r="G1458">
        <v>1335.8739014</v>
      </c>
      <c r="H1458">
        <v>1334.1499022999999</v>
      </c>
      <c r="I1458">
        <v>1328.6763916</v>
      </c>
      <c r="J1458">
        <v>1327.7093506000001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1477.696171</v>
      </c>
      <c r="B1459" s="1">
        <f>DATE(2014,5,17) + TIME(16,42,29)</f>
        <v>41776.696168981478</v>
      </c>
      <c r="C1459">
        <v>80</v>
      </c>
      <c r="D1459">
        <v>79.936004639000004</v>
      </c>
      <c r="E1459">
        <v>40</v>
      </c>
      <c r="F1459">
        <v>39.649280548</v>
      </c>
      <c r="G1459">
        <v>1335.8707274999999</v>
      </c>
      <c r="H1459">
        <v>1334.1506348</v>
      </c>
      <c r="I1459">
        <v>1328.6749268000001</v>
      </c>
      <c r="J1459">
        <v>1327.7059326000001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1478.3452179999999</v>
      </c>
      <c r="B1460" s="1">
        <f>DATE(2014,5,18) + TIME(8,17,6)</f>
        <v>41777.345208333332</v>
      </c>
      <c r="C1460">
        <v>80</v>
      </c>
      <c r="D1460">
        <v>79.936180114999999</v>
      </c>
      <c r="E1460">
        <v>40</v>
      </c>
      <c r="F1460">
        <v>39.644748688</v>
      </c>
      <c r="G1460">
        <v>1335.8674315999999</v>
      </c>
      <c r="H1460">
        <v>1334.1512451000001</v>
      </c>
      <c r="I1460">
        <v>1328.6734618999999</v>
      </c>
      <c r="J1460">
        <v>1327.7025146000001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1479.002821</v>
      </c>
      <c r="B1461" s="1">
        <f>DATE(2014,5,19) + TIME(0,4,3)</f>
        <v>41778.002812500003</v>
      </c>
      <c r="C1461">
        <v>80</v>
      </c>
      <c r="D1461">
        <v>79.936302185000002</v>
      </c>
      <c r="E1461">
        <v>40</v>
      </c>
      <c r="F1461">
        <v>39.640758513999998</v>
      </c>
      <c r="G1461">
        <v>1335.8640137</v>
      </c>
      <c r="H1461">
        <v>1334.1518555</v>
      </c>
      <c r="I1461">
        <v>1328.6719971</v>
      </c>
      <c r="J1461">
        <v>1327.6990966999999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1479.671419</v>
      </c>
      <c r="B1462" s="1">
        <f>DATE(2014,5,19) + TIME(16,6,50)</f>
        <v>41778.671412037038</v>
      </c>
      <c r="C1462">
        <v>80</v>
      </c>
      <c r="D1462">
        <v>79.936370850000003</v>
      </c>
      <c r="E1462">
        <v>40</v>
      </c>
      <c r="F1462">
        <v>39.63734436</v>
      </c>
      <c r="G1462">
        <v>1335.8604736</v>
      </c>
      <c r="H1462">
        <v>1334.1523437999999</v>
      </c>
      <c r="I1462">
        <v>1328.6704102000001</v>
      </c>
      <c r="J1462">
        <v>1327.6955565999999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1480.353513</v>
      </c>
      <c r="B1463" s="1">
        <f>DATE(2014,5,20) + TIME(8,29,3)</f>
        <v>41779.353506944448</v>
      </c>
      <c r="C1463">
        <v>80</v>
      </c>
      <c r="D1463">
        <v>79.936408997000001</v>
      </c>
      <c r="E1463">
        <v>40</v>
      </c>
      <c r="F1463">
        <v>39.634548187</v>
      </c>
      <c r="G1463">
        <v>1335.8569336</v>
      </c>
      <c r="H1463">
        <v>1334.152832</v>
      </c>
      <c r="I1463">
        <v>1328.6689452999999</v>
      </c>
      <c r="J1463">
        <v>1327.6918945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1481.0517219999999</v>
      </c>
      <c r="B1464" s="1">
        <f>DATE(2014,5,21) + TIME(1,14,28)</f>
        <v>41780.051712962966</v>
      </c>
      <c r="C1464">
        <v>80</v>
      </c>
      <c r="D1464">
        <v>79.936408997000001</v>
      </c>
      <c r="E1464">
        <v>40</v>
      </c>
      <c r="F1464">
        <v>39.632431029999999</v>
      </c>
      <c r="G1464">
        <v>1335.8531493999999</v>
      </c>
      <c r="H1464">
        <v>1334.1531981999999</v>
      </c>
      <c r="I1464">
        <v>1328.6673584</v>
      </c>
      <c r="J1464">
        <v>1327.6882324000001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1481.768855</v>
      </c>
      <c r="B1465" s="1">
        <f>DATE(2014,5,21) + TIME(18,27,9)</f>
        <v>41780.768854166665</v>
      </c>
      <c r="C1465">
        <v>80</v>
      </c>
      <c r="D1465">
        <v>79.936393738000007</v>
      </c>
      <c r="E1465">
        <v>40</v>
      </c>
      <c r="F1465">
        <v>39.631061553999999</v>
      </c>
      <c r="G1465">
        <v>1335.8494873</v>
      </c>
      <c r="H1465">
        <v>1334.1535644999999</v>
      </c>
      <c r="I1465">
        <v>1328.6657714999999</v>
      </c>
      <c r="J1465">
        <v>1327.6844481999999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1482.511843</v>
      </c>
      <c r="B1466" s="1">
        <f>DATE(2014,5,22) + TIME(12,17,3)</f>
        <v>41781.511840277781</v>
      </c>
      <c r="C1466">
        <v>80</v>
      </c>
      <c r="D1466">
        <v>79.936355590999995</v>
      </c>
      <c r="E1466">
        <v>40</v>
      </c>
      <c r="F1466">
        <v>39.630519866999997</v>
      </c>
      <c r="G1466">
        <v>1335.8455810999999</v>
      </c>
      <c r="H1466">
        <v>1334.1538086</v>
      </c>
      <c r="I1466">
        <v>1328.6640625</v>
      </c>
      <c r="J1466">
        <v>1327.6805420000001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1483.288024</v>
      </c>
      <c r="B1467" s="1">
        <f>DATE(2014,5,23) + TIME(6,54,45)</f>
        <v>41782.28802083333</v>
      </c>
      <c r="C1467">
        <v>80</v>
      </c>
      <c r="D1467">
        <v>79.936302185000002</v>
      </c>
      <c r="E1467">
        <v>40</v>
      </c>
      <c r="F1467">
        <v>39.630935669000003</v>
      </c>
      <c r="G1467">
        <v>1335.8416748</v>
      </c>
      <c r="H1467">
        <v>1334.1541748</v>
      </c>
      <c r="I1467">
        <v>1328.6623535000001</v>
      </c>
      <c r="J1467">
        <v>1327.6763916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1484.0963770000001</v>
      </c>
      <c r="B1468" s="1">
        <f>DATE(2014,5,24) + TIME(2,18,46)</f>
        <v>41783.096365740741</v>
      </c>
      <c r="C1468">
        <v>80</v>
      </c>
      <c r="D1468">
        <v>79.936233521000005</v>
      </c>
      <c r="E1468">
        <v>40</v>
      </c>
      <c r="F1468">
        <v>39.632457733000003</v>
      </c>
      <c r="G1468">
        <v>1335.8376464999999</v>
      </c>
      <c r="H1468">
        <v>1334.1544189000001</v>
      </c>
      <c r="I1468">
        <v>1328.6606445</v>
      </c>
      <c r="J1468">
        <v>1327.6722411999999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1484.92959</v>
      </c>
      <c r="B1469" s="1">
        <f>DATE(2014,5,24) + TIME(22,18,36)</f>
        <v>41783.929583333331</v>
      </c>
      <c r="C1469">
        <v>80</v>
      </c>
      <c r="D1469">
        <v>79.936149596999996</v>
      </c>
      <c r="E1469">
        <v>40</v>
      </c>
      <c r="F1469">
        <v>39.635238647000001</v>
      </c>
      <c r="G1469">
        <v>1335.8334961</v>
      </c>
      <c r="H1469">
        <v>1334.1547852000001</v>
      </c>
      <c r="I1469">
        <v>1328.6588135</v>
      </c>
      <c r="J1469">
        <v>1327.6678466999999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1485.7921699999999</v>
      </c>
      <c r="B1470" s="1">
        <f>DATE(2014,5,25) + TIME(19,0,43)</f>
        <v>41784.792164351849</v>
      </c>
      <c r="C1470">
        <v>80</v>
      </c>
      <c r="D1470">
        <v>79.936058044000006</v>
      </c>
      <c r="E1470">
        <v>40</v>
      </c>
      <c r="F1470">
        <v>39.639446259000003</v>
      </c>
      <c r="G1470">
        <v>1335.8293457</v>
      </c>
      <c r="H1470">
        <v>1334.1550293</v>
      </c>
      <c r="I1470">
        <v>1328.6569824000001</v>
      </c>
      <c r="J1470">
        <v>1327.6632079999999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1486.690347</v>
      </c>
      <c r="B1471" s="1">
        <f>DATE(2014,5,26) + TIME(16,34,6)</f>
        <v>41785.690347222226</v>
      </c>
      <c r="C1471">
        <v>80</v>
      </c>
      <c r="D1471">
        <v>79.935958862000007</v>
      </c>
      <c r="E1471">
        <v>40</v>
      </c>
      <c r="F1471">
        <v>39.645305634000003</v>
      </c>
      <c r="G1471">
        <v>1335.8251952999999</v>
      </c>
      <c r="H1471">
        <v>1334.1552733999999</v>
      </c>
      <c r="I1471">
        <v>1328.6550293</v>
      </c>
      <c r="J1471">
        <v>1327.6585693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1487.6383880000001</v>
      </c>
      <c r="B1472" s="1">
        <f>DATE(2014,5,27) + TIME(15,19,16)</f>
        <v>41786.638379629629</v>
      </c>
      <c r="C1472">
        <v>80</v>
      </c>
      <c r="D1472">
        <v>79.935844420999999</v>
      </c>
      <c r="E1472">
        <v>40</v>
      </c>
      <c r="F1472">
        <v>39.653144836000003</v>
      </c>
      <c r="G1472">
        <v>1335.8210449000001</v>
      </c>
      <c r="H1472">
        <v>1334.1555175999999</v>
      </c>
      <c r="I1472">
        <v>1328.6530762</v>
      </c>
      <c r="J1472">
        <v>1327.6536865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1488.6440729999999</v>
      </c>
      <c r="B1473" s="1">
        <f>DATE(2014,5,28) + TIME(15,27,27)</f>
        <v>41787.644062500003</v>
      </c>
      <c r="C1473">
        <v>80</v>
      </c>
      <c r="D1473">
        <v>79.935722350999995</v>
      </c>
      <c r="E1473">
        <v>40</v>
      </c>
      <c r="F1473">
        <v>39.663356780999997</v>
      </c>
      <c r="G1473">
        <v>1335.8166504000001</v>
      </c>
      <c r="H1473">
        <v>1334.1558838000001</v>
      </c>
      <c r="I1473">
        <v>1328.651001</v>
      </c>
      <c r="J1473">
        <v>1327.6485596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1489.700347</v>
      </c>
      <c r="B1474" s="1">
        <f>DATE(2014,5,29) + TIME(16,48,29)</f>
        <v>41788.700335648151</v>
      </c>
      <c r="C1474">
        <v>80</v>
      </c>
      <c r="D1474">
        <v>79.935600281000006</v>
      </c>
      <c r="E1474">
        <v>40</v>
      </c>
      <c r="F1474">
        <v>39.676292418999999</v>
      </c>
      <c r="G1474">
        <v>1335.8121338000001</v>
      </c>
      <c r="H1474">
        <v>1334.1561279</v>
      </c>
      <c r="I1474">
        <v>1328.6489257999999</v>
      </c>
      <c r="J1474">
        <v>1327.6430664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1490.7587109999999</v>
      </c>
      <c r="B1475" s="1">
        <f>DATE(2014,5,30) + TIME(18,12,32)</f>
        <v>41789.758703703701</v>
      </c>
      <c r="C1475">
        <v>80</v>
      </c>
      <c r="D1475">
        <v>79.935470581000004</v>
      </c>
      <c r="E1475">
        <v>40</v>
      </c>
      <c r="F1475">
        <v>39.691825866999999</v>
      </c>
      <c r="G1475">
        <v>1335.8076172000001</v>
      </c>
      <c r="H1475">
        <v>1334.1564940999999</v>
      </c>
      <c r="I1475">
        <v>1328.6467285000001</v>
      </c>
      <c r="J1475">
        <v>1327.6375731999999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1491.823191</v>
      </c>
      <c r="B1476" s="1">
        <f>DATE(2014,5,31) + TIME(19,45,23)</f>
        <v>41790.823182870372</v>
      </c>
      <c r="C1476">
        <v>80</v>
      </c>
      <c r="D1476">
        <v>79.935333252000007</v>
      </c>
      <c r="E1476">
        <v>40</v>
      </c>
      <c r="F1476">
        <v>39.710136413999997</v>
      </c>
      <c r="G1476">
        <v>1335.8033447</v>
      </c>
      <c r="H1476">
        <v>1334.1568603999999</v>
      </c>
      <c r="I1476">
        <v>1328.6445312000001</v>
      </c>
      <c r="J1476">
        <v>1327.6319579999999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1492</v>
      </c>
      <c r="B1477" s="1">
        <f>DATE(2014,6,1) + TIME(0,0,0)</f>
        <v>41791</v>
      </c>
      <c r="C1477">
        <v>80</v>
      </c>
      <c r="D1477">
        <v>79.935295104999994</v>
      </c>
      <c r="E1477">
        <v>40</v>
      </c>
      <c r="F1477">
        <v>39.714439392000003</v>
      </c>
      <c r="G1477">
        <v>1335.7991943</v>
      </c>
      <c r="H1477">
        <v>1334.1573486</v>
      </c>
      <c r="I1477">
        <v>1328.6434326000001</v>
      </c>
      <c r="J1477">
        <v>1327.6275635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1493.075779</v>
      </c>
      <c r="B1478" s="1">
        <f>DATE(2014,6,2) + TIME(1,49,7)</f>
        <v>41792.075775462959</v>
      </c>
      <c r="C1478">
        <v>80</v>
      </c>
      <c r="D1478">
        <v>79.935165405000006</v>
      </c>
      <c r="E1478">
        <v>40</v>
      </c>
      <c r="F1478">
        <v>39.736072540000002</v>
      </c>
      <c r="G1478">
        <v>1335.7983397999999</v>
      </c>
      <c r="H1478">
        <v>1334.1573486</v>
      </c>
      <c r="I1478">
        <v>1328.6419678</v>
      </c>
      <c r="J1478">
        <v>1327.6252440999999</v>
      </c>
      <c r="K1478">
        <v>550</v>
      </c>
      <c r="L1478">
        <v>0</v>
      </c>
      <c r="M1478">
        <v>0</v>
      </c>
      <c r="N1478">
        <v>550</v>
      </c>
    </row>
    <row r="1479" spans="1:14" x14ac:dyDescent="0.25">
      <c r="A1479">
        <v>1494.171396</v>
      </c>
      <c r="B1479" s="1">
        <f>DATE(2014,6,3) + TIME(4,6,48)</f>
        <v>41793.171388888892</v>
      </c>
      <c r="C1479">
        <v>80</v>
      </c>
      <c r="D1479">
        <v>79.935035705999994</v>
      </c>
      <c r="E1479">
        <v>40</v>
      </c>
      <c r="F1479">
        <v>39.761138916</v>
      </c>
      <c r="G1479">
        <v>1335.7943115</v>
      </c>
      <c r="H1479">
        <v>1334.1577147999999</v>
      </c>
      <c r="I1479">
        <v>1328.6398925999999</v>
      </c>
      <c r="J1479">
        <v>1327.6196289</v>
      </c>
      <c r="K1479">
        <v>550</v>
      </c>
      <c r="L1479">
        <v>0</v>
      </c>
      <c r="M1479">
        <v>0</v>
      </c>
      <c r="N1479">
        <v>550</v>
      </c>
    </row>
    <row r="1480" spans="1:14" x14ac:dyDescent="0.25">
      <c r="A1480">
        <v>1495.2892999999999</v>
      </c>
      <c r="B1480" s="1">
        <f>DATE(2014,6,4) + TIME(6,56,35)</f>
        <v>41794.289293981485</v>
      </c>
      <c r="C1480">
        <v>80</v>
      </c>
      <c r="D1480">
        <v>79.934906006000006</v>
      </c>
      <c r="E1480">
        <v>40</v>
      </c>
      <c r="F1480">
        <v>39.789966583000002</v>
      </c>
      <c r="G1480">
        <v>1335.7902832</v>
      </c>
      <c r="H1480">
        <v>1334.1582031</v>
      </c>
      <c r="I1480">
        <v>1328.6378173999999</v>
      </c>
      <c r="J1480">
        <v>1327.6138916</v>
      </c>
      <c r="K1480">
        <v>550</v>
      </c>
      <c r="L1480">
        <v>0</v>
      </c>
      <c r="M1480">
        <v>0</v>
      </c>
      <c r="N1480">
        <v>550</v>
      </c>
    </row>
    <row r="1481" spans="1:14" x14ac:dyDescent="0.25">
      <c r="A1481">
        <v>1496.440728</v>
      </c>
      <c r="B1481" s="1">
        <f>DATE(2014,6,5) + TIME(10,34,38)</f>
        <v>41795.440717592595</v>
      </c>
      <c r="C1481">
        <v>80</v>
      </c>
      <c r="D1481">
        <v>79.934776306000003</v>
      </c>
      <c r="E1481">
        <v>40</v>
      </c>
      <c r="F1481">
        <v>39.823120117000002</v>
      </c>
      <c r="G1481">
        <v>1335.7862548999999</v>
      </c>
      <c r="H1481">
        <v>1334.1585693</v>
      </c>
      <c r="I1481">
        <v>1328.6357422000001</v>
      </c>
      <c r="J1481">
        <v>1327.6081543</v>
      </c>
      <c r="K1481">
        <v>550</v>
      </c>
      <c r="L1481">
        <v>0</v>
      </c>
      <c r="M1481">
        <v>0</v>
      </c>
      <c r="N1481">
        <v>550</v>
      </c>
    </row>
    <row r="1482" spans="1:14" x14ac:dyDescent="0.25">
      <c r="A1482">
        <v>1497.641183</v>
      </c>
      <c r="B1482" s="1">
        <f>DATE(2014,6,6) + TIME(15,23,18)</f>
        <v>41796.641180555554</v>
      </c>
      <c r="C1482">
        <v>80</v>
      </c>
      <c r="D1482">
        <v>79.934646606000001</v>
      </c>
      <c r="E1482">
        <v>40</v>
      </c>
      <c r="F1482">
        <v>39.861427307</v>
      </c>
      <c r="G1482">
        <v>1335.7823486</v>
      </c>
      <c r="H1482">
        <v>1334.1590576000001</v>
      </c>
      <c r="I1482">
        <v>1328.6336670000001</v>
      </c>
      <c r="J1482">
        <v>1327.6022949000001</v>
      </c>
      <c r="K1482">
        <v>550</v>
      </c>
      <c r="L1482">
        <v>0</v>
      </c>
      <c r="M1482">
        <v>0</v>
      </c>
      <c r="N1482">
        <v>550</v>
      </c>
    </row>
    <row r="1483" spans="1:14" x14ac:dyDescent="0.25">
      <c r="A1483">
        <v>1498.899887</v>
      </c>
      <c r="B1483" s="1">
        <f>DATE(2014,6,7) + TIME(21,35,50)</f>
        <v>41797.899884259263</v>
      </c>
      <c r="C1483">
        <v>80</v>
      </c>
      <c r="D1483">
        <v>79.934516907000003</v>
      </c>
      <c r="E1483">
        <v>40</v>
      </c>
      <c r="F1483">
        <v>39.905792236000003</v>
      </c>
      <c r="G1483">
        <v>1335.7784423999999</v>
      </c>
      <c r="H1483">
        <v>1334.1594238</v>
      </c>
      <c r="I1483">
        <v>1328.6314697</v>
      </c>
      <c r="J1483">
        <v>1327.5963135</v>
      </c>
      <c r="K1483">
        <v>550</v>
      </c>
      <c r="L1483">
        <v>0</v>
      </c>
      <c r="M1483">
        <v>0</v>
      </c>
      <c r="N1483">
        <v>550</v>
      </c>
    </row>
    <row r="1484" spans="1:14" x14ac:dyDescent="0.25">
      <c r="A1484">
        <v>1500.221254</v>
      </c>
      <c r="B1484" s="1">
        <f>DATE(2014,6,9) + TIME(5,18,36)</f>
        <v>41799.221250000002</v>
      </c>
      <c r="C1484">
        <v>80</v>
      </c>
      <c r="D1484">
        <v>79.934387207</v>
      </c>
      <c r="E1484">
        <v>40</v>
      </c>
      <c r="F1484">
        <v>39.957153320000003</v>
      </c>
      <c r="G1484">
        <v>1335.7744141000001</v>
      </c>
      <c r="H1484">
        <v>1334.1599120999999</v>
      </c>
      <c r="I1484">
        <v>1328.6293945</v>
      </c>
      <c r="J1484">
        <v>1327.5900879000001</v>
      </c>
      <c r="K1484">
        <v>550</v>
      </c>
      <c r="L1484">
        <v>0</v>
      </c>
      <c r="M1484">
        <v>0</v>
      </c>
      <c r="N1484">
        <v>550</v>
      </c>
    </row>
    <row r="1485" spans="1:14" x14ac:dyDescent="0.25">
      <c r="A1485">
        <v>1501.6067390000001</v>
      </c>
      <c r="B1485" s="1">
        <f>DATE(2014,6,10) + TIME(14,33,42)</f>
        <v>41800.606736111113</v>
      </c>
      <c r="C1485">
        <v>80</v>
      </c>
      <c r="D1485">
        <v>79.934249878000003</v>
      </c>
      <c r="E1485">
        <v>40</v>
      </c>
      <c r="F1485">
        <v>40.016525268999999</v>
      </c>
      <c r="G1485">
        <v>1335.7703856999999</v>
      </c>
      <c r="H1485">
        <v>1334.1604004000001</v>
      </c>
      <c r="I1485">
        <v>1328.6273193</v>
      </c>
      <c r="J1485">
        <v>1327.5837402</v>
      </c>
      <c r="K1485">
        <v>550</v>
      </c>
      <c r="L1485">
        <v>0</v>
      </c>
      <c r="M1485">
        <v>0</v>
      </c>
      <c r="N1485">
        <v>550</v>
      </c>
    </row>
    <row r="1486" spans="1:14" x14ac:dyDescent="0.25">
      <c r="A1486">
        <v>1503.0248670000001</v>
      </c>
      <c r="B1486" s="1">
        <f>DATE(2014,6,12) + TIME(0,35,48)</f>
        <v>41802.024861111109</v>
      </c>
      <c r="C1486">
        <v>80</v>
      </c>
      <c r="D1486">
        <v>79.934120178000001</v>
      </c>
      <c r="E1486">
        <v>40</v>
      </c>
      <c r="F1486">
        <v>40.083942413000003</v>
      </c>
      <c r="G1486">
        <v>1335.7662353999999</v>
      </c>
      <c r="H1486">
        <v>1334.1608887</v>
      </c>
      <c r="I1486">
        <v>1328.6252440999999</v>
      </c>
      <c r="J1486">
        <v>1327.5771483999999</v>
      </c>
      <c r="K1486">
        <v>550</v>
      </c>
      <c r="L1486">
        <v>0</v>
      </c>
      <c r="M1486">
        <v>0</v>
      </c>
      <c r="N1486">
        <v>550</v>
      </c>
    </row>
    <row r="1487" spans="1:14" x14ac:dyDescent="0.25">
      <c r="A1487">
        <v>1504.483688</v>
      </c>
      <c r="B1487" s="1">
        <f>DATE(2014,6,13) + TIME(11,36,30)</f>
        <v>41803.483680555553</v>
      </c>
      <c r="C1487">
        <v>80</v>
      </c>
      <c r="D1487">
        <v>79.933982849000003</v>
      </c>
      <c r="E1487">
        <v>40</v>
      </c>
      <c r="F1487">
        <v>40.160404204999999</v>
      </c>
      <c r="G1487">
        <v>1335.7623291</v>
      </c>
      <c r="H1487">
        <v>1334.1613769999999</v>
      </c>
      <c r="I1487">
        <v>1328.6232910000001</v>
      </c>
      <c r="J1487">
        <v>1327.5706786999999</v>
      </c>
      <c r="K1487">
        <v>550</v>
      </c>
      <c r="L1487">
        <v>0</v>
      </c>
      <c r="M1487">
        <v>0</v>
      </c>
      <c r="N1487">
        <v>550</v>
      </c>
    </row>
    <row r="1488" spans="1:14" x14ac:dyDescent="0.25">
      <c r="A1488">
        <v>1505.9910199999999</v>
      </c>
      <c r="B1488" s="1">
        <f>DATE(2014,6,14) + TIME(23,47,4)</f>
        <v>41804.991018518522</v>
      </c>
      <c r="C1488">
        <v>80</v>
      </c>
      <c r="D1488">
        <v>79.933853149000001</v>
      </c>
      <c r="E1488">
        <v>40</v>
      </c>
      <c r="F1488">
        <v>40.247161865000002</v>
      </c>
      <c r="G1488">
        <v>1335.7583007999999</v>
      </c>
      <c r="H1488">
        <v>1334.1618652</v>
      </c>
      <c r="I1488">
        <v>1328.6213379000001</v>
      </c>
      <c r="J1488">
        <v>1327.5640868999999</v>
      </c>
      <c r="K1488">
        <v>550</v>
      </c>
      <c r="L1488">
        <v>0</v>
      </c>
      <c r="M1488">
        <v>0</v>
      </c>
      <c r="N1488">
        <v>550</v>
      </c>
    </row>
    <row r="1489" spans="1:14" x14ac:dyDescent="0.25">
      <c r="A1489">
        <v>1507.55574</v>
      </c>
      <c r="B1489" s="1">
        <f>DATE(2014,6,16) + TIME(13,20,15)</f>
        <v>41806.55572916667</v>
      </c>
      <c r="C1489">
        <v>80</v>
      </c>
      <c r="D1489">
        <v>79.933723450000002</v>
      </c>
      <c r="E1489">
        <v>40</v>
      </c>
      <c r="F1489">
        <v>40.345756530999999</v>
      </c>
      <c r="G1489">
        <v>1335.7543945</v>
      </c>
      <c r="H1489">
        <v>1334.1624756000001</v>
      </c>
      <c r="I1489">
        <v>1328.6193848</v>
      </c>
      <c r="J1489">
        <v>1327.5576172000001</v>
      </c>
      <c r="K1489">
        <v>550</v>
      </c>
      <c r="L1489">
        <v>0</v>
      </c>
      <c r="M1489">
        <v>0</v>
      </c>
      <c r="N1489">
        <v>550</v>
      </c>
    </row>
    <row r="1490" spans="1:14" x14ac:dyDescent="0.25">
      <c r="A1490">
        <v>1509.159768</v>
      </c>
      <c r="B1490" s="1">
        <f>DATE(2014,6,18) + TIME(3,50,3)</f>
        <v>41808.159756944442</v>
      </c>
      <c r="C1490">
        <v>80</v>
      </c>
      <c r="D1490">
        <v>79.933601378999995</v>
      </c>
      <c r="E1490">
        <v>40</v>
      </c>
      <c r="F1490">
        <v>40.456779480000002</v>
      </c>
      <c r="G1490">
        <v>1335.7503661999999</v>
      </c>
      <c r="H1490">
        <v>1334.1629639</v>
      </c>
      <c r="I1490">
        <v>1328.6176757999999</v>
      </c>
      <c r="J1490">
        <v>1327.5510254000001</v>
      </c>
      <c r="K1490">
        <v>550</v>
      </c>
      <c r="L1490">
        <v>0</v>
      </c>
      <c r="M1490">
        <v>0</v>
      </c>
      <c r="N1490">
        <v>550</v>
      </c>
    </row>
    <row r="1491" spans="1:14" x14ac:dyDescent="0.25">
      <c r="A1491">
        <v>1510.7776469999999</v>
      </c>
      <c r="B1491" s="1">
        <f>DATE(2014,6,19) + TIME(18,39,48)</f>
        <v>41809.777638888889</v>
      </c>
      <c r="C1491">
        <v>80</v>
      </c>
      <c r="D1491">
        <v>79.933471679999997</v>
      </c>
      <c r="E1491">
        <v>40</v>
      </c>
      <c r="F1491">
        <v>40.580101012999997</v>
      </c>
      <c r="G1491">
        <v>1335.746582</v>
      </c>
      <c r="H1491">
        <v>1334.1634521000001</v>
      </c>
      <c r="I1491">
        <v>1328.6162108999999</v>
      </c>
      <c r="J1491">
        <v>1327.5445557</v>
      </c>
      <c r="K1491">
        <v>550</v>
      </c>
      <c r="L1491">
        <v>0</v>
      </c>
      <c r="M1491">
        <v>0</v>
      </c>
      <c r="N1491">
        <v>550</v>
      </c>
    </row>
    <row r="1492" spans="1:14" x14ac:dyDescent="0.25">
      <c r="A1492">
        <v>1512.4196649999999</v>
      </c>
      <c r="B1492" s="1">
        <f>DATE(2014,6,21) + TIME(10,4,19)</f>
        <v>41811.419664351852</v>
      </c>
      <c r="C1492">
        <v>80</v>
      </c>
      <c r="D1492">
        <v>79.933357239000003</v>
      </c>
      <c r="E1492">
        <v>40</v>
      </c>
      <c r="F1492">
        <v>40.717002868999998</v>
      </c>
      <c r="G1492">
        <v>1335.7427978999999</v>
      </c>
      <c r="H1492">
        <v>1334.1639404</v>
      </c>
      <c r="I1492">
        <v>1328.6147461</v>
      </c>
      <c r="J1492">
        <v>1327.5383300999999</v>
      </c>
      <c r="K1492">
        <v>550</v>
      </c>
      <c r="L1492">
        <v>0</v>
      </c>
      <c r="M1492">
        <v>0</v>
      </c>
      <c r="N1492">
        <v>550</v>
      </c>
    </row>
    <row r="1493" spans="1:14" x14ac:dyDescent="0.25">
      <c r="A1493">
        <v>1514.096493</v>
      </c>
      <c r="B1493" s="1">
        <f>DATE(2014,6,23) + TIME(2,18,56)</f>
        <v>41813.09648148148</v>
      </c>
      <c r="C1493">
        <v>80</v>
      </c>
      <c r="D1493">
        <v>79.933242797999995</v>
      </c>
      <c r="E1493">
        <v>40</v>
      </c>
      <c r="F1493">
        <v>40.869190216</v>
      </c>
      <c r="G1493">
        <v>1335.7390137</v>
      </c>
      <c r="H1493">
        <v>1334.1644286999999</v>
      </c>
      <c r="I1493">
        <v>1328.6135254000001</v>
      </c>
      <c r="J1493">
        <v>1327.5322266000001</v>
      </c>
      <c r="K1493">
        <v>550</v>
      </c>
      <c r="L1493">
        <v>0</v>
      </c>
      <c r="M1493">
        <v>0</v>
      </c>
      <c r="N1493">
        <v>550</v>
      </c>
    </row>
    <row r="1494" spans="1:14" x14ac:dyDescent="0.25">
      <c r="A1494">
        <v>1515.8265670000001</v>
      </c>
      <c r="B1494" s="1">
        <f>DATE(2014,6,24) + TIME(19,50,15)</f>
        <v>41814.826562499999</v>
      </c>
      <c r="C1494">
        <v>80</v>
      </c>
      <c r="D1494">
        <v>79.933128357000001</v>
      </c>
      <c r="E1494">
        <v>40</v>
      </c>
      <c r="F1494">
        <v>41.039321899000001</v>
      </c>
      <c r="G1494">
        <v>1335.7353516000001</v>
      </c>
      <c r="H1494">
        <v>1334.1647949000001</v>
      </c>
      <c r="I1494">
        <v>1328.6124268000001</v>
      </c>
      <c r="J1494">
        <v>1327.5263672000001</v>
      </c>
      <c r="K1494">
        <v>550</v>
      </c>
      <c r="L1494">
        <v>0</v>
      </c>
      <c r="M1494">
        <v>0</v>
      </c>
      <c r="N1494">
        <v>550</v>
      </c>
    </row>
    <row r="1495" spans="1:14" x14ac:dyDescent="0.25">
      <c r="A1495">
        <v>1517.642026</v>
      </c>
      <c r="B1495" s="1">
        <f>DATE(2014,6,26) + TIME(15,24,31)</f>
        <v>41816.642025462963</v>
      </c>
      <c r="C1495">
        <v>80</v>
      </c>
      <c r="D1495">
        <v>79.933021545000003</v>
      </c>
      <c r="E1495">
        <v>40</v>
      </c>
      <c r="F1495">
        <v>41.231742859000001</v>
      </c>
      <c r="G1495">
        <v>1335.7316894999999</v>
      </c>
      <c r="H1495">
        <v>1334.1652832</v>
      </c>
      <c r="I1495">
        <v>1328.6115723</v>
      </c>
      <c r="J1495">
        <v>1327.5207519999999</v>
      </c>
      <c r="K1495">
        <v>550</v>
      </c>
      <c r="L1495">
        <v>0</v>
      </c>
      <c r="M1495">
        <v>0</v>
      </c>
      <c r="N1495">
        <v>550</v>
      </c>
    </row>
    <row r="1496" spans="1:14" x14ac:dyDescent="0.25">
      <c r="A1496">
        <v>1519.5612900000001</v>
      </c>
      <c r="B1496" s="1">
        <f>DATE(2014,6,28) + TIME(13,28,15)</f>
        <v>41818.561284722222</v>
      </c>
      <c r="C1496">
        <v>80</v>
      </c>
      <c r="D1496">
        <v>79.932914733999993</v>
      </c>
      <c r="E1496">
        <v>40</v>
      </c>
      <c r="F1496">
        <v>41.451141356999997</v>
      </c>
      <c r="G1496">
        <v>1335.7280272999999</v>
      </c>
      <c r="H1496">
        <v>1334.1656493999999</v>
      </c>
      <c r="I1496">
        <v>1328.6109618999999</v>
      </c>
      <c r="J1496">
        <v>1327.5152588000001</v>
      </c>
      <c r="K1496">
        <v>550</v>
      </c>
      <c r="L1496">
        <v>0</v>
      </c>
      <c r="M1496">
        <v>0</v>
      </c>
      <c r="N1496">
        <v>550</v>
      </c>
    </row>
    <row r="1497" spans="1:14" x14ac:dyDescent="0.25">
      <c r="A1497">
        <v>1521.5758109999999</v>
      </c>
      <c r="B1497" s="1">
        <f>DATE(2014,6,30) + TIME(13,49,10)</f>
        <v>41820.575810185182</v>
      </c>
      <c r="C1497">
        <v>80</v>
      </c>
      <c r="D1497">
        <v>79.932807921999995</v>
      </c>
      <c r="E1497">
        <v>40</v>
      </c>
      <c r="F1497">
        <v>41.701118469000001</v>
      </c>
      <c r="G1497">
        <v>1335.7242432</v>
      </c>
      <c r="H1497">
        <v>1334.1660156</v>
      </c>
      <c r="I1497">
        <v>1328.6105957</v>
      </c>
      <c r="J1497">
        <v>1327.5100098</v>
      </c>
      <c r="K1497">
        <v>550</v>
      </c>
      <c r="L1497">
        <v>0</v>
      </c>
      <c r="M1497">
        <v>0</v>
      </c>
      <c r="N1497">
        <v>550</v>
      </c>
    </row>
    <row r="1498" spans="1:14" x14ac:dyDescent="0.25">
      <c r="A1498">
        <v>1522</v>
      </c>
      <c r="B1498" s="1">
        <f>DATE(2014,7,1) + TIME(0,0,0)</f>
        <v>41821</v>
      </c>
      <c r="C1498">
        <v>80</v>
      </c>
      <c r="D1498">
        <v>79.932754517000006</v>
      </c>
      <c r="E1498">
        <v>40</v>
      </c>
      <c r="F1498">
        <v>41.784198760999999</v>
      </c>
      <c r="G1498">
        <v>1335.7205810999999</v>
      </c>
      <c r="H1498">
        <v>1334.1665039</v>
      </c>
      <c r="I1498">
        <v>1328.6134033000001</v>
      </c>
      <c r="J1498">
        <v>1327.5065918</v>
      </c>
      <c r="K1498">
        <v>550</v>
      </c>
      <c r="L1498">
        <v>0</v>
      </c>
      <c r="M1498">
        <v>0</v>
      </c>
      <c r="N1498">
        <v>550</v>
      </c>
    </row>
    <row r="1499" spans="1:14" x14ac:dyDescent="0.25">
      <c r="A1499">
        <v>1524.0423209999999</v>
      </c>
      <c r="B1499" s="1">
        <f>DATE(2014,7,3) + TIME(1,0,56)</f>
        <v>41823.042314814818</v>
      </c>
      <c r="C1499">
        <v>80</v>
      </c>
      <c r="D1499">
        <v>79.932670592999997</v>
      </c>
      <c r="E1499">
        <v>40</v>
      </c>
      <c r="F1499">
        <v>42.059604645</v>
      </c>
      <c r="G1499">
        <v>1335.7196045000001</v>
      </c>
      <c r="H1499">
        <v>1334.1663818</v>
      </c>
      <c r="I1499">
        <v>1328.6104736</v>
      </c>
      <c r="J1499">
        <v>1327.5041504000001</v>
      </c>
      <c r="K1499">
        <v>550</v>
      </c>
      <c r="L1499">
        <v>0</v>
      </c>
      <c r="M1499">
        <v>0</v>
      </c>
      <c r="N1499">
        <v>550</v>
      </c>
    </row>
    <row r="1500" spans="1:14" x14ac:dyDescent="0.25">
      <c r="A1500">
        <v>1525.0955280000001</v>
      </c>
      <c r="B1500" s="1">
        <f>DATE(2014,7,4) + TIME(2,17,33)</f>
        <v>41824.095520833333</v>
      </c>
      <c r="C1500">
        <v>80</v>
      </c>
      <c r="D1500">
        <v>79.932586670000006</v>
      </c>
      <c r="E1500">
        <v>40</v>
      </c>
      <c r="F1500">
        <v>42.254379272000001</v>
      </c>
      <c r="G1500">
        <v>1335.7159423999999</v>
      </c>
      <c r="H1500">
        <v>1334.1667480000001</v>
      </c>
      <c r="I1500">
        <v>1328.612793</v>
      </c>
      <c r="J1500">
        <v>1327.5008545000001</v>
      </c>
      <c r="K1500">
        <v>550</v>
      </c>
      <c r="L1500">
        <v>0</v>
      </c>
      <c r="M1500">
        <v>0</v>
      </c>
      <c r="N1500">
        <v>550</v>
      </c>
    </row>
    <row r="1501" spans="1:14" x14ac:dyDescent="0.25">
      <c r="A1501">
        <v>1526.1487360000001</v>
      </c>
      <c r="B1501" s="1">
        <f>DATE(2014,7,5) + TIME(3,34,10)</f>
        <v>41825.148726851854</v>
      </c>
      <c r="C1501">
        <v>80</v>
      </c>
      <c r="D1501">
        <v>79.932525635000005</v>
      </c>
      <c r="E1501">
        <v>40</v>
      </c>
      <c r="F1501">
        <v>42.450489044000001</v>
      </c>
      <c r="G1501">
        <v>1335.7141113</v>
      </c>
      <c r="H1501">
        <v>1334.1668701000001</v>
      </c>
      <c r="I1501">
        <v>1328.6129149999999</v>
      </c>
      <c r="J1501">
        <v>1327.4989014</v>
      </c>
      <c r="K1501">
        <v>550</v>
      </c>
      <c r="L1501">
        <v>0</v>
      </c>
      <c r="M1501">
        <v>0</v>
      </c>
      <c r="N1501">
        <v>550</v>
      </c>
    </row>
    <row r="1502" spans="1:14" x14ac:dyDescent="0.25">
      <c r="A1502">
        <v>1527.2019439999999</v>
      </c>
      <c r="B1502" s="1">
        <f>DATE(2014,7,6) + TIME(4,50,47)</f>
        <v>41826.201932870368</v>
      </c>
      <c r="C1502">
        <v>80</v>
      </c>
      <c r="D1502">
        <v>79.932464600000003</v>
      </c>
      <c r="E1502">
        <v>40</v>
      </c>
      <c r="F1502">
        <v>42.649967193999998</v>
      </c>
      <c r="G1502">
        <v>1335.7122803</v>
      </c>
      <c r="H1502">
        <v>1334.1669922000001</v>
      </c>
      <c r="I1502">
        <v>1328.6132812000001</v>
      </c>
      <c r="J1502">
        <v>1327.4971923999999</v>
      </c>
      <c r="K1502">
        <v>550</v>
      </c>
      <c r="L1502">
        <v>0</v>
      </c>
      <c r="M1502">
        <v>0</v>
      </c>
      <c r="N1502">
        <v>550</v>
      </c>
    </row>
    <row r="1503" spans="1:14" x14ac:dyDescent="0.25">
      <c r="A1503">
        <v>1528.2551510000001</v>
      </c>
      <c r="B1503" s="1">
        <f>DATE(2014,7,7) + TIME(6,7,25)</f>
        <v>41827.255150462966</v>
      </c>
      <c r="C1503">
        <v>80</v>
      </c>
      <c r="D1503">
        <v>79.932418823000006</v>
      </c>
      <c r="E1503">
        <v>40</v>
      </c>
      <c r="F1503">
        <v>42.854202270999998</v>
      </c>
      <c r="G1503">
        <v>1335.7104492000001</v>
      </c>
      <c r="H1503">
        <v>1334.1671143000001</v>
      </c>
      <c r="I1503">
        <v>1328.6137695</v>
      </c>
      <c r="J1503">
        <v>1327.4957274999999</v>
      </c>
      <c r="K1503">
        <v>550</v>
      </c>
      <c r="L1503">
        <v>0</v>
      </c>
      <c r="M1503">
        <v>0</v>
      </c>
      <c r="N1503">
        <v>550</v>
      </c>
    </row>
    <row r="1504" spans="1:14" x14ac:dyDescent="0.25">
      <c r="A1504">
        <v>1529.3083590000001</v>
      </c>
      <c r="B1504" s="1">
        <f>DATE(2014,7,8) + TIME(7,24,2)</f>
        <v>41828.308356481481</v>
      </c>
      <c r="C1504">
        <v>80</v>
      </c>
      <c r="D1504">
        <v>79.932373046999999</v>
      </c>
      <c r="E1504">
        <v>40</v>
      </c>
      <c r="F1504">
        <v>43.064132690000001</v>
      </c>
      <c r="G1504">
        <v>1335.7086182</v>
      </c>
      <c r="H1504">
        <v>1334.1672363</v>
      </c>
      <c r="I1504">
        <v>1328.6143798999999</v>
      </c>
      <c r="J1504">
        <v>1327.4945068</v>
      </c>
      <c r="K1504">
        <v>550</v>
      </c>
      <c r="L1504">
        <v>0</v>
      </c>
      <c r="M1504">
        <v>0</v>
      </c>
      <c r="N1504">
        <v>550</v>
      </c>
    </row>
    <row r="1505" spans="1:14" x14ac:dyDescent="0.25">
      <c r="A1505">
        <v>1530.3615669999999</v>
      </c>
      <c r="B1505" s="1">
        <f>DATE(2014,7,9) + TIME(8,40,39)</f>
        <v>41829.361562500002</v>
      </c>
      <c r="C1505">
        <v>80</v>
      </c>
      <c r="D1505">
        <v>79.932327271000005</v>
      </c>
      <c r="E1505">
        <v>40</v>
      </c>
      <c r="F1505">
        <v>43.280353546000001</v>
      </c>
      <c r="G1505">
        <v>1335.7069091999999</v>
      </c>
      <c r="H1505">
        <v>1334.1673584</v>
      </c>
      <c r="I1505">
        <v>1328.6151123</v>
      </c>
      <c r="J1505">
        <v>1327.4935303</v>
      </c>
      <c r="K1505">
        <v>550</v>
      </c>
      <c r="L1505">
        <v>0</v>
      </c>
      <c r="M1505">
        <v>0</v>
      </c>
      <c r="N1505">
        <v>550</v>
      </c>
    </row>
    <row r="1506" spans="1:14" x14ac:dyDescent="0.25">
      <c r="A1506">
        <v>1531.414775</v>
      </c>
      <c r="B1506" s="1">
        <f>DATE(2014,7,10) + TIME(9,57,16)</f>
        <v>41830.414768518516</v>
      </c>
      <c r="C1506">
        <v>80</v>
      </c>
      <c r="D1506">
        <v>79.932289123999993</v>
      </c>
      <c r="E1506">
        <v>40</v>
      </c>
      <c r="F1506">
        <v>43.503219604000002</v>
      </c>
      <c r="G1506">
        <v>1335.7052002</v>
      </c>
      <c r="H1506">
        <v>1334.1674805</v>
      </c>
      <c r="I1506">
        <v>1328.6160889</v>
      </c>
      <c r="J1506">
        <v>1327.4927978999999</v>
      </c>
      <c r="K1506">
        <v>550</v>
      </c>
      <c r="L1506">
        <v>0</v>
      </c>
      <c r="M1506">
        <v>0</v>
      </c>
      <c r="N1506">
        <v>550</v>
      </c>
    </row>
    <row r="1507" spans="1:14" x14ac:dyDescent="0.25">
      <c r="A1507">
        <v>1532.4679819999999</v>
      </c>
      <c r="B1507" s="1">
        <f>DATE(2014,7,11) + TIME(11,13,53)</f>
        <v>41831.467974537038</v>
      </c>
      <c r="C1507">
        <v>80</v>
      </c>
      <c r="D1507">
        <v>79.932250976999995</v>
      </c>
      <c r="E1507">
        <v>40</v>
      </c>
      <c r="F1507">
        <v>43.732902527</v>
      </c>
      <c r="G1507">
        <v>1335.7034911999999</v>
      </c>
      <c r="H1507">
        <v>1334.1674805</v>
      </c>
      <c r="I1507">
        <v>1328.6170654</v>
      </c>
      <c r="J1507">
        <v>1327.4923096</v>
      </c>
      <c r="K1507">
        <v>550</v>
      </c>
      <c r="L1507">
        <v>0</v>
      </c>
      <c r="M1507">
        <v>0</v>
      </c>
      <c r="N1507">
        <v>550</v>
      </c>
    </row>
    <row r="1508" spans="1:14" x14ac:dyDescent="0.25">
      <c r="A1508">
        <v>1533.5211899999999</v>
      </c>
      <c r="B1508" s="1">
        <f>DATE(2014,7,12) + TIME(12,30,30)</f>
        <v>41832.521180555559</v>
      </c>
      <c r="C1508">
        <v>80</v>
      </c>
      <c r="D1508">
        <v>79.932212829999997</v>
      </c>
      <c r="E1508">
        <v>40</v>
      </c>
      <c r="F1508">
        <v>43.969436645999998</v>
      </c>
      <c r="G1508">
        <v>1335.7017822</v>
      </c>
      <c r="H1508">
        <v>1334.1676024999999</v>
      </c>
      <c r="I1508">
        <v>1328.6181641000001</v>
      </c>
      <c r="J1508">
        <v>1327.4920654</v>
      </c>
      <c r="K1508">
        <v>550</v>
      </c>
      <c r="L1508">
        <v>0</v>
      </c>
      <c r="M1508">
        <v>0</v>
      </c>
      <c r="N1508">
        <v>550</v>
      </c>
    </row>
    <row r="1509" spans="1:14" x14ac:dyDescent="0.25">
      <c r="A1509">
        <v>1534.574398</v>
      </c>
      <c r="B1509" s="1">
        <f>DATE(2014,7,13) + TIME(13,47,7)</f>
        <v>41833.574386574073</v>
      </c>
      <c r="C1509">
        <v>80</v>
      </c>
      <c r="D1509">
        <v>79.932174683</v>
      </c>
      <c r="E1509">
        <v>40</v>
      </c>
      <c r="F1509">
        <v>44.212730407999999</v>
      </c>
      <c r="G1509">
        <v>1335.7001952999999</v>
      </c>
      <c r="H1509">
        <v>1334.1676024999999</v>
      </c>
      <c r="I1509">
        <v>1328.6193848</v>
      </c>
      <c r="J1509">
        <v>1327.4920654</v>
      </c>
      <c r="K1509">
        <v>550</v>
      </c>
      <c r="L1509">
        <v>0</v>
      </c>
      <c r="M1509">
        <v>0</v>
      </c>
      <c r="N1509">
        <v>550</v>
      </c>
    </row>
    <row r="1510" spans="1:14" x14ac:dyDescent="0.25">
      <c r="A1510">
        <v>1536.6808129999999</v>
      </c>
      <c r="B1510" s="1">
        <f>DATE(2014,7,15) + TIME(16,20,22)</f>
        <v>41835.680810185186</v>
      </c>
      <c r="C1510">
        <v>80</v>
      </c>
      <c r="D1510">
        <v>79.932159424000005</v>
      </c>
      <c r="E1510">
        <v>40</v>
      </c>
      <c r="F1510">
        <v>44.610908508000001</v>
      </c>
      <c r="G1510">
        <v>1335.6984863</v>
      </c>
      <c r="H1510">
        <v>1334.1676024999999</v>
      </c>
      <c r="I1510">
        <v>1328.6188964999999</v>
      </c>
      <c r="J1510">
        <v>1327.4918213000001</v>
      </c>
      <c r="K1510">
        <v>550</v>
      </c>
      <c r="L1510">
        <v>0</v>
      </c>
      <c r="M1510">
        <v>0</v>
      </c>
      <c r="N1510">
        <v>550</v>
      </c>
    </row>
    <row r="1511" spans="1:14" x14ac:dyDescent="0.25">
      <c r="A1511">
        <v>1538.803574</v>
      </c>
      <c r="B1511" s="1">
        <f>DATE(2014,7,17) + TIME(19,17,8)</f>
        <v>41837.803564814814</v>
      </c>
      <c r="C1511">
        <v>80</v>
      </c>
      <c r="D1511">
        <v>79.932113646999994</v>
      </c>
      <c r="E1511">
        <v>40</v>
      </c>
      <c r="F1511">
        <v>45.071903229</v>
      </c>
      <c r="G1511">
        <v>1335.6953125</v>
      </c>
      <c r="H1511">
        <v>1334.1677245999999</v>
      </c>
      <c r="I1511">
        <v>1328.6220702999999</v>
      </c>
      <c r="J1511">
        <v>1327.4921875</v>
      </c>
      <c r="K1511">
        <v>550</v>
      </c>
      <c r="L1511">
        <v>0</v>
      </c>
      <c r="M1511">
        <v>0</v>
      </c>
      <c r="N1511">
        <v>550</v>
      </c>
    </row>
    <row r="1512" spans="1:14" x14ac:dyDescent="0.25">
      <c r="A1512">
        <v>1541.0381540000001</v>
      </c>
      <c r="B1512" s="1">
        <f>DATE(2014,7,20) + TIME(0,54,56)</f>
        <v>41840.038148148145</v>
      </c>
      <c r="C1512">
        <v>80</v>
      </c>
      <c r="D1512">
        <v>79.932060242000006</v>
      </c>
      <c r="E1512">
        <v>40</v>
      </c>
      <c r="F1512">
        <v>45.590457915999998</v>
      </c>
      <c r="G1512">
        <v>1335.6921387</v>
      </c>
      <c r="H1512">
        <v>1334.1678466999999</v>
      </c>
      <c r="I1512">
        <v>1328.6253661999999</v>
      </c>
      <c r="J1512">
        <v>1327.4934082</v>
      </c>
      <c r="K1512">
        <v>550</v>
      </c>
      <c r="L1512">
        <v>0</v>
      </c>
      <c r="M1512">
        <v>0</v>
      </c>
      <c r="N1512">
        <v>550</v>
      </c>
    </row>
    <row r="1513" spans="1:14" x14ac:dyDescent="0.25">
      <c r="A1513">
        <v>1542.193135</v>
      </c>
      <c r="B1513" s="1">
        <f>DATE(2014,7,21) + TIME(4,38,6)</f>
        <v>41841.193124999998</v>
      </c>
      <c r="C1513">
        <v>80</v>
      </c>
      <c r="D1513">
        <v>79.931999207000004</v>
      </c>
      <c r="E1513">
        <v>40</v>
      </c>
      <c r="F1513">
        <v>45.955204010000003</v>
      </c>
      <c r="G1513">
        <v>1335.6890868999999</v>
      </c>
      <c r="H1513">
        <v>1334.1679687999999</v>
      </c>
      <c r="I1513">
        <v>1328.6317139</v>
      </c>
      <c r="J1513">
        <v>1327.4960937999999</v>
      </c>
      <c r="K1513">
        <v>550</v>
      </c>
      <c r="L1513">
        <v>0</v>
      </c>
      <c r="M1513">
        <v>0</v>
      </c>
      <c r="N1513">
        <v>550</v>
      </c>
    </row>
    <row r="1514" spans="1:14" x14ac:dyDescent="0.25">
      <c r="A1514">
        <v>1544.3805669999999</v>
      </c>
      <c r="B1514" s="1">
        <f>DATE(2014,7,23) + TIME(9,8,0)</f>
        <v>41843.380555555559</v>
      </c>
      <c r="C1514">
        <v>80</v>
      </c>
      <c r="D1514">
        <v>79.931961060000006</v>
      </c>
      <c r="E1514">
        <v>40</v>
      </c>
      <c r="F1514">
        <v>46.503047942999999</v>
      </c>
      <c r="G1514">
        <v>1335.6873779</v>
      </c>
      <c r="H1514">
        <v>1334.1678466999999</v>
      </c>
      <c r="I1514">
        <v>1328.6313477000001</v>
      </c>
      <c r="J1514">
        <v>1327.4979248</v>
      </c>
      <c r="K1514">
        <v>550</v>
      </c>
      <c r="L1514">
        <v>0</v>
      </c>
      <c r="M1514">
        <v>0</v>
      </c>
      <c r="N1514">
        <v>550</v>
      </c>
    </row>
    <row r="1515" spans="1:14" x14ac:dyDescent="0.25">
      <c r="A1515">
        <v>1546.6612319999999</v>
      </c>
      <c r="B1515" s="1">
        <f>DATE(2014,7,25) + TIME(15,52,10)</f>
        <v>41845.661226851851</v>
      </c>
      <c r="C1515">
        <v>80</v>
      </c>
      <c r="D1515">
        <v>79.931922912999994</v>
      </c>
      <c r="E1515">
        <v>40</v>
      </c>
      <c r="F1515">
        <v>47.091594696000001</v>
      </c>
      <c r="G1515">
        <v>1335.6844481999999</v>
      </c>
      <c r="H1515">
        <v>1334.1678466999999</v>
      </c>
      <c r="I1515">
        <v>1328.6356201000001</v>
      </c>
      <c r="J1515">
        <v>1327.5012207</v>
      </c>
      <c r="K1515">
        <v>550</v>
      </c>
      <c r="L1515">
        <v>0</v>
      </c>
      <c r="M1515">
        <v>0</v>
      </c>
      <c r="N1515">
        <v>550</v>
      </c>
    </row>
    <row r="1516" spans="1:14" x14ac:dyDescent="0.25">
      <c r="A1516">
        <v>1548.997441</v>
      </c>
      <c r="B1516" s="1">
        <f>DATE(2014,7,27) + TIME(23,56,18)</f>
        <v>41847.997430555559</v>
      </c>
      <c r="C1516">
        <v>80</v>
      </c>
      <c r="D1516">
        <v>79.931884765999996</v>
      </c>
      <c r="E1516">
        <v>40</v>
      </c>
      <c r="F1516">
        <v>47.721210480000003</v>
      </c>
      <c r="G1516">
        <v>1335.6813964999999</v>
      </c>
      <c r="H1516">
        <v>1334.1678466999999</v>
      </c>
      <c r="I1516">
        <v>1328.6403809000001</v>
      </c>
      <c r="J1516">
        <v>1327.5053711</v>
      </c>
      <c r="K1516">
        <v>550</v>
      </c>
      <c r="L1516">
        <v>0</v>
      </c>
      <c r="M1516">
        <v>0</v>
      </c>
      <c r="N1516">
        <v>550</v>
      </c>
    </row>
    <row r="1517" spans="1:14" x14ac:dyDescent="0.25">
      <c r="A1517">
        <v>1551.424182</v>
      </c>
      <c r="B1517" s="1">
        <f>DATE(2014,7,30) + TIME(10,10,49)</f>
        <v>41850.424178240741</v>
      </c>
      <c r="C1517">
        <v>80</v>
      </c>
      <c r="D1517">
        <v>79.931838988999999</v>
      </c>
      <c r="E1517">
        <v>40</v>
      </c>
      <c r="F1517">
        <v>48.395843505999999</v>
      </c>
      <c r="G1517">
        <v>1335.6784668</v>
      </c>
      <c r="H1517">
        <v>1334.1678466999999</v>
      </c>
      <c r="I1517">
        <v>1328.6455077999999</v>
      </c>
      <c r="J1517">
        <v>1327.5104980000001</v>
      </c>
      <c r="K1517">
        <v>550</v>
      </c>
      <c r="L1517">
        <v>0</v>
      </c>
      <c r="M1517">
        <v>0</v>
      </c>
      <c r="N1517">
        <v>550</v>
      </c>
    </row>
    <row r="1518" spans="1:14" x14ac:dyDescent="0.25">
      <c r="A1518">
        <v>1553</v>
      </c>
      <c r="B1518" s="1">
        <f>DATE(2014,8,1) + TIME(0,0,0)</f>
        <v>41852</v>
      </c>
      <c r="C1518">
        <v>80</v>
      </c>
      <c r="D1518">
        <v>79.931793213000006</v>
      </c>
      <c r="E1518">
        <v>40</v>
      </c>
      <c r="F1518">
        <v>48.941246032999999</v>
      </c>
      <c r="G1518">
        <v>1335.6755370999999</v>
      </c>
      <c r="H1518">
        <v>1334.1678466999999</v>
      </c>
      <c r="I1518">
        <v>1328.652832</v>
      </c>
      <c r="J1518">
        <v>1327.5168457</v>
      </c>
      <c r="K1518">
        <v>550</v>
      </c>
      <c r="L1518">
        <v>0</v>
      </c>
      <c r="M1518">
        <v>0</v>
      </c>
      <c r="N1518">
        <v>550</v>
      </c>
    </row>
    <row r="1519" spans="1:14" x14ac:dyDescent="0.25">
      <c r="A1519">
        <v>1555.460065</v>
      </c>
      <c r="B1519" s="1">
        <f>DATE(2014,8,3) + TIME(11,2,29)</f>
        <v>41854.460057870368</v>
      </c>
      <c r="C1519">
        <v>80</v>
      </c>
      <c r="D1519">
        <v>79.931770325000002</v>
      </c>
      <c r="E1519">
        <v>40</v>
      </c>
      <c r="F1519">
        <v>49.620742798000002</v>
      </c>
      <c r="G1519">
        <v>1335.6735839999999</v>
      </c>
      <c r="H1519">
        <v>1334.1677245999999</v>
      </c>
      <c r="I1519">
        <v>1328.6551514</v>
      </c>
      <c r="J1519">
        <v>1327.5222168</v>
      </c>
      <c r="K1519">
        <v>550</v>
      </c>
      <c r="L1519">
        <v>0</v>
      </c>
      <c r="M1519">
        <v>0</v>
      </c>
      <c r="N1519">
        <v>550</v>
      </c>
    </row>
    <row r="1520" spans="1:14" x14ac:dyDescent="0.25">
      <c r="A1520">
        <v>1558.0371929999999</v>
      </c>
      <c r="B1520" s="1">
        <f>DATE(2014,8,6) + TIME(0,53,33)</f>
        <v>41857.037187499998</v>
      </c>
      <c r="C1520">
        <v>80</v>
      </c>
      <c r="D1520">
        <v>79.931747436999999</v>
      </c>
      <c r="E1520">
        <v>40</v>
      </c>
      <c r="F1520">
        <v>50.348327636999997</v>
      </c>
      <c r="G1520">
        <v>1335.6706543</v>
      </c>
      <c r="H1520">
        <v>1334.1677245999999</v>
      </c>
      <c r="I1520">
        <v>1328.6613769999999</v>
      </c>
      <c r="J1520">
        <v>1327.5294189000001</v>
      </c>
      <c r="K1520">
        <v>550</v>
      </c>
      <c r="L1520">
        <v>0</v>
      </c>
      <c r="M1520">
        <v>0</v>
      </c>
      <c r="N1520">
        <v>550</v>
      </c>
    </row>
    <row r="1521" spans="1:14" x14ac:dyDescent="0.25">
      <c r="A1521">
        <v>1560.739476</v>
      </c>
      <c r="B1521" s="1">
        <f>DATE(2014,8,8) + TIME(17,44,50)</f>
        <v>41859.73946759259</v>
      </c>
      <c r="C1521">
        <v>80</v>
      </c>
      <c r="D1521">
        <v>79.931724548000005</v>
      </c>
      <c r="E1521">
        <v>40</v>
      </c>
      <c r="F1521">
        <v>51.113197327000002</v>
      </c>
      <c r="G1521">
        <v>1335.6677245999999</v>
      </c>
      <c r="H1521">
        <v>1334.1676024999999</v>
      </c>
      <c r="I1521">
        <v>1328.6682129000001</v>
      </c>
      <c r="J1521">
        <v>1327.5377197</v>
      </c>
      <c r="K1521">
        <v>550</v>
      </c>
      <c r="L1521">
        <v>0</v>
      </c>
      <c r="M1521">
        <v>0</v>
      </c>
      <c r="N1521">
        <v>550</v>
      </c>
    </row>
    <row r="1522" spans="1:14" x14ac:dyDescent="0.25">
      <c r="A1522">
        <v>1563.5899609999999</v>
      </c>
      <c r="B1522" s="1">
        <f>DATE(2014,8,11) + TIME(14,9,32)</f>
        <v>41862.589953703704</v>
      </c>
      <c r="C1522">
        <v>80</v>
      </c>
      <c r="D1522">
        <v>79.931701660000002</v>
      </c>
      <c r="E1522">
        <v>40</v>
      </c>
      <c r="F1522">
        <v>51.908897400000001</v>
      </c>
      <c r="G1522">
        <v>1335.6647949000001</v>
      </c>
      <c r="H1522">
        <v>1334.1676024999999</v>
      </c>
      <c r="I1522">
        <v>1328.6756591999999</v>
      </c>
      <c r="J1522">
        <v>1327.5472411999999</v>
      </c>
      <c r="K1522">
        <v>550</v>
      </c>
      <c r="L1522">
        <v>0</v>
      </c>
      <c r="M1522">
        <v>0</v>
      </c>
      <c r="N1522">
        <v>550</v>
      </c>
    </row>
    <row r="1523" spans="1:14" x14ac:dyDescent="0.25">
      <c r="A1523">
        <v>1566.5590569999999</v>
      </c>
      <c r="B1523" s="1">
        <f>DATE(2014,8,14) + TIME(13,25,2)</f>
        <v>41865.559050925927</v>
      </c>
      <c r="C1523">
        <v>80</v>
      </c>
      <c r="D1523">
        <v>79.931678771999998</v>
      </c>
      <c r="E1523">
        <v>40</v>
      </c>
      <c r="F1523">
        <v>52.723167418999999</v>
      </c>
      <c r="G1523">
        <v>1335.6618652</v>
      </c>
      <c r="H1523">
        <v>1334.1674805</v>
      </c>
      <c r="I1523">
        <v>1328.6839600000001</v>
      </c>
      <c r="J1523">
        <v>1327.5578613</v>
      </c>
      <c r="K1523">
        <v>550</v>
      </c>
      <c r="L1523">
        <v>0</v>
      </c>
      <c r="M1523">
        <v>0</v>
      </c>
      <c r="N1523">
        <v>550</v>
      </c>
    </row>
    <row r="1524" spans="1:14" x14ac:dyDescent="0.25">
      <c r="A1524">
        <v>1569.552453</v>
      </c>
      <c r="B1524" s="1">
        <f>DATE(2014,8,17) + TIME(13,15,31)</f>
        <v>41868.552442129629</v>
      </c>
      <c r="C1524">
        <v>80</v>
      </c>
      <c r="D1524">
        <v>79.931663513000004</v>
      </c>
      <c r="E1524">
        <v>40</v>
      </c>
      <c r="F1524">
        <v>53.534267426</v>
      </c>
      <c r="G1524">
        <v>1335.6588135</v>
      </c>
      <c r="H1524">
        <v>1334.1673584</v>
      </c>
      <c r="I1524">
        <v>1328.6928711</v>
      </c>
      <c r="J1524">
        <v>1327.5697021000001</v>
      </c>
      <c r="K1524">
        <v>550</v>
      </c>
      <c r="L1524">
        <v>0</v>
      </c>
      <c r="M1524">
        <v>0</v>
      </c>
      <c r="N1524">
        <v>550</v>
      </c>
    </row>
    <row r="1525" spans="1:14" x14ac:dyDescent="0.25">
      <c r="A1525">
        <v>1572.631161</v>
      </c>
      <c r="B1525" s="1">
        <f>DATE(2014,8,20) + TIME(15,8,52)</f>
        <v>41871.631157407406</v>
      </c>
      <c r="C1525">
        <v>80</v>
      </c>
      <c r="D1525">
        <v>79.931648253999995</v>
      </c>
      <c r="E1525">
        <v>40</v>
      </c>
      <c r="F1525">
        <v>54.336475372000002</v>
      </c>
      <c r="G1525">
        <v>1335.6560059000001</v>
      </c>
      <c r="H1525">
        <v>1334.1673584</v>
      </c>
      <c r="I1525">
        <v>1328.7022704999999</v>
      </c>
      <c r="J1525">
        <v>1327.5822754000001</v>
      </c>
      <c r="K1525">
        <v>550</v>
      </c>
      <c r="L1525">
        <v>0</v>
      </c>
      <c r="M1525">
        <v>0</v>
      </c>
      <c r="N1525">
        <v>550</v>
      </c>
    </row>
    <row r="1526" spans="1:14" x14ac:dyDescent="0.25">
      <c r="A1526">
        <v>1575.8285619999999</v>
      </c>
      <c r="B1526" s="1">
        <f>DATE(2014,8,23) + TIME(19,53,7)</f>
        <v>41874.828553240739</v>
      </c>
      <c r="C1526">
        <v>80</v>
      </c>
      <c r="D1526">
        <v>79.931640625</v>
      </c>
      <c r="E1526">
        <v>40</v>
      </c>
      <c r="F1526">
        <v>55.129333496000001</v>
      </c>
      <c r="G1526">
        <v>1335.6530762</v>
      </c>
      <c r="H1526">
        <v>1334.1672363</v>
      </c>
      <c r="I1526">
        <v>1328.7120361</v>
      </c>
      <c r="J1526">
        <v>1327.5954589999999</v>
      </c>
      <c r="K1526">
        <v>550</v>
      </c>
      <c r="L1526">
        <v>0</v>
      </c>
      <c r="M1526">
        <v>0</v>
      </c>
      <c r="N1526">
        <v>550</v>
      </c>
    </row>
    <row r="1527" spans="1:14" x14ac:dyDescent="0.25">
      <c r="A1527">
        <v>1579.18245</v>
      </c>
      <c r="B1527" s="1">
        <f>DATE(2014,8,27) + TIME(4,22,43)</f>
        <v>41878.182442129626</v>
      </c>
      <c r="C1527">
        <v>80</v>
      </c>
      <c r="D1527">
        <v>79.931640625</v>
      </c>
      <c r="E1527">
        <v>40</v>
      </c>
      <c r="F1527">
        <v>55.914493561</v>
      </c>
      <c r="G1527">
        <v>1335.6502685999999</v>
      </c>
      <c r="H1527">
        <v>1334.1671143000001</v>
      </c>
      <c r="I1527">
        <v>1328.7224120999999</v>
      </c>
      <c r="J1527">
        <v>1327.6094971</v>
      </c>
      <c r="K1527">
        <v>550</v>
      </c>
      <c r="L1527">
        <v>0</v>
      </c>
      <c r="M1527">
        <v>0</v>
      </c>
      <c r="N1527">
        <v>550</v>
      </c>
    </row>
    <row r="1528" spans="1:14" x14ac:dyDescent="0.25">
      <c r="A1528">
        <v>1582.7370390000001</v>
      </c>
      <c r="B1528" s="1">
        <f>DATE(2014,8,30) + TIME(17,41,20)</f>
        <v>41881.737037037034</v>
      </c>
      <c r="C1528">
        <v>80</v>
      </c>
      <c r="D1528">
        <v>79.931640625</v>
      </c>
      <c r="E1528">
        <v>40</v>
      </c>
      <c r="F1528">
        <v>56.693744658999996</v>
      </c>
      <c r="G1528">
        <v>1335.6473389</v>
      </c>
      <c r="H1528">
        <v>1334.1671143000001</v>
      </c>
      <c r="I1528">
        <v>1328.7332764</v>
      </c>
      <c r="J1528">
        <v>1327.6241454999999</v>
      </c>
      <c r="K1528">
        <v>550</v>
      </c>
      <c r="L1528">
        <v>0</v>
      </c>
      <c r="M1528">
        <v>0</v>
      </c>
      <c r="N1528">
        <v>550</v>
      </c>
    </row>
    <row r="1529" spans="1:14" x14ac:dyDescent="0.25">
      <c r="A1529">
        <v>1584</v>
      </c>
      <c r="B1529" s="1">
        <f>DATE(2014,9,1) + TIME(0,0,0)</f>
        <v>41883</v>
      </c>
      <c r="C1529">
        <v>80</v>
      </c>
      <c r="D1529">
        <v>79.931602478000002</v>
      </c>
      <c r="E1529">
        <v>40</v>
      </c>
      <c r="F1529">
        <v>57.125949859999999</v>
      </c>
      <c r="G1529">
        <v>1335.6446533000001</v>
      </c>
      <c r="H1529">
        <v>1334.1671143000001</v>
      </c>
      <c r="I1529">
        <v>1328.7476807</v>
      </c>
      <c r="J1529">
        <v>1327.6396483999999</v>
      </c>
      <c r="K1529">
        <v>550</v>
      </c>
      <c r="L1529">
        <v>0</v>
      </c>
      <c r="M1529">
        <v>0</v>
      </c>
      <c r="N1529">
        <v>550</v>
      </c>
    </row>
    <row r="1530" spans="1:14" x14ac:dyDescent="0.25">
      <c r="A1530">
        <v>1587.6938729999999</v>
      </c>
      <c r="B1530" s="1">
        <f>DATE(2014,9,4) + TIME(16,39,10)</f>
        <v>41886.693865740737</v>
      </c>
      <c r="C1530">
        <v>80</v>
      </c>
      <c r="D1530">
        <v>79.931640625</v>
      </c>
      <c r="E1530">
        <v>40</v>
      </c>
      <c r="F1530">
        <v>57.783245086999997</v>
      </c>
      <c r="G1530">
        <v>1335.6435547000001</v>
      </c>
      <c r="H1530">
        <v>1334.1669922000001</v>
      </c>
      <c r="I1530">
        <v>1328.7501221</v>
      </c>
      <c r="J1530">
        <v>1327.6484375</v>
      </c>
      <c r="K1530">
        <v>550</v>
      </c>
      <c r="L1530">
        <v>0</v>
      </c>
      <c r="M1530">
        <v>0</v>
      </c>
      <c r="N1530">
        <v>550</v>
      </c>
    </row>
    <row r="1531" spans="1:14" x14ac:dyDescent="0.25">
      <c r="A1531">
        <v>1591.6370919999999</v>
      </c>
      <c r="B1531" s="1">
        <f>DATE(2014,9,8) + TIME(15,17,24)</f>
        <v>41890.637083333335</v>
      </c>
      <c r="C1531">
        <v>80</v>
      </c>
      <c r="D1531">
        <v>79.931663513000004</v>
      </c>
      <c r="E1531">
        <v>40</v>
      </c>
      <c r="F1531">
        <v>58.482807158999996</v>
      </c>
      <c r="G1531">
        <v>1335.6407471</v>
      </c>
      <c r="H1531">
        <v>1334.1669922000001</v>
      </c>
      <c r="I1531">
        <v>1328.7614745999999</v>
      </c>
      <c r="J1531">
        <v>1327.6627197</v>
      </c>
      <c r="K1531">
        <v>550</v>
      </c>
      <c r="L1531">
        <v>0</v>
      </c>
      <c r="M1531">
        <v>0</v>
      </c>
      <c r="N1531">
        <v>550</v>
      </c>
    </row>
    <row r="1532" spans="1:14" x14ac:dyDescent="0.25">
      <c r="A1532">
        <v>1595.8134889999999</v>
      </c>
      <c r="B1532" s="1">
        <f>DATE(2014,9,12) + TIME(19,31,25)</f>
        <v>41894.813483796293</v>
      </c>
      <c r="C1532">
        <v>80</v>
      </c>
      <c r="D1532">
        <v>79.931694031000006</v>
      </c>
      <c r="E1532">
        <v>40</v>
      </c>
      <c r="F1532">
        <v>59.194099426000001</v>
      </c>
      <c r="G1532">
        <v>1335.6379394999999</v>
      </c>
      <c r="H1532">
        <v>1334.1669922000001</v>
      </c>
      <c r="I1532">
        <v>1328.7739257999999</v>
      </c>
      <c r="J1532">
        <v>1327.6785889</v>
      </c>
      <c r="K1532">
        <v>550</v>
      </c>
      <c r="L1532">
        <v>0</v>
      </c>
      <c r="M1532">
        <v>0</v>
      </c>
      <c r="N1532">
        <v>550</v>
      </c>
    </row>
    <row r="1533" spans="1:14" x14ac:dyDescent="0.25">
      <c r="A1533">
        <v>1600.0785659999999</v>
      </c>
      <c r="B1533" s="1">
        <f>DATE(2014,9,17) + TIME(1,53,8)</f>
        <v>41899.078564814816</v>
      </c>
      <c r="C1533">
        <v>80</v>
      </c>
      <c r="D1533">
        <v>79.931716918999996</v>
      </c>
      <c r="E1533">
        <v>40</v>
      </c>
      <c r="F1533">
        <v>59.890842438</v>
      </c>
      <c r="G1533">
        <v>1335.6351318</v>
      </c>
      <c r="H1533">
        <v>1334.1669922000001</v>
      </c>
      <c r="I1533">
        <v>1328.7871094</v>
      </c>
      <c r="J1533">
        <v>1327.6956786999999</v>
      </c>
      <c r="K1533">
        <v>550</v>
      </c>
      <c r="L1533">
        <v>0</v>
      </c>
      <c r="M1533">
        <v>0</v>
      </c>
      <c r="N1533">
        <v>550</v>
      </c>
    </row>
    <row r="1534" spans="1:14" x14ac:dyDescent="0.25">
      <c r="A1534">
        <v>1604.4874749999999</v>
      </c>
      <c r="B1534" s="1">
        <f>DATE(2014,9,21) + TIME(11,41,57)</f>
        <v>41903.48746527778</v>
      </c>
      <c r="C1534">
        <v>80</v>
      </c>
      <c r="D1534">
        <v>79.931747436999999</v>
      </c>
      <c r="E1534">
        <v>40</v>
      </c>
      <c r="F1534">
        <v>60.559516907000003</v>
      </c>
      <c r="G1534">
        <v>1335.6324463000001</v>
      </c>
      <c r="H1534">
        <v>1334.1669922000001</v>
      </c>
      <c r="I1534">
        <v>1328.8005370999999</v>
      </c>
      <c r="J1534">
        <v>1327.7131348</v>
      </c>
      <c r="K1534">
        <v>550</v>
      </c>
      <c r="L1534">
        <v>0</v>
      </c>
      <c r="M1534">
        <v>0</v>
      </c>
      <c r="N1534">
        <v>550</v>
      </c>
    </row>
    <row r="1535" spans="1:14" x14ac:dyDescent="0.25">
      <c r="A1535">
        <v>1609.109089</v>
      </c>
      <c r="B1535" s="1">
        <f>DATE(2014,9,26) + TIME(2,37,5)</f>
        <v>41908.109085648146</v>
      </c>
      <c r="C1535">
        <v>80</v>
      </c>
      <c r="D1535">
        <v>79.931785583000007</v>
      </c>
      <c r="E1535">
        <v>40</v>
      </c>
      <c r="F1535">
        <v>61.201469420999999</v>
      </c>
      <c r="G1535">
        <v>1335.6297606999999</v>
      </c>
      <c r="H1535">
        <v>1334.1671143000001</v>
      </c>
      <c r="I1535">
        <v>1328.8140868999999</v>
      </c>
      <c r="J1535">
        <v>1327.7307129000001</v>
      </c>
      <c r="K1535">
        <v>550</v>
      </c>
      <c r="L1535">
        <v>0</v>
      </c>
      <c r="M1535">
        <v>0</v>
      </c>
      <c r="N1535">
        <v>550</v>
      </c>
    </row>
    <row r="1536" spans="1:14" x14ac:dyDescent="0.25">
      <c r="A1536">
        <v>1614</v>
      </c>
      <c r="B1536" s="1">
        <f>DATE(2014,10,1) + TIME(0,0,0)</f>
        <v>41913</v>
      </c>
      <c r="C1536">
        <v>80</v>
      </c>
      <c r="D1536">
        <v>79.931838988999999</v>
      </c>
      <c r="E1536">
        <v>40</v>
      </c>
      <c r="F1536">
        <v>61.820369720000002</v>
      </c>
      <c r="G1536">
        <v>1335.6271973</v>
      </c>
      <c r="H1536">
        <v>1334.1672363</v>
      </c>
      <c r="I1536">
        <v>1328.8277588000001</v>
      </c>
      <c r="J1536">
        <v>1327.7482910000001</v>
      </c>
      <c r="K1536">
        <v>550</v>
      </c>
      <c r="L1536">
        <v>0</v>
      </c>
      <c r="M1536">
        <v>0</v>
      </c>
      <c r="N1536">
        <v>550</v>
      </c>
    </row>
    <row r="1537" spans="1:14" x14ac:dyDescent="0.25">
      <c r="A1537">
        <v>1618.9070830000001</v>
      </c>
      <c r="B1537" s="1">
        <f>DATE(2014,10,5) + TIME(21,46,11)</f>
        <v>41917.907071759262</v>
      </c>
      <c r="C1537">
        <v>80</v>
      </c>
      <c r="D1537">
        <v>79.931884765999996</v>
      </c>
      <c r="E1537">
        <v>40</v>
      </c>
      <c r="F1537">
        <v>62.407661437999998</v>
      </c>
      <c r="G1537">
        <v>1335.6246338000001</v>
      </c>
      <c r="H1537">
        <v>1334.1673584</v>
      </c>
      <c r="I1537">
        <v>1328.8416748</v>
      </c>
      <c r="J1537">
        <v>1327.7659911999999</v>
      </c>
      <c r="K1537">
        <v>550</v>
      </c>
      <c r="L1537">
        <v>0</v>
      </c>
      <c r="M1537">
        <v>0</v>
      </c>
      <c r="N1537">
        <v>550</v>
      </c>
    </row>
    <row r="1538" spans="1:14" x14ac:dyDescent="0.25">
      <c r="A1538">
        <v>1623.81531</v>
      </c>
      <c r="B1538" s="1">
        <f>DATE(2014,10,10) + TIME(19,34,2)</f>
        <v>41922.815300925926</v>
      </c>
      <c r="C1538">
        <v>80</v>
      </c>
      <c r="D1538">
        <v>79.931938170999999</v>
      </c>
      <c r="E1538">
        <v>40</v>
      </c>
      <c r="F1538">
        <v>62.952007293999998</v>
      </c>
      <c r="G1538">
        <v>1335.6223144999999</v>
      </c>
      <c r="H1538">
        <v>1334.1674805</v>
      </c>
      <c r="I1538">
        <v>1328.8553466999999</v>
      </c>
      <c r="J1538">
        <v>1327.7834473</v>
      </c>
      <c r="K1538">
        <v>550</v>
      </c>
      <c r="L1538">
        <v>0</v>
      </c>
      <c r="M1538">
        <v>0</v>
      </c>
      <c r="N1538">
        <v>550</v>
      </c>
    </row>
    <row r="1539" spans="1:14" x14ac:dyDescent="0.25">
      <c r="A1539">
        <v>1628.763391</v>
      </c>
      <c r="B1539" s="1">
        <f>DATE(2014,10,15) + TIME(18,19,17)</f>
        <v>41927.763391203705</v>
      </c>
      <c r="C1539">
        <v>80</v>
      </c>
      <c r="D1539">
        <v>79.931991577000005</v>
      </c>
      <c r="E1539">
        <v>40</v>
      </c>
      <c r="F1539">
        <v>63.454006194999998</v>
      </c>
      <c r="G1539">
        <v>1335.6199951000001</v>
      </c>
      <c r="H1539">
        <v>1334.1677245999999</v>
      </c>
      <c r="I1539">
        <v>1328.8685303</v>
      </c>
      <c r="J1539">
        <v>1327.8001709</v>
      </c>
      <c r="K1539">
        <v>550</v>
      </c>
      <c r="L1539">
        <v>0</v>
      </c>
      <c r="M1539">
        <v>0</v>
      </c>
      <c r="N1539">
        <v>550</v>
      </c>
    </row>
    <row r="1540" spans="1:14" x14ac:dyDescent="0.25">
      <c r="A1540">
        <v>1633.8020019999999</v>
      </c>
      <c r="B1540" s="1">
        <f>DATE(2014,10,20) + TIME(19,14,52)</f>
        <v>41932.801990740743</v>
      </c>
      <c r="C1540">
        <v>80</v>
      </c>
      <c r="D1540">
        <v>79.932060242000006</v>
      </c>
      <c r="E1540">
        <v>40</v>
      </c>
      <c r="F1540">
        <v>63.918827057000001</v>
      </c>
      <c r="G1540">
        <v>1335.6179199000001</v>
      </c>
      <c r="H1540">
        <v>1334.1679687999999</v>
      </c>
      <c r="I1540">
        <v>1328.8812256000001</v>
      </c>
      <c r="J1540">
        <v>1327.8161620999999</v>
      </c>
      <c r="K1540">
        <v>550</v>
      </c>
      <c r="L1540">
        <v>0</v>
      </c>
      <c r="M1540">
        <v>0</v>
      </c>
      <c r="N1540">
        <v>550</v>
      </c>
    </row>
    <row r="1541" spans="1:14" x14ac:dyDescent="0.25">
      <c r="A1541">
        <v>1638.9823799999999</v>
      </c>
      <c r="B1541" s="1">
        <f>DATE(2014,10,25) + TIME(23,34,37)</f>
        <v>41937.982372685183</v>
      </c>
      <c r="C1541">
        <v>80</v>
      </c>
      <c r="D1541">
        <v>79.932128906000003</v>
      </c>
      <c r="E1541">
        <v>40</v>
      </c>
      <c r="F1541">
        <v>64.352493285999998</v>
      </c>
      <c r="G1541">
        <v>1335.6159668</v>
      </c>
      <c r="H1541">
        <v>1334.1682129000001</v>
      </c>
      <c r="I1541">
        <v>1328.8935547000001</v>
      </c>
      <c r="J1541">
        <v>1327.8314209</v>
      </c>
      <c r="K1541">
        <v>550</v>
      </c>
      <c r="L1541">
        <v>0</v>
      </c>
      <c r="M1541">
        <v>0</v>
      </c>
      <c r="N1541">
        <v>550</v>
      </c>
    </row>
    <row r="1542" spans="1:14" x14ac:dyDescent="0.25">
      <c r="A1542">
        <v>1644.3609959999999</v>
      </c>
      <c r="B1542" s="1">
        <f>DATE(2014,10,31) + TIME(8,39,50)</f>
        <v>41943.360995370371</v>
      </c>
      <c r="C1542">
        <v>80</v>
      </c>
      <c r="D1542">
        <v>79.932205199999999</v>
      </c>
      <c r="E1542">
        <v>40</v>
      </c>
      <c r="F1542">
        <v>64.760894774999997</v>
      </c>
      <c r="G1542">
        <v>1335.6140137</v>
      </c>
      <c r="H1542">
        <v>1334.168457</v>
      </c>
      <c r="I1542">
        <v>1328.9053954999999</v>
      </c>
      <c r="J1542">
        <v>1327.8460693</v>
      </c>
      <c r="K1542">
        <v>550</v>
      </c>
      <c r="L1542">
        <v>0</v>
      </c>
      <c r="M1542">
        <v>0</v>
      </c>
      <c r="N1542">
        <v>550</v>
      </c>
    </row>
    <row r="1543" spans="1:14" x14ac:dyDescent="0.25">
      <c r="A1543">
        <v>1645</v>
      </c>
      <c r="B1543" s="1">
        <f>DATE(2014,11,1) + TIME(0,0,0)</f>
        <v>41944</v>
      </c>
      <c r="C1543">
        <v>80</v>
      </c>
      <c r="D1543">
        <v>79.932182311999995</v>
      </c>
      <c r="E1543">
        <v>40</v>
      </c>
      <c r="F1543">
        <v>64.878990173000005</v>
      </c>
      <c r="G1543">
        <v>1335.6123047000001</v>
      </c>
      <c r="H1543">
        <v>1334.1689452999999</v>
      </c>
      <c r="I1543">
        <v>1328.9194336</v>
      </c>
      <c r="J1543">
        <v>1327.8604736</v>
      </c>
      <c r="K1543">
        <v>550</v>
      </c>
      <c r="L1543">
        <v>0</v>
      </c>
      <c r="M1543">
        <v>0</v>
      </c>
      <c r="N1543">
        <v>550</v>
      </c>
    </row>
    <row r="1544" spans="1:14" x14ac:dyDescent="0.25">
      <c r="A1544">
        <v>1645.0000010000001</v>
      </c>
      <c r="B1544" s="1">
        <f>DATE(2014,11,1) + TIME(0,0,0)</f>
        <v>41944</v>
      </c>
      <c r="C1544">
        <v>80</v>
      </c>
      <c r="D1544">
        <v>79.932151794000006</v>
      </c>
      <c r="E1544">
        <v>40</v>
      </c>
      <c r="F1544">
        <v>64.879013061999999</v>
      </c>
      <c r="G1544">
        <v>1333.9594727000001</v>
      </c>
      <c r="H1544">
        <v>1333.9074707</v>
      </c>
      <c r="I1544">
        <v>1330.3114014</v>
      </c>
      <c r="J1544">
        <v>1329.1818848</v>
      </c>
      <c r="K1544">
        <v>0</v>
      </c>
      <c r="L1544">
        <v>550</v>
      </c>
      <c r="M1544">
        <v>550</v>
      </c>
      <c r="N1544">
        <v>0</v>
      </c>
    </row>
    <row r="1545" spans="1:14" x14ac:dyDescent="0.25">
      <c r="A1545">
        <v>1645.000004</v>
      </c>
      <c r="B1545" s="1">
        <f>DATE(2014,11,1) + TIME(0,0,0)</f>
        <v>41944</v>
      </c>
      <c r="C1545">
        <v>80</v>
      </c>
      <c r="D1545">
        <v>79.932106017999999</v>
      </c>
      <c r="E1545">
        <v>40</v>
      </c>
      <c r="F1545">
        <v>64.879051208000007</v>
      </c>
      <c r="G1545">
        <v>1333.6054687999999</v>
      </c>
      <c r="H1545">
        <v>1333.5679932</v>
      </c>
      <c r="I1545">
        <v>1330.6966553</v>
      </c>
      <c r="J1545">
        <v>1329.6389160000001</v>
      </c>
      <c r="K1545">
        <v>0</v>
      </c>
      <c r="L1545">
        <v>550</v>
      </c>
      <c r="M1545">
        <v>550</v>
      </c>
      <c r="N1545">
        <v>0</v>
      </c>
    </row>
    <row r="1546" spans="1:14" x14ac:dyDescent="0.25">
      <c r="A1546">
        <v>1645.0000130000001</v>
      </c>
      <c r="B1546" s="1">
        <f>DATE(2014,11,1) + TIME(0,0,1)</f>
        <v>41944.000011574077</v>
      </c>
      <c r="C1546">
        <v>80</v>
      </c>
      <c r="D1546">
        <v>79.932044982999997</v>
      </c>
      <c r="E1546">
        <v>40</v>
      </c>
      <c r="F1546">
        <v>64.879035950000002</v>
      </c>
      <c r="G1546">
        <v>1333.1646728999999</v>
      </c>
      <c r="H1546">
        <v>1333.1136475000001</v>
      </c>
      <c r="I1546">
        <v>1331.2716064000001</v>
      </c>
      <c r="J1546">
        <v>1330.2270507999999</v>
      </c>
      <c r="K1546">
        <v>0</v>
      </c>
      <c r="L1546">
        <v>550</v>
      </c>
      <c r="M1546">
        <v>550</v>
      </c>
      <c r="N1546">
        <v>0</v>
      </c>
    </row>
    <row r="1547" spans="1:14" x14ac:dyDescent="0.25">
      <c r="A1547">
        <v>1645.0000399999999</v>
      </c>
      <c r="B1547" s="1">
        <f>DATE(2014,11,1) + TIME(0,0,3)</f>
        <v>41944.000034722223</v>
      </c>
      <c r="C1547">
        <v>80</v>
      </c>
      <c r="D1547">
        <v>79.931976317999997</v>
      </c>
      <c r="E1547">
        <v>40</v>
      </c>
      <c r="F1547">
        <v>64.878829956000004</v>
      </c>
      <c r="G1547">
        <v>1332.6973877</v>
      </c>
      <c r="H1547">
        <v>1332.6153564000001</v>
      </c>
      <c r="I1547">
        <v>1331.9283447</v>
      </c>
      <c r="J1547">
        <v>1330.8619385</v>
      </c>
      <c r="K1547">
        <v>0</v>
      </c>
      <c r="L1547">
        <v>550</v>
      </c>
      <c r="M1547">
        <v>550</v>
      </c>
      <c r="N1547">
        <v>0</v>
      </c>
    </row>
    <row r="1548" spans="1:14" x14ac:dyDescent="0.25">
      <c r="A1548">
        <v>1645.000121</v>
      </c>
      <c r="B1548" s="1">
        <f>DATE(2014,11,1) + TIME(0,0,10)</f>
        <v>41944.000115740739</v>
      </c>
      <c r="C1548">
        <v>80</v>
      </c>
      <c r="D1548">
        <v>79.931900024000001</v>
      </c>
      <c r="E1548">
        <v>40</v>
      </c>
      <c r="F1548">
        <v>64.878044127999999</v>
      </c>
      <c r="G1548">
        <v>1332.2207031</v>
      </c>
      <c r="H1548">
        <v>1332.1038818</v>
      </c>
      <c r="I1548">
        <v>1332.5877685999999</v>
      </c>
      <c r="J1548">
        <v>1331.4951172000001</v>
      </c>
      <c r="K1548">
        <v>0</v>
      </c>
      <c r="L1548">
        <v>550</v>
      </c>
      <c r="M1548">
        <v>550</v>
      </c>
      <c r="N1548">
        <v>0</v>
      </c>
    </row>
    <row r="1549" spans="1:14" x14ac:dyDescent="0.25">
      <c r="A1549">
        <v>1645.000364</v>
      </c>
      <c r="B1549" s="1">
        <f>DATE(2014,11,1) + TIME(0,0,31)</f>
        <v>41944.000358796293</v>
      </c>
      <c r="C1549">
        <v>80</v>
      </c>
      <c r="D1549">
        <v>79.931823730000005</v>
      </c>
      <c r="E1549">
        <v>40</v>
      </c>
      <c r="F1549">
        <v>64.875396729000002</v>
      </c>
      <c r="G1549">
        <v>1331.7723389</v>
      </c>
      <c r="H1549">
        <v>1331.6185303</v>
      </c>
      <c r="I1549">
        <v>1333.1954346</v>
      </c>
      <c r="J1549">
        <v>1332.0668945</v>
      </c>
      <c r="K1549">
        <v>0</v>
      </c>
      <c r="L1549">
        <v>550</v>
      </c>
      <c r="M1549">
        <v>550</v>
      </c>
      <c r="N1549">
        <v>0</v>
      </c>
    </row>
    <row r="1550" spans="1:14" x14ac:dyDescent="0.25">
      <c r="A1550">
        <v>1645.0010930000001</v>
      </c>
      <c r="B1550" s="1">
        <f>DATE(2014,11,1) + TIME(0,1,34)</f>
        <v>41944.001087962963</v>
      </c>
      <c r="C1550">
        <v>80</v>
      </c>
      <c r="D1550">
        <v>79.931732178000004</v>
      </c>
      <c r="E1550">
        <v>40</v>
      </c>
      <c r="F1550">
        <v>64.867027282999999</v>
      </c>
      <c r="G1550">
        <v>1331.4306641000001</v>
      </c>
      <c r="H1550">
        <v>1331.2481689000001</v>
      </c>
      <c r="I1550">
        <v>1333.6604004000001</v>
      </c>
      <c r="J1550">
        <v>1332.4927978999999</v>
      </c>
      <c r="K1550">
        <v>0</v>
      </c>
      <c r="L1550">
        <v>550</v>
      </c>
      <c r="M1550">
        <v>550</v>
      </c>
      <c r="N1550">
        <v>0</v>
      </c>
    </row>
    <row r="1551" spans="1:14" x14ac:dyDescent="0.25">
      <c r="A1551">
        <v>1645.0032799999999</v>
      </c>
      <c r="B1551" s="1">
        <f>DATE(2014,11,1) + TIME(0,4,43)</f>
        <v>41944.003275462965</v>
      </c>
      <c r="C1551">
        <v>80</v>
      </c>
      <c r="D1551">
        <v>79.931556701999995</v>
      </c>
      <c r="E1551">
        <v>40</v>
      </c>
      <c r="F1551">
        <v>64.841270446999999</v>
      </c>
      <c r="G1551">
        <v>1331.2301024999999</v>
      </c>
      <c r="H1551">
        <v>1331.0341797000001</v>
      </c>
      <c r="I1551">
        <v>1333.9362793</v>
      </c>
      <c r="J1551">
        <v>1332.7438964999999</v>
      </c>
      <c r="K1551">
        <v>0</v>
      </c>
      <c r="L1551">
        <v>550</v>
      </c>
      <c r="M1551">
        <v>550</v>
      </c>
      <c r="N1551">
        <v>0</v>
      </c>
    </row>
    <row r="1552" spans="1:14" x14ac:dyDescent="0.25">
      <c r="A1552">
        <v>1645.0098410000001</v>
      </c>
      <c r="B1552" s="1">
        <f>DATE(2014,11,1) + TIME(0,14,10)</f>
        <v>41944.009837962964</v>
      </c>
      <c r="C1552">
        <v>80</v>
      </c>
      <c r="D1552">
        <v>79.931121825999995</v>
      </c>
      <c r="E1552">
        <v>40</v>
      </c>
      <c r="F1552">
        <v>64.763572693</v>
      </c>
      <c r="G1552">
        <v>1331.1352539</v>
      </c>
      <c r="H1552">
        <v>1330.9354248</v>
      </c>
      <c r="I1552">
        <v>1334.0583495999999</v>
      </c>
      <c r="J1552">
        <v>1332.8557129000001</v>
      </c>
      <c r="K1552">
        <v>0</v>
      </c>
      <c r="L1552">
        <v>550</v>
      </c>
      <c r="M1552">
        <v>550</v>
      </c>
      <c r="N1552">
        <v>0</v>
      </c>
    </row>
    <row r="1553" spans="1:14" x14ac:dyDescent="0.25">
      <c r="A1553">
        <v>1645.029524</v>
      </c>
      <c r="B1553" s="1">
        <f>DATE(2014,11,1) + TIME(0,42,30)</f>
        <v>41944.029513888891</v>
      </c>
      <c r="C1553">
        <v>80</v>
      </c>
      <c r="D1553">
        <v>79.929832458000007</v>
      </c>
      <c r="E1553">
        <v>40</v>
      </c>
      <c r="F1553">
        <v>64.532760620000005</v>
      </c>
      <c r="G1553">
        <v>1331.1015625</v>
      </c>
      <c r="H1553">
        <v>1330.9007568</v>
      </c>
      <c r="I1553">
        <v>1334.0886230000001</v>
      </c>
      <c r="J1553">
        <v>1332.8824463000001</v>
      </c>
      <c r="K1553">
        <v>0</v>
      </c>
      <c r="L1553">
        <v>550</v>
      </c>
      <c r="M1553">
        <v>550</v>
      </c>
      <c r="N1553">
        <v>0</v>
      </c>
    </row>
    <row r="1554" spans="1:14" x14ac:dyDescent="0.25">
      <c r="A1554">
        <v>1645.088573</v>
      </c>
      <c r="B1554" s="1">
        <f>DATE(2014,11,1) + TIME(2,7,32)</f>
        <v>41944.088564814818</v>
      </c>
      <c r="C1554">
        <v>80</v>
      </c>
      <c r="D1554">
        <v>79.926002502000003</v>
      </c>
      <c r="E1554">
        <v>40</v>
      </c>
      <c r="F1554">
        <v>63.864097594999997</v>
      </c>
      <c r="G1554">
        <v>1331.0927733999999</v>
      </c>
      <c r="H1554">
        <v>1330.8907471</v>
      </c>
      <c r="I1554">
        <v>1334.0882568</v>
      </c>
      <c r="J1554">
        <v>1332.8787841999999</v>
      </c>
      <c r="K1554">
        <v>0</v>
      </c>
      <c r="L1554">
        <v>550</v>
      </c>
      <c r="M1554">
        <v>550</v>
      </c>
      <c r="N1554">
        <v>0</v>
      </c>
    </row>
    <row r="1555" spans="1:14" x14ac:dyDescent="0.25">
      <c r="A1555">
        <v>1645.176882</v>
      </c>
      <c r="B1555" s="1">
        <f>DATE(2014,11,1) + TIME(4,14,42)</f>
        <v>41944.176874999997</v>
      </c>
      <c r="C1555">
        <v>80</v>
      </c>
      <c r="D1555">
        <v>79.920272827000005</v>
      </c>
      <c r="E1555">
        <v>40</v>
      </c>
      <c r="F1555">
        <v>62.916698455999999</v>
      </c>
      <c r="G1555">
        <v>1331.0867920000001</v>
      </c>
      <c r="H1555">
        <v>1330.8822021000001</v>
      </c>
      <c r="I1555">
        <v>1334.0778809000001</v>
      </c>
      <c r="J1555">
        <v>1332.8671875</v>
      </c>
      <c r="K1555">
        <v>0</v>
      </c>
      <c r="L1555">
        <v>550</v>
      </c>
      <c r="M1555">
        <v>550</v>
      </c>
      <c r="N1555">
        <v>0</v>
      </c>
    </row>
    <row r="1556" spans="1:14" x14ac:dyDescent="0.25">
      <c r="A1556">
        <v>1645.270094</v>
      </c>
      <c r="B1556" s="1">
        <f>DATE(2014,11,1) + TIME(6,28,56)</f>
        <v>41944.270092592589</v>
      </c>
      <c r="C1556">
        <v>80</v>
      </c>
      <c r="D1556">
        <v>79.914215088000006</v>
      </c>
      <c r="E1556">
        <v>40</v>
      </c>
      <c r="F1556">
        <v>61.972892760999997</v>
      </c>
      <c r="G1556">
        <v>1331.0794678</v>
      </c>
      <c r="H1556">
        <v>1330.8713379000001</v>
      </c>
      <c r="I1556">
        <v>1334.0623779</v>
      </c>
      <c r="J1556">
        <v>1332.8531493999999</v>
      </c>
      <c r="K1556">
        <v>0</v>
      </c>
      <c r="L1556">
        <v>550</v>
      </c>
      <c r="M1556">
        <v>550</v>
      </c>
      <c r="N1556">
        <v>0</v>
      </c>
    </row>
    <row r="1557" spans="1:14" x14ac:dyDescent="0.25">
      <c r="A1557">
        <v>1645.3688560000001</v>
      </c>
      <c r="B1557" s="1">
        <f>DATE(2014,11,1) + TIME(8,51,9)</f>
        <v>41944.368854166663</v>
      </c>
      <c r="C1557">
        <v>80</v>
      </c>
      <c r="D1557">
        <v>79.907783507999994</v>
      </c>
      <c r="E1557">
        <v>40</v>
      </c>
      <c r="F1557">
        <v>61.030601501</v>
      </c>
      <c r="G1557">
        <v>1331.0720214999999</v>
      </c>
      <c r="H1557">
        <v>1330.8602295000001</v>
      </c>
      <c r="I1557">
        <v>1334.0469971</v>
      </c>
      <c r="J1557">
        <v>1332.8392334</v>
      </c>
      <c r="K1557">
        <v>0</v>
      </c>
      <c r="L1557">
        <v>550</v>
      </c>
      <c r="M1557">
        <v>550</v>
      </c>
      <c r="N1557">
        <v>0</v>
      </c>
    </row>
    <row r="1558" spans="1:14" x14ac:dyDescent="0.25">
      <c r="A1558">
        <v>1645.473667</v>
      </c>
      <c r="B1558" s="1">
        <f>DATE(2014,11,1) + TIME(11,22,4)</f>
        <v>41944.473657407405</v>
      </c>
      <c r="C1558">
        <v>80</v>
      </c>
      <c r="D1558">
        <v>79.900947571000003</v>
      </c>
      <c r="E1558">
        <v>40</v>
      </c>
      <c r="F1558">
        <v>60.090229033999996</v>
      </c>
      <c r="G1558">
        <v>1331.0643310999999</v>
      </c>
      <c r="H1558">
        <v>1330.8487548999999</v>
      </c>
      <c r="I1558">
        <v>1334.0316161999999</v>
      </c>
      <c r="J1558">
        <v>1332.8251952999999</v>
      </c>
      <c r="K1558">
        <v>0</v>
      </c>
      <c r="L1558">
        <v>550</v>
      </c>
      <c r="M1558">
        <v>550</v>
      </c>
      <c r="N1558">
        <v>0</v>
      </c>
    </row>
    <row r="1559" spans="1:14" x14ac:dyDescent="0.25">
      <c r="A1559">
        <v>1645.5851230000001</v>
      </c>
      <c r="B1559" s="1">
        <f>DATE(2014,11,1) + TIME(14,2,34)</f>
        <v>41944.585115740738</v>
      </c>
      <c r="C1559">
        <v>80</v>
      </c>
      <c r="D1559">
        <v>79.893661499000004</v>
      </c>
      <c r="E1559">
        <v>40</v>
      </c>
      <c r="F1559">
        <v>59.151317595999998</v>
      </c>
      <c r="G1559">
        <v>1331.0565185999999</v>
      </c>
      <c r="H1559">
        <v>1330.8370361</v>
      </c>
      <c r="I1559">
        <v>1334.0164795000001</v>
      </c>
      <c r="J1559">
        <v>1332.8112793</v>
      </c>
      <c r="K1559">
        <v>0</v>
      </c>
      <c r="L1559">
        <v>550</v>
      </c>
      <c r="M1559">
        <v>550</v>
      </c>
      <c r="N1559">
        <v>0</v>
      </c>
    </row>
    <row r="1560" spans="1:14" x14ac:dyDescent="0.25">
      <c r="A1560">
        <v>1645.703831</v>
      </c>
      <c r="B1560" s="1">
        <f>DATE(2014,11,1) + TIME(16,53,31)</f>
        <v>41944.703831018516</v>
      </c>
      <c r="C1560">
        <v>80</v>
      </c>
      <c r="D1560">
        <v>79.885887146000002</v>
      </c>
      <c r="E1560">
        <v>40</v>
      </c>
      <c r="F1560">
        <v>58.215141295999999</v>
      </c>
      <c r="G1560">
        <v>1331.0483397999999</v>
      </c>
      <c r="H1560">
        <v>1330.8249512</v>
      </c>
      <c r="I1560">
        <v>1334.0013428</v>
      </c>
      <c r="J1560">
        <v>1332.7974853999999</v>
      </c>
      <c r="K1560">
        <v>0</v>
      </c>
      <c r="L1560">
        <v>550</v>
      </c>
      <c r="M1560">
        <v>550</v>
      </c>
      <c r="N1560">
        <v>0</v>
      </c>
    </row>
    <row r="1561" spans="1:14" x14ac:dyDescent="0.25">
      <c r="A1561">
        <v>1645.8306319999999</v>
      </c>
      <c r="B1561" s="1">
        <f>DATE(2014,11,1) + TIME(19,56,6)</f>
        <v>41944.830625000002</v>
      </c>
      <c r="C1561">
        <v>80</v>
      </c>
      <c r="D1561">
        <v>79.877578735</v>
      </c>
      <c r="E1561">
        <v>40</v>
      </c>
      <c r="F1561">
        <v>57.281459808000001</v>
      </c>
      <c r="G1561">
        <v>1331.0400391000001</v>
      </c>
      <c r="H1561">
        <v>1330.8126221</v>
      </c>
      <c r="I1561">
        <v>1333.9863281</v>
      </c>
      <c r="J1561">
        <v>1332.7836914</v>
      </c>
      <c r="K1561">
        <v>0</v>
      </c>
      <c r="L1561">
        <v>550</v>
      </c>
      <c r="M1561">
        <v>550</v>
      </c>
      <c r="N1561">
        <v>0</v>
      </c>
    </row>
    <row r="1562" spans="1:14" x14ac:dyDescent="0.25">
      <c r="A1562">
        <v>1645.9664399999999</v>
      </c>
      <c r="B1562" s="1">
        <f>DATE(2014,11,1) + TIME(23,11,40)</f>
        <v>41944.966435185182</v>
      </c>
      <c r="C1562">
        <v>80</v>
      </c>
      <c r="D1562">
        <v>79.868667603000006</v>
      </c>
      <c r="E1562">
        <v>40</v>
      </c>
      <c r="F1562">
        <v>56.350444793999998</v>
      </c>
      <c r="G1562">
        <v>1331.0314940999999</v>
      </c>
      <c r="H1562">
        <v>1330.7998047000001</v>
      </c>
      <c r="I1562">
        <v>1333.9715576000001</v>
      </c>
      <c r="J1562">
        <v>1332.7700195</v>
      </c>
      <c r="K1562">
        <v>0</v>
      </c>
      <c r="L1562">
        <v>550</v>
      </c>
      <c r="M1562">
        <v>550</v>
      </c>
      <c r="N1562">
        <v>0</v>
      </c>
    </row>
    <row r="1563" spans="1:14" x14ac:dyDescent="0.25">
      <c r="A1563">
        <v>1646.1118039999999</v>
      </c>
      <c r="B1563" s="1">
        <f>DATE(2014,11,2) + TIME(2,40,59)</f>
        <v>41945.111793981479</v>
      </c>
      <c r="C1563">
        <v>80</v>
      </c>
      <c r="D1563">
        <v>79.859123229999994</v>
      </c>
      <c r="E1563">
        <v>40</v>
      </c>
      <c r="F1563">
        <v>55.425376892000003</v>
      </c>
      <c r="G1563">
        <v>1331.0225829999999</v>
      </c>
      <c r="H1563">
        <v>1330.7866211</v>
      </c>
      <c r="I1563">
        <v>1333.9569091999999</v>
      </c>
      <c r="J1563">
        <v>1332.7564697</v>
      </c>
      <c r="K1563">
        <v>0</v>
      </c>
      <c r="L1563">
        <v>550</v>
      </c>
      <c r="M1563">
        <v>550</v>
      </c>
      <c r="N1563">
        <v>0</v>
      </c>
    </row>
    <row r="1564" spans="1:14" x14ac:dyDescent="0.25">
      <c r="A1564">
        <v>1646.265371</v>
      </c>
      <c r="B1564" s="1">
        <f>DATE(2014,11,2) + TIME(6,22,8)</f>
        <v>41945.265370370369</v>
      </c>
      <c r="C1564">
        <v>80</v>
      </c>
      <c r="D1564">
        <v>79.849029540999993</v>
      </c>
      <c r="E1564">
        <v>40</v>
      </c>
      <c r="F1564">
        <v>54.520103454999997</v>
      </c>
      <c r="G1564">
        <v>1331.0134277</v>
      </c>
      <c r="H1564">
        <v>1330.7731934000001</v>
      </c>
      <c r="I1564">
        <v>1333.9425048999999</v>
      </c>
      <c r="J1564">
        <v>1332.7430420000001</v>
      </c>
      <c r="K1564">
        <v>0</v>
      </c>
      <c r="L1564">
        <v>550</v>
      </c>
      <c r="M1564">
        <v>550</v>
      </c>
      <c r="N1564">
        <v>0</v>
      </c>
    </row>
    <row r="1565" spans="1:14" x14ac:dyDescent="0.25">
      <c r="A1565">
        <v>1646.4277950000001</v>
      </c>
      <c r="B1565" s="1">
        <f>DATE(2014,11,2) + TIME(10,16,1)</f>
        <v>41945.427789351852</v>
      </c>
      <c r="C1565">
        <v>80</v>
      </c>
      <c r="D1565">
        <v>79.838356017999999</v>
      </c>
      <c r="E1565">
        <v>40</v>
      </c>
      <c r="F1565">
        <v>53.635097504000001</v>
      </c>
      <c r="G1565">
        <v>1331.0041504000001</v>
      </c>
      <c r="H1565">
        <v>1330.7593993999999</v>
      </c>
      <c r="I1565">
        <v>1333.9285889</v>
      </c>
      <c r="J1565">
        <v>1332.7301024999999</v>
      </c>
      <c r="K1565">
        <v>0</v>
      </c>
      <c r="L1565">
        <v>550</v>
      </c>
      <c r="M1565">
        <v>550</v>
      </c>
      <c r="N1565">
        <v>0</v>
      </c>
    </row>
    <row r="1566" spans="1:14" x14ac:dyDescent="0.25">
      <c r="A1566">
        <v>1646.599841</v>
      </c>
      <c r="B1566" s="1">
        <f>DATE(2014,11,2) + TIME(14,23,46)</f>
        <v>41945.59983796296</v>
      </c>
      <c r="C1566">
        <v>80</v>
      </c>
      <c r="D1566">
        <v>79.827049255000006</v>
      </c>
      <c r="E1566">
        <v>40</v>
      </c>
      <c r="F1566">
        <v>52.770660399999997</v>
      </c>
      <c r="G1566">
        <v>1330.994751</v>
      </c>
      <c r="H1566">
        <v>1330.7453613</v>
      </c>
      <c r="I1566">
        <v>1333.9151611</v>
      </c>
      <c r="J1566">
        <v>1332.7175293</v>
      </c>
      <c r="K1566">
        <v>0</v>
      </c>
      <c r="L1566">
        <v>550</v>
      </c>
      <c r="M1566">
        <v>550</v>
      </c>
      <c r="N1566">
        <v>0</v>
      </c>
    </row>
    <row r="1567" spans="1:14" x14ac:dyDescent="0.25">
      <c r="A1567">
        <v>1646.7823510000001</v>
      </c>
      <c r="B1567" s="1">
        <f>DATE(2014,11,2) + TIME(18,46,35)</f>
        <v>41945.782349537039</v>
      </c>
      <c r="C1567">
        <v>80</v>
      </c>
      <c r="D1567">
        <v>79.815055846999996</v>
      </c>
      <c r="E1567">
        <v>40</v>
      </c>
      <c r="F1567">
        <v>51.927230835000003</v>
      </c>
      <c r="G1567">
        <v>1330.9851074000001</v>
      </c>
      <c r="H1567">
        <v>1330.7310791</v>
      </c>
      <c r="I1567">
        <v>1333.9023437999999</v>
      </c>
      <c r="J1567">
        <v>1332.7053223</v>
      </c>
      <c r="K1567">
        <v>0</v>
      </c>
      <c r="L1567">
        <v>550</v>
      </c>
      <c r="M1567">
        <v>550</v>
      </c>
      <c r="N1567">
        <v>0</v>
      </c>
    </row>
    <row r="1568" spans="1:14" x14ac:dyDescent="0.25">
      <c r="A1568">
        <v>1646.9761430000001</v>
      </c>
      <c r="B1568" s="1">
        <f>DATE(2014,11,2) + TIME(23,25,38)</f>
        <v>41945.976134259261</v>
      </c>
      <c r="C1568">
        <v>80</v>
      </c>
      <c r="D1568">
        <v>79.802345275999997</v>
      </c>
      <c r="E1568">
        <v>40</v>
      </c>
      <c r="F1568">
        <v>51.105773925999998</v>
      </c>
      <c r="G1568">
        <v>1330.9752197</v>
      </c>
      <c r="H1568">
        <v>1330.7165527</v>
      </c>
      <c r="I1568">
        <v>1333.8898925999999</v>
      </c>
      <c r="J1568">
        <v>1332.6934814000001</v>
      </c>
      <c r="K1568">
        <v>0</v>
      </c>
      <c r="L1568">
        <v>550</v>
      </c>
      <c r="M1568">
        <v>550</v>
      </c>
      <c r="N1568">
        <v>0</v>
      </c>
    </row>
    <row r="1569" spans="1:14" x14ac:dyDescent="0.25">
      <c r="A1569">
        <v>1647.1823790000001</v>
      </c>
      <c r="B1569" s="1">
        <f>DATE(2014,11,3) + TIME(4,22,37)</f>
        <v>41946.182372685187</v>
      </c>
      <c r="C1569">
        <v>80</v>
      </c>
      <c r="D1569">
        <v>79.788825989000003</v>
      </c>
      <c r="E1569">
        <v>40</v>
      </c>
      <c r="F1569">
        <v>50.306354523000003</v>
      </c>
      <c r="G1569">
        <v>1330.9652100000001</v>
      </c>
      <c r="H1569">
        <v>1330.7016602000001</v>
      </c>
      <c r="I1569">
        <v>1333.8781738</v>
      </c>
      <c r="J1569">
        <v>1332.6821289</v>
      </c>
      <c r="K1569">
        <v>0</v>
      </c>
      <c r="L1569">
        <v>550</v>
      </c>
      <c r="M1569">
        <v>550</v>
      </c>
      <c r="N1569">
        <v>0</v>
      </c>
    </row>
    <row r="1570" spans="1:14" x14ac:dyDescent="0.25">
      <c r="A1570">
        <v>1647.402237</v>
      </c>
      <c r="B1570" s="1">
        <f>DATE(2014,11,3) + TIME(9,39,13)</f>
        <v>41946.402233796296</v>
      </c>
      <c r="C1570">
        <v>80</v>
      </c>
      <c r="D1570">
        <v>79.774452209000003</v>
      </c>
      <c r="E1570">
        <v>40</v>
      </c>
      <c r="F1570">
        <v>49.529396057</v>
      </c>
      <c r="G1570">
        <v>1330.9548339999999</v>
      </c>
      <c r="H1570">
        <v>1330.6864014</v>
      </c>
      <c r="I1570">
        <v>1333.8670654</v>
      </c>
      <c r="J1570">
        <v>1332.6711425999999</v>
      </c>
      <c r="K1570">
        <v>0</v>
      </c>
      <c r="L1570">
        <v>550</v>
      </c>
      <c r="M1570">
        <v>550</v>
      </c>
      <c r="N1570">
        <v>0</v>
      </c>
    </row>
    <row r="1571" spans="1:14" x14ac:dyDescent="0.25">
      <c r="A1571">
        <v>1647.6370300000001</v>
      </c>
      <c r="B1571" s="1">
        <f>DATE(2014,11,3) + TIME(15,17,19)</f>
        <v>41946.637025462966</v>
      </c>
      <c r="C1571">
        <v>80</v>
      </c>
      <c r="D1571">
        <v>79.759140015</v>
      </c>
      <c r="E1571">
        <v>40</v>
      </c>
      <c r="F1571">
        <v>48.775753021</v>
      </c>
      <c r="G1571">
        <v>1330.9442139</v>
      </c>
      <c r="H1571">
        <v>1330.6707764</v>
      </c>
      <c r="I1571">
        <v>1333.8564452999999</v>
      </c>
      <c r="J1571">
        <v>1332.6606445</v>
      </c>
      <c r="K1571">
        <v>0</v>
      </c>
      <c r="L1571">
        <v>550</v>
      </c>
      <c r="M1571">
        <v>550</v>
      </c>
      <c r="N1571">
        <v>0</v>
      </c>
    </row>
    <row r="1572" spans="1:14" x14ac:dyDescent="0.25">
      <c r="A1572">
        <v>1647.8882329999999</v>
      </c>
      <c r="B1572" s="1">
        <f>DATE(2014,11,3) + TIME(21,19,3)</f>
        <v>41946.888229166667</v>
      </c>
      <c r="C1572">
        <v>80</v>
      </c>
      <c r="D1572">
        <v>79.742805481000005</v>
      </c>
      <c r="E1572">
        <v>40</v>
      </c>
      <c r="F1572">
        <v>48.046451568999998</v>
      </c>
      <c r="G1572">
        <v>1330.9333495999999</v>
      </c>
      <c r="H1572">
        <v>1330.6547852000001</v>
      </c>
      <c r="I1572">
        <v>1333.8465576000001</v>
      </c>
      <c r="J1572">
        <v>1332.6505127</v>
      </c>
      <c r="K1572">
        <v>0</v>
      </c>
      <c r="L1572">
        <v>550</v>
      </c>
      <c r="M1572">
        <v>550</v>
      </c>
      <c r="N1572">
        <v>0</v>
      </c>
    </row>
    <row r="1573" spans="1:14" x14ac:dyDescent="0.25">
      <c r="A1573">
        <v>1648.1574989999999</v>
      </c>
      <c r="B1573" s="1">
        <f>DATE(2014,11,4) + TIME(3,46,47)</f>
        <v>41947.157488425924</v>
      </c>
      <c r="C1573">
        <v>80</v>
      </c>
      <c r="D1573">
        <v>79.725364685000002</v>
      </c>
      <c r="E1573">
        <v>40</v>
      </c>
      <c r="F1573">
        <v>47.342475890999999</v>
      </c>
      <c r="G1573">
        <v>1330.9221190999999</v>
      </c>
      <c r="H1573">
        <v>1330.6383057</v>
      </c>
      <c r="I1573">
        <v>1333.8372803</v>
      </c>
      <c r="J1573">
        <v>1332.6408690999999</v>
      </c>
      <c r="K1573">
        <v>0</v>
      </c>
      <c r="L1573">
        <v>550</v>
      </c>
      <c r="M1573">
        <v>550</v>
      </c>
      <c r="N1573">
        <v>0</v>
      </c>
    </row>
    <row r="1574" spans="1:14" x14ac:dyDescent="0.25">
      <c r="A1574">
        <v>1648.446684</v>
      </c>
      <c r="B1574" s="1">
        <f>DATE(2014,11,4) + TIME(10,43,13)</f>
        <v>41947.44667824074</v>
      </c>
      <c r="C1574">
        <v>80</v>
      </c>
      <c r="D1574">
        <v>79.706726074000002</v>
      </c>
      <c r="E1574">
        <v>40</v>
      </c>
      <c r="F1574">
        <v>46.664936066000003</v>
      </c>
      <c r="G1574">
        <v>1330.9106445</v>
      </c>
      <c r="H1574">
        <v>1330.6213379000001</v>
      </c>
      <c r="I1574">
        <v>1333.8287353999999</v>
      </c>
      <c r="J1574">
        <v>1332.6317139</v>
      </c>
      <c r="K1574">
        <v>0</v>
      </c>
      <c r="L1574">
        <v>550</v>
      </c>
      <c r="M1574">
        <v>550</v>
      </c>
      <c r="N1574">
        <v>0</v>
      </c>
    </row>
    <row r="1575" spans="1:14" x14ac:dyDescent="0.25">
      <c r="A1575">
        <v>1648.7578800000001</v>
      </c>
      <c r="B1575" s="1">
        <f>DATE(2014,11,4) + TIME(18,11,20)</f>
        <v>41947.757870370369</v>
      </c>
      <c r="C1575">
        <v>80</v>
      </c>
      <c r="D1575">
        <v>79.686767578000001</v>
      </c>
      <c r="E1575">
        <v>40</v>
      </c>
      <c r="F1575">
        <v>46.015037536999998</v>
      </c>
      <c r="G1575">
        <v>1330.8986815999999</v>
      </c>
      <c r="H1575">
        <v>1330.6038818</v>
      </c>
      <c r="I1575">
        <v>1333.8208007999999</v>
      </c>
      <c r="J1575">
        <v>1332.6231689000001</v>
      </c>
      <c r="K1575">
        <v>0</v>
      </c>
      <c r="L1575">
        <v>550</v>
      </c>
      <c r="M1575">
        <v>550</v>
      </c>
      <c r="N1575">
        <v>0</v>
      </c>
    </row>
    <row r="1576" spans="1:14" x14ac:dyDescent="0.25">
      <c r="A1576">
        <v>1649.0934420000001</v>
      </c>
      <c r="B1576" s="1">
        <f>DATE(2014,11,5) + TIME(2,14,33)</f>
        <v>41948.0934375</v>
      </c>
      <c r="C1576">
        <v>80</v>
      </c>
      <c r="D1576">
        <v>79.665382385000001</v>
      </c>
      <c r="E1576">
        <v>40</v>
      </c>
      <c r="F1576">
        <v>45.394081116000002</v>
      </c>
      <c r="G1576">
        <v>1330.8862305</v>
      </c>
      <c r="H1576">
        <v>1330.5856934000001</v>
      </c>
      <c r="I1576">
        <v>1333.8137207</v>
      </c>
      <c r="J1576">
        <v>1332.6149902</v>
      </c>
      <c r="K1576">
        <v>0</v>
      </c>
      <c r="L1576">
        <v>550</v>
      </c>
      <c r="M1576">
        <v>550</v>
      </c>
      <c r="N1576">
        <v>0</v>
      </c>
    </row>
    <row r="1577" spans="1:14" x14ac:dyDescent="0.25">
      <c r="A1577">
        <v>1649.4560289999999</v>
      </c>
      <c r="B1577" s="1">
        <f>DATE(2014,11,5) + TIME(10,56,40)</f>
        <v>41948.456018518518</v>
      </c>
      <c r="C1577">
        <v>80</v>
      </c>
      <c r="D1577">
        <v>79.642440796000002</v>
      </c>
      <c r="E1577">
        <v>40</v>
      </c>
      <c r="F1577">
        <v>44.803436279000003</v>
      </c>
      <c r="G1577">
        <v>1330.8734131000001</v>
      </c>
      <c r="H1577">
        <v>1330.5668945</v>
      </c>
      <c r="I1577">
        <v>1333.807251</v>
      </c>
      <c r="J1577">
        <v>1332.6072998</v>
      </c>
      <c r="K1577">
        <v>0</v>
      </c>
      <c r="L1577">
        <v>550</v>
      </c>
      <c r="M1577">
        <v>550</v>
      </c>
      <c r="N1577">
        <v>0</v>
      </c>
    </row>
    <row r="1578" spans="1:14" x14ac:dyDescent="0.25">
      <c r="A1578">
        <v>1649.848573</v>
      </c>
      <c r="B1578" s="1">
        <f>DATE(2014,11,5) + TIME(20,21,56)</f>
        <v>41948.848564814813</v>
      </c>
      <c r="C1578">
        <v>80</v>
      </c>
      <c r="D1578">
        <v>79.617805481000005</v>
      </c>
      <c r="E1578">
        <v>40</v>
      </c>
      <c r="F1578">
        <v>44.244617462000001</v>
      </c>
      <c r="G1578">
        <v>1330.8599853999999</v>
      </c>
      <c r="H1578">
        <v>1330.5474853999999</v>
      </c>
      <c r="I1578">
        <v>1333.8015137</v>
      </c>
      <c r="J1578">
        <v>1332.6002197</v>
      </c>
      <c r="K1578">
        <v>0</v>
      </c>
      <c r="L1578">
        <v>550</v>
      </c>
      <c r="M1578">
        <v>550</v>
      </c>
      <c r="N1578">
        <v>0</v>
      </c>
    </row>
    <row r="1579" spans="1:14" x14ac:dyDescent="0.25">
      <c r="A1579">
        <v>1650.274375</v>
      </c>
      <c r="B1579" s="1">
        <f>DATE(2014,11,6) + TIME(6,35,5)</f>
        <v>41949.274363425924</v>
      </c>
      <c r="C1579">
        <v>80</v>
      </c>
      <c r="D1579">
        <v>79.591316223000007</v>
      </c>
      <c r="E1579">
        <v>40</v>
      </c>
      <c r="F1579">
        <v>43.719131470000001</v>
      </c>
      <c r="G1579">
        <v>1330.8460693</v>
      </c>
      <c r="H1579">
        <v>1330.5270995999999</v>
      </c>
      <c r="I1579">
        <v>1333.7965088000001</v>
      </c>
      <c r="J1579">
        <v>1332.5936279</v>
      </c>
      <c r="K1579">
        <v>0</v>
      </c>
      <c r="L1579">
        <v>550</v>
      </c>
      <c r="M1579">
        <v>550</v>
      </c>
      <c r="N1579">
        <v>0</v>
      </c>
    </row>
    <row r="1580" spans="1:14" x14ac:dyDescent="0.25">
      <c r="A1580">
        <v>1650.7373720000001</v>
      </c>
      <c r="B1580" s="1">
        <f>DATE(2014,11,6) + TIME(17,41,48)</f>
        <v>41949.737361111111</v>
      </c>
      <c r="C1580">
        <v>80</v>
      </c>
      <c r="D1580">
        <v>79.562812804999993</v>
      </c>
      <c r="E1580">
        <v>40</v>
      </c>
      <c r="F1580">
        <v>43.228210449000002</v>
      </c>
      <c r="G1580">
        <v>1330.8314209</v>
      </c>
      <c r="H1580">
        <v>1330.5059814000001</v>
      </c>
      <c r="I1580">
        <v>1333.7923584</v>
      </c>
      <c r="J1580">
        <v>1332.5875243999999</v>
      </c>
      <c r="K1580">
        <v>0</v>
      </c>
      <c r="L1580">
        <v>550</v>
      </c>
      <c r="M1580">
        <v>550</v>
      </c>
      <c r="N1580">
        <v>0</v>
      </c>
    </row>
    <row r="1581" spans="1:14" x14ac:dyDescent="0.25">
      <c r="A1581">
        <v>1651.241929</v>
      </c>
      <c r="B1581" s="1">
        <f>DATE(2014,11,7) + TIME(5,48,22)</f>
        <v>41950.2419212963</v>
      </c>
      <c r="C1581">
        <v>80</v>
      </c>
      <c r="D1581">
        <v>79.532081603999998</v>
      </c>
      <c r="E1581">
        <v>40</v>
      </c>
      <c r="F1581">
        <v>42.773139954000001</v>
      </c>
      <c r="G1581">
        <v>1330.8161620999999</v>
      </c>
      <c r="H1581">
        <v>1330.4837646000001</v>
      </c>
      <c r="I1581">
        <v>1333.7888184000001</v>
      </c>
      <c r="J1581">
        <v>1332.5820312000001</v>
      </c>
      <c r="K1581">
        <v>0</v>
      </c>
      <c r="L1581">
        <v>550</v>
      </c>
      <c r="M1581">
        <v>550</v>
      </c>
      <c r="N1581">
        <v>0</v>
      </c>
    </row>
    <row r="1582" spans="1:14" x14ac:dyDescent="0.25">
      <c r="A1582">
        <v>1651.7929979999999</v>
      </c>
      <c r="B1582" s="1">
        <f>DATE(2014,11,7) + TIME(19,1,55)</f>
        <v>41950.792997685188</v>
      </c>
      <c r="C1582">
        <v>80</v>
      </c>
      <c r="D1582">
        <v>79.498931885000005</v>
      </c>
      <c r="E1582">
        <v>40</v>
      </c>
      <c r="F1582">
        <v>42.355049133000001</v>
      </c>
      <c r="G1582">
        <v>1330.8000488</v>
      </c>
      <c r="H1582">
        <v>1330.4604492000001</v>
      </c>
      <c r="I1582">
        <v>1333.7860106999999</v>
      </c>
      <c r="J1582">
        <v>1332.5770264</v>
      </c>
      <c r="K1582">
        <v>0</v>
      </c>
      <c r="L1582">
        <v>550</v>
      </c>
      <c r="M1582">
        <v>550</v>
      </c>
      <c r="N1582">
        <v>0</v>
      </c>
    </row>
    <row r="1583" spans="1:14" x14ac:dyDescent="0.25">
      <c r="A1583">
        <v>1652.391206</v>
      </c>
      <c r="B1583" s="1">
        <f>DATE(2014,11,8) + TIME(9,23,20)</f>
        <v>41951.391203703701</v>
      </c>
      <c r="C1583">
        <v>80</v>
      </c>
      <c r="D1583">
        <v>79.463401794000006</v>
      </c>
      <c r="E1583">
        <v>40</v>
      </c>
      <c r="F1583">
        <v>41.977439879999999</v>
      </c>
      <c r="G1583">
        <v>1330.7830810999999</v>
      </c>
      <c r="H1583">
        <v>1330.4360352000001</v>
      </c>
      <c r="I1583">
        <v>1333.7839355000001</v>
      </c>
      <c r="J1583">
        <v>1332.5725098</v>
      </c>
      <c r="K1583">
        <v>0</v>
      </c>
      <c r="L1583">
        <v>550</v>
      </c>
      <c r="M1583">
        <v>550</v>
      </c>
      <c r="N1583">
        <v>0</v>
      </c>
    </row>
    <row r="1584" spans="1:14" x14ac:dyDescent="0.25">
      <c r="A1584">
        <v>1653.0131960000001</v>
      </c>
      <c r="B1584" s="1">
        <f>DATE(2014,11,9) + TIME(0,19,0)</f>
        <v>41952.013194444444</v>
      </c>
      <c r="C1584">
        <v>80</v>
      </c>
      <c r="D1584">
        <v>79.426780700999998</v>
      </c>
      <c r="E1584">
        <v>40</v>
      </c>
      <c r="F1584">
        <v>41.652187347000002</v>
      </c>
      <c r="G1584">
        <v>1330.7652588000001</v>
      </c>
      <c r="H1584">
        <v>1330.4104004000001</v>
      </c>
      <c r="I1584">
        <v>1333.7825928</v>
      </c>
      <c r="J1584">
        <v>1332.5687256000001</v>
      </c>
      <c r="K1584">
        <v>0</v>
      </c>
      <c r="L1584">
        <v>550</v>
      </c>
      <c r="M1584">
        <v>550</v>
      </c>
      <c r="N1584">
        <v>0</v>
      </c>
    </row>
    <row r="1585" spans="1:14" x14ac:dyDescent="0.25">
      <c r="A1585">
        <v>1653.66201</v>
      </c>
      <c r="B1585" s="1">
        <f>DATE(2014,11,9) + TIME(15,53,17)</f>
        <v>41952.662002314813</v>
      </c>
      <c r="C1585">
        <v>80</v>
      </c>
      <c r="D1585">
        <v>79.388938904</v>
      </c>
      <c r="E1585">
        <v>40</v>
      </c>
      <c r="F1585">
        <v>41.372592926000003</v>
      </c>
      <c r="G1585">
        <v>1330.7471923999999</v>
      </c>
      <c r="H1585">
        <v>1330.3846435999999</v>
      </c>
      <c r="I1585">
        <v>1333.7818603999999</v>
      </c>
      <c r="J1585">
        <v>1332.5654297000001</v>
      </c>
      <c r="K1585">
        <v>0</v>
      </c>
      <c r="L1585">
        <v>550</v>
      </c>
      <c r="M1585">
        <v>550</v>
      </c>
      <c r="N1585">
        <v>0</v>
      </c>
    </row>
    <row r="1586" spans="1:14" x14ac:dyDescent="0.25">
      <c r="A1586">
        <v>1654.341246</v>
      </c>
      <c r="B1586" s="1">
        <f>DATE(2014,11,10) + TIME(8,11,23)</f>
        <v>41953.341238425928</v>
      </c>
      <c r="C1586">
        <v>80</v>
      </c>
      <c r="D1586">
        <v>79.349708557</v>
      </c>
      <c r="E1586">
        <v>40</v>
      </c>
      <c r="F1586">
        <v>41.132896422999998</v>
      </c>
      <c r="G1586">
        <v>1330.7288818</v>
      </c>
      <c r="H1586">
        <v>1330.3583983999999</v>
      </c>
      <c r="I1586">
        <v>1333.7814940999999</v>
      </c>
      <c r="J1586">
        <v>1332.5625</v>
      </c>
      <c r="K1586">
        <v>0</v>
      </c>
      <c r="L1586">
        <v>550</v>
      </c>
      <c r="M1586">
        <v>550</v>
      </c>
      <c r="N1586">
        <v>0</v>
      </c>
    </row>
    <row r="1587" spans="1:14" x14ac:dyDescent="0.25">
      <c r="A1587">
        <v>1655.0550699999999</v>
      </c>
      <c r="B1587" s="1">
        <f>DATE(2014,11,11) + TIME(1,19,18)</f>
        <v>41954.055069444446</v>
      </c>
      <c r="C1587">
        <v>80</v>
      </c>
      <c r="D1587">
        <v>79.308883667000003</v>
      </c>
      <c r="E1587">
        <v>40</v>
      </c>
      <c r="F1587">
        <v>40.928119658999996</v>
      </c>
      <c r="G1587">
        <v>1330.7102050999999</v>
      </c>
      <c r="H1587">
        <v>1330.3316649999999</v>
      </c>
      <c r="I1587">
        <v>1333.7816161999999</v>
      </c>
      <c r="J1587">
        <v>1332.5600586</v>
      </c>
      <c r="K1587">
        <v>0</v>
      </c>
      <c r="L1587">
        <v>550</v>
      </c>
      <c r="M1587">
        <v>550</v>
      </c>
      <c r="N1587">
        <v>0</v>
      </c>
    </row>
    <row r="1588" spans="1:14" x14ac:dyDescent="0.25">
      <c r="A1588">
        <v>1655.8083730000001</v>
      </c>
      <c r="B1588" s="1">
        <f>DATE(2014,11,11) + TIME(19,24,3)</f>
        <v>41954.808368055557</v>
      </c>
      <c r="C1588">
        <v>80</v>
      </c>
      <c r="D1588">
        <v>79.26625061</v>
      </c>
      <c r="E1588">
        <v>40</v>
      </c>
      <c r="F1588">
        <v>40.753929137999997</v>
      </c>
      <c r="G1588">
        <v>1330.690918</v>
      </c>
      <c r="H1588">
        <v>1330.3043213000001</v>
      </c>
      <c r="I1588">
        <v>1333.7819824000001</v>
      </c>
      <c r="J1588">
        <v>1332.5578613</v>
      </c>
      <c r="K1588">
        <v>0</v>
      </c>
      <c r="L1588">
        <v>550</v>
      </c>
      <c r="M1588">
        <v>550</v>
      </c>
      <c r="N1588">
        <v>0</v>
      </c>
    </row>
    <row r="1589" spans="1:14" x14ac:dyDescent="0.25">
      <c r="A1589">
        <v>1656.6069769999999</v>
      </c>
      <c r="B1589" s="1">
        <f>DATE(2014,11,12) + TIME(14,34,2)</f>
        <v>41955.60696759259</v>
      </c>
      <c r="C1589">
        <v>80</v>
      </c>
      <c r="D1589">
        <v>79.221527100000003</v>
      </c>
      <c r="E1589">
        <v>40</v>
      </c>
      <c r="F1589">
        <v>40.606521606000001</v>
      </c>
      <c r="G1589">
        <v>1330.6711425999999</v>
      </c>
      <c r="H1589">
        <v>1330.2762451000001</v>
      </c>
      <c r="I1589">
        <v>1333.7824707</v>
      </c>
      <c r="J1589">
        <v>1332.5559082</v>
      </c>
      <c r="K1589">
        <v>0</v>
      </c>
      <c r="L1589">
        <v>550</v>
      </c>
      <c r="M1589">
        <v>550</v>
      </c>
      <c r="N1589">
        <v>0</v>
      </c>
    </row>
    <row r="1590" spans="1:14" x14ac:dyDescent="0.25">
      <c r="A1590">
        <v>1657.4578979999999</v>
      </c>
      <c r="B1590" s="1">
        <f>DATE(2014,11,13) + TIME(10,59,22)</f>
        <v>41956.45789351852</v>
      </c>
      <c r="C1590">
        <v>80</v>
      </c>
      <c r="D1590">
        <v>79.174385071000003</v>
      </c>
      <c r="E1590">
        <v>40</v>
      </c>
      <c r="F1590">
        <v>40.482532501000001</v>
      </c>
      <c r="G1590">
        <v>1330.6506348</v>
      </c>
      <c r="H1590">
        <v>1330.2471923999999</v>
      </c>
      <c r="I1590">
        <v>1333.7832031</v>
      </c>
      <c r="J1590">
        <v>1332.5540771000001</v>
      </c>
      <c r="K1590">
        <v>0</v>
      </c>
      <c r="L1590">
        <v>550</v>
      </c>
      <c r="M1590">
        <v>550</v>
      </c>
      <c r="N1590">
        <v>0</v>
      </c>
    </row>
    <row r="1591" spans="1:14" x14ac:dyDescent="0.25">
      <c r="A1591">
        <v>1658.369706</v>
      </c>
      <c r="B1591" s="1">
        <f>DATE(2014,11,14) + TIME(8,52,22)</f>
        <v>41957.369699074072</v>
      </c>
      <c r="C1591">
        <v>80</v>
      </c>
      <c r="D1591">
        <v>79.124412536999998</v>
      </c>
      <c r="E1591">
        <v>40</v>
      </c>
      <c r="F1591">
        <v>40.378978729000004</v>
      </c>
      <c r="G1591">
        <v>1330.6293945</v>
      </c>
      <c r="H1591">
        <v>1330.2170410000001</v>
      </c>
      <c r="I1591">
        <v>1333.7839355000001</v>
      </c>
      <c r="J1591">
        <v>1332.5524902</v>
      </c>
      <c r="K1591">
        <v>0</v>
      </c>
      <c r="L1591">
        <v>550</v>
      </c>
      <c r="M1591">
        <v>550</v>
      </c>
      <c r="N1591">
        <v>0</v>
      </c>
    </row>
    <row r="1592" spans="1:14" x14ac:dyDescent="0.25">
      <c r="A1592">
        <v>1659.327567</v>
      </c>
      <c r="B1592" s="1">
        <f>DATE(2014,11,15) + TIME(7,51,41)</f>
        <v>41958.327557870369</v>
      </c>
      <c r="C1592">
        <v>80</v>
      </c>
      <c r="D1592">
        <v>79.072280883999994</v>
      </c>
      <c r="E1592">
        <v>40</v>
      </c>
      <c r="F1592">
        <v>40.294906615999999</v>
      </c>
      <c r="G1592">
        <v>1330.6071777</v>
      </c>
      <c r="H1592">
        <v>1330.1857910000001</v>
      </c>
      <c r="I1592">
        <v>1333.7849120999999</v>
      </c>
      <c r="J1592">
        <v>1332.5509033000001</v>
      </c>
      <c r="K1592">
        <v>0</v>
      </c>
      <c r="L1592">
        <v>550</v>
      </c>
      <c r="M1592">
        <v>550</v>
      </c>
      <c r="N1592">
        <v>0</v>
      </c>
    </row>
    <row r="1593" spans="1:14" x14ac:dyDescent="0.25">
      <c r="A1593">
        <v>1660.327546</v>
      </c>
      <c r="B1593" s="1">
        <f>DATE(2014,11,16) + TIME(7,51,39)</f>
        <v>41959.327534722222</v>
      </c>
      <c r="C1593">
        <v>80</v>
      </c>
      <c r="D1593">
        <v>79.018112183</v>
      </c>
      <c r="E1593">
        <v>40</v>
      </c>
      <c r="F1593">
        <v>40.227550506999997</v>
      </c>
      <c r="G1593">
        <v>1330.5843506000001</v>
      </c>
      <c r="H1593">
        <v>1330.1536865</v>
      </c>
      <c r="I1593">
        <v>1333.7858887</v>
      </c>
      <c r="J1593">
        <v>1332.5494385</v>
      </c>
      <c r="K1593">
        <v>0</v>
      </c>
      <c r="L1593">
        <v>550</v>
      </c>
      <c r="M1593">
        <v>550</v>
      </c>
      <c r="N1593">
        <v>0</v>
      </c>
    </row>
    <row r="1594" spans="1:14" x14ac:dyDescent="0.25">
      <c r="A1594">
        <v>1661.373871</v>
      </c>
      <c r="B1594" s="1">
        <f>DATE(2014,11,17) + TIME(8,58,22)</f>
        <v>41960.373865740738</v>
      </c>
      <c r="C1594">
        <v>80</v>
      </c>
      <c r="D1594">
        <v>78.961647033999995</v>
      </c>
      <c r="E1594">
        <v>40</v>
      </c>
      <c r="F1594">
        <v>40.173858643000003</v>
      </c>
      <c r="G1594">
        <v>1330.5609131000001</v>
      </c>
      <c r="H1594">
        <v>1330.1209716999999</v>
      </c>
      <c r="I1594">
        <v>1333.7867432</v>
      </c>
      <c r="J1594">
        <v>1332.5480957</v>
      </c>
      <c r="K1594">
        <v>0</v>
      </c>
      <c r="L1594">
        <v>550</v>
      </c>
      <c r="M1594">
        <v>550</v>
      </c>
      <c r="N1594">
        <v>0</v>
      </c>
    </row>
    <row r="1595" spans="1:14" x14ac:dyDescent="0.25">
      <c r="A1595">
        <v>1662.470908</v>
      </c>
      <c r="B1595" s="1">
        <f>DATE(2014,11,18) + TIME(11,18,6)</f>
        <v>41961.470902777779</v>
      </c>
      <c r="C1595">
        <v>80</v>
      </c>
      <c r="D1595">
        <v>78.902633667000003</v>
      </c>
      <c r="E1595">
        <v>40</v>
      </c>
      <c r="F1595">
        <v>40.131286621000001</v>
      </c>
      <c r="G1595">
        <v>1330.5369873</v>
      </c>
      <c r="H1595">
        <v>1330.0875243999999</v>
      </c>
      <c r="I1595">
        <v>1333.7877197</v>
      </c>
      <c r="J1595">
        <v>1332.5466309000001</v>
      </c>
      <c r="K1595">
        <v>0</v>
      </c>
      <c r="L1595">
        <v>550</v>
      </c>
      <c r="M1595">
        <v>550</v>
      </c>
      <c r="N1595">
        <v>0</v>
      </c>
    </row>
    <row r="1596" spans="1:14" x14ac:dyDescent="0.25">
      <c r="A1596">
        <v>1663.62355</v>
      </c>
      <c r="B1596" s="1">
        <f>DATE(2014,11,19) + TIME(14,57,54)</f>
        <v>41962.623541666668</v>
      </c>
      <c r="C1596">
        <v>80</v>
      </c>
      <c r="D1596">
        <v>78.840751647999994</v>
      </c>
      <c r="E1596">
        <v>40</v>
      </c>
      <c r="F1596">
        <v>40.097698211999997</v>
      </c>
      <c r="G1596">
        <v>1330.5124512</v>
      </c>
      <c r="H1596">
        <v>1330.0532227000001</v>
      </c>
      <c r="I1596">
        <v>1333.7885742000001</v>
      </c>
      <c r="J1596">
        <v>1332.5452881000001</v>
      </c>
      <c r="K1596">
        <v>0</v>
      </c>
      <c r="L1596">
        <v>550</v>
      </c>
      <c r="M1596">
        <v>550</v>
      </c>
      <c r="N1596">
        <v>0</v>
      </c>
    </row>
    <row r="1597" spans="1:14" x14ac:dyDescent="0.25">
      <c r="A1597">
        <v>1664.8372730000001</v>
      </c>
      <c r="B1597" s="1">
        <f>DATE(2014,11,20) + TIME(20,5,40)</f>
        <v>41963.837268518517</v>
      </c>
      <c r="C1597">
        <v>80</v>
      </c>
      <c r="D1597">
        <v>78.775650024000001</v>
      </c>
      <c r="E1597">
        <v>40</v>
      </c>
      <c r="F1597">
        <v>40.071323395</v>
      </c>
      <c r="G1597">
        <v>1330.4871826000001</v>
      </c>
      <c r="H1597">
        <v>1330.0180664</v>
      </c>
      <c r="I1597">
        <v>1333.7893065999999</v>
      </c>
      <c r="J1597">
        <v>1332.5438231999999</v>
      </c>
      <c r="K1597">
        <v>0</v>
      </c>
      <c r="L1597">
        <v>550</v>
      </c>
      <c r="M1597">
        <v>550</v>
      </c>
      <c r="N1597">
        <v>0</v>
      </c>
    </row>
    <row r="1598" spans="1:14" x14ac:dyDescent="0.25">
      <c r="A1598">
        <v>1666.0852259999999</v>
      </c>
      <c r="B1598" s="1">
        <f>DATE(2014,11,22) + TIME(2,2,43)</f>
        <v>41965.085219907407</v>
      </c>
      <c r="C1598">
        <v>80</v>
      </c>
      <c r="D1598">
        <v>78.708305358999993</v>
      </c>
      <c r="E1598">
        <v>40</v>
      </c>
      <c r="F1598">
        <v>40.05109787</v>
      </c>
      <c r="G1598">
        <v>1330.4611815999999</v>
      </c>
      <c r="H1598">
        <v>1329.9820557</v>
      </c>
      <c r="I1598">
        <v>1333.7901611</v>
      </c>
      <c r="J1598">
        <v>1332.5423584</v>
      </c>
      <c r="K1598">
        <v>0</v>
      </c>
      <c r="L1598">
        <v>550</v>
      </c>
      <c r="M1598">
        <v>550</v>
      </c>
      <c r="N1598">
        <v>0</v>
      </c>
    </row>
    <row r="1599" spans="1:14" x14ac:dyDescent="0.25">
      <c r="A1599">
        <v>1667.3673610000001</v>
      </c>
      <c r="B1599" s="1">
        <f>DATE(2014,11,23) + TIME(8,49,0)</f>
        <v>41966.367361111108</v>
      </c>
      <c r="C1599">
        <v>80</v>
      </c>
      <c r="D1599">
        <v>78.638610839999998</v>
      </c>
      <c r="E1599">
        <v>40</v>
      </c>
      <c r="F1599">
        <v>40.035572051999999</v>
      </c>
      <c r="G1599">
        <v>1330.4349365</v>
      </c>
      <c r="H1599">
        <v>1329.9456786999999</v>
      </c>
      <c r="I1599">
        <v>1333.7907714999999</v>
      </c>
      <c r="J1599">
        <v>1332.5408935999999</v>
      </c>
      <c r="K1599">
        <v>0</v>
      </c>
      <c r="L1599">
        <v>550</v>
      </c>
      <c r="M1599">
        <v>550</v>
      </c>
      <c r="N1599">
        <v>0</v>
      </c>
    </row>
    <row r="1600" spans="1:14" x14ac:dyDescent="0.25">
      <c r="A1600">
        <v>1668.6934289999999</v>
      </c>
      <c r="B1600" s="1">
        <f>DATE(2014,11,24) + TIME(16,38,32)</f>
        <v>41967.693425925929</v>
      </c>
      <c r="C1600">
        <v>80</v>
      </c>
      <c r="D1600">
        <v>78.566055297999995</v>
      </c>
      <c r="E1600">
        <v>40</v>
      </c>
      <c r="F1600">
        <v>40.023563385000003</v>
      </c>
      <c r="G1600">
        <v>1330.4085693</v>
      </c>
      <c r="H1600">
        <v>1329.9091797000001</v>
      </c>
      <c r="I1600">
        <v>1333.7913818</v>
      </c>
      <c r="J1600">
        <v>1332.5394286999999</v>
      </c>
      <c r="K1600">
        <v>0</v>
      </c>
      <c r="L1600">
        <v>550</v>
      </c>
      <c r="M1600">
        <v>550</v>
      </c>
      <c r="N1600">
        <v>0</v>
      </c>
    </row>
    <row r="1601" spans="1:14" x14ac:dyDescent="0.25">
      <c r="A1601">
        <v>1670.0679299999999</v>
      </c>
      <c r="B1601" s="1">
        <f>DATE(2014,11,26) + TIME(1,37,49)</f>
        <v>41969.067928240744</v>
      </c>
      <c r="C1601">
        <v>80</v>
      </c>
      <c r="D1601">
        <v>78.490295410000002</v>
      </c>
      <c r="E1601">
        <v>40</v>
      </c>
      <c r="F1601">
        <v>40.014228821000003</v>
      </c>
      <c r="G1601">
        <v>1330.3817139</v>
      </c>
      <c r="H1601">
        <v>1329.8720702999999</v>
      </c>
      <c r="I1601">
        <v>1333.7919922000001</v>
      </c>
      <c r="J1601">
        <v>1332.5378418</v>
      </c>
      <c r="K1601">
        <v>0</v>
      </c>
      <c r="L1601">
        <v>550</v>
      </c>
      <c r="M1601">
        <v>550</v>
      </c>
      <c r="N1601">
        <v>0</v>
      </c>
    </row>
    <row r="1602" spans="1:14" x14ac:dyDescent="0.25">
      <c r="A1602">
        <v>1671.480687</v>
      </c>
      <c r="B1602" s="1">
        <f>DATE(2014,11,27) + TIME(11,32,11)</f>
        <v>41970.480682870373</v>
      </c>
      <c r="C1602">
        <v>80</v>
      </c>
      <c r="D1602">
        <v>78.411567688000005</v>
      </c>
      <c r="E1602">
        <v>40</v>
      </c>
      <c r="F1602">
        <v>40.006996155000003</v>
      </c>
      <c r="G1602">
        <v>1330.3546143000001</v>
      </c>
      <c r="H1602">
        <v>1329.8347168</v>
      </c>
      <c r="I1602">
        <v>1333.7924805</v>
      </c>
      <c r="J1602">
        <v>1332.5363769999999</v>
      </c>
      <c r="K1602">
        <v>0</v>
      </c>
      <c r="L1602">
        <v>550</v>
      </c>
      <c r="M1602">
        <v>550</v>
      </c>
      <c r="N1602">
        <v>0</v>
      </c>
    </row>
    <row r="1603" spans="1:14" x14ac:dyDescent="0.25">
      <c r="A1603">
        <v>1672.9405320000001</v>
      </c>
      <c r="B1603" s="1">
        <f>DATE(2014,11,28) + TIME(22,34,21)</f>
        <v>41971.940520833334</v>
      </c>
      <c r="C1603">
        <v>80</v>
      </c>
      <c r="D1603">
        <v>78.329353333</v>
      </c>
      <c r="E1603">
        <v>40</v>
      </c>
      <c r="F1603">
        <v>40.001331329000003</v>
      </c>
      <c r="G1603">
        <v>1330.3271483999999</v>
      </c>
      <c r="H1603">
        <v>1329.7969971</v>
      </c>
      <c r="I1603">
        <v>1333.7929687999999</v>
      </c>
      <c r="J1603">
        <v>1332.5347899999999</v>
      </c>
      <c r="K1603">
        <v>0</v>
      </c>
      <c r="L1603">
        <v>550</v>
      </c>
      <c r="M1603">
        <v>550</v>
      </c>
      <c r="N1603">
        <v>0</v>
      </c>
    </row>
    <row r="1604" spans="1:14" x14ac:dyDescent="0.25">
      <c r="A1604">
        <v>1674.4568810000001</v>
      </c>
      <c r="B1604" s="1">
        <f>DATE(2014,11,30) + TIME(10,57,54)</f>
        <v>41973.456875000003</v>
      </c>
      <c r="C1604">
        <v>80</v>
      </c>
      <c r="D1604">
        <v>78.243057250999996</v>
      </c>
      <c r="E1604">
        <v>40</v>
      </c>
      <c r="F1604">
        <v>39.996841431</v>
      </c>
      <c r="G1604">
        <v>1330.2994385</v>
      </c>
      <c r="H1604">
        <v>1329.7590332</v>
      </c>
      <c r="I1604">
        <v>1333.793457</v>
      </c>
      <c r="J1604">
        <v>1332.5333252</v>
      </c>
      <c r="K1604">
        <v>0</v>
      </c>
      <c r="L1604">
        <v>550</v>
      </c>
      <c r="M1604">
        <v>550</v>
      </c>
      <c r="N1604">
        <v>0</v>
      </c>
    </row>
    <row r="1605" spans="1:14" x14ac:dyDescent="0.25">
      <c r="A1605">
        <v>1675</v>
      </c>
      <c r="B1605" s="1">
        <f>DATE(2014,12,1) + TIME(0,0,0)</f>
        <v>41974</v>
      </c>
      <c r="C1605">
        <v>80</v>
      </c>
      <c r="D1605">
        <v>78.204605103000006</v>
      </c>
      <c r="E1605">
        <v>40</v>
      </c>
      <c r="F1605">
        <v>39.995399474999999</v>
      </c>
      <c r="G1605">
        <v>1330.2725829999999</v>
      </c>
      <c r="H1605">
        <v>1329.7227783000001</v>
      </c>
      <c r="I1605">
        <v>1333.7939452999999</v>
      </c>
      <c r="J1605">
        <v>1332.5317382999999</v>
      </c>
      <c r="K1605">
        <v>0</v>
      </c>
      <c r="L1605">
        <v>550</v>
      </c>
      <c r="M1605">
        <v>550</v>
      </c>
      <c r="N1605">
        <v>0</v>
      </c>
    </row>
    <row r="1606" spans="1:14" x14ac:dyDescent="0.25">
      <c r="A1606">
        <v>1676.5835669999999</v>
      </c>
      <c r="B1606" s="1">
        <f>DATE(2014,12,2) + TIME(14,0,20)</f>
        <v>41975.583564814813</v>
      </c>
      <c r="C1606">
        <v>80</v>
      </c>
      <c r="D1606">
        <v>78.114791870000005</v>
      </c>
      <c r="E1606">
        <v>40</v>
      </c>
      <c r="F1606">
        <v>39.992149353000002</v>
      </c>
      <c r="G1606">
        <v>1330.2595214999999</v>
      </c>
      <c r="H1606">
        <v>1329.7037353999999</v>
      </c>
      <c r="I1606">
        <v>1333.7939452999999</v>
      </c>
      <c r="J1606">
        <v>1332.5311279</v>
      </c>
      <c r="K1606">
        <v>0</v>
      </c>
      <c r="L1606">
        <v>550</v>
      </c>
      <c r="M1606">
        <v>550</v>
      </c>
      <c r="N1606">
        <v>0</v>
      </c>
    </row>
    <row r="1607" spans="1:14" x14ac:dyDescent="0.25">
      <c r="A1607">
        <v>1678.2776490000001</v>
      </c>
      <c r="B1607" s="1">
        <f>DATE(2014,12,4) + TIME(6,39,48)</f>
        <v>41977.277638888889</v>
      </c>
      <c r="C1607">
        <v>80</v>
      </c>
      <c r="D1607">
        <v>78.017608643000003</v>
      </c>
      <c r="E1607">
        <v>40</v>
      </c>
      <c r="F1607">
        <v>39.989456177000001</v>
      </c>
      <c r="G1607">
        <v>1330.2315673999999</v>
      </c>
      <c r="H1607">
        <v>1329.6657714999999</v>
      </c>
      <c r="I1607">
        <v>1333.7943115</v>
      </c>
      <c r="J1607">
        <v>1332.5296631000001</v>
      </c>
      <c r="K1607">
        <v>0</v>
      </c>
      <c r="L1607">
        <v>550</v>
      </c>
      <c r="M1607">
        <v>550</v>
      </c>
      <c r="N1607">
        <v>0</v>
      </c>
    </row>
    <row r="1608" spans="1:14" x14ac:dyDescent="0.25">
      <c r="A1608">
        <v>1680.070518</v>
      </c>
      <c r="B1608" s="1">
        <f>DATE(2014,12,6) + TIME(1,41,32)</f>
        <v>41979.070509259262</v>
      </c>
      <c r="C1608">
        <v>80</v>
      </c>
      <c r="D1608">
        <v>77.912986755000006</v>
      </c>
      <c r="E1608">
        <v>40</v>
      </c>
      <c r="F1608">
        <v>39.987239838000001</v>
      </c>
      <c r="G1608">
        <v>1330.2023925999999</v>
      </c>
      <c r="H1608">
        <v>1329.6262207</v>
      </c>
      <c r="I1608">
        <v>1333.7946777</v>
      </c>
      <c r="J1608">
        <v>1332.5280762</v>
      </c>
      <c r="K1608">
        <v>0</v>
      </c>
      <c r="L1608">
        <v>550</v>
      </c>
      <c r="M1608">
        <v>550</v>
      </c>
      <c r="N1608">
        <v>0</v>
      </c>
    </row>
    <row r="1609" spans="1:14" x14ac:dyDescent="0.25">
      <c r="A1609">
        <v>1681.9767240000001</v>
      </c>
      <c r="B1609" s="1">
        <f>DATE(2014,12,7) + TIME(23,26,28)</f>
        <v>41980.976712962962</v>
      </c>
      <c r="C1609">
        <v>80</v>
      </c>
      <c r="D1609">
        <v>77.799888611</v>
      </c>
      <c r="E1609">
        <v>40</v>
      </c>
      <c r="F1609">
        <v>39.985401154000002</v>
      </c>
      <c r="G1609">
        <v>1330.1721190999999</v>
      </c>
      <c r="H1609">
        <v>1329.5852050999999</v>
      </c>
      <c r="I1609">
        <v>1333.7950439000001</v>
      </c>
      <c r="J1609">
        <v>1332.5263672000001</v>
      </c>
      <c r="K1609">
        <v>0</v>
      </c>
      <c r="L1609">
        <v>550</v>
      </c>
      <c r="M1609">
        <v>550</v>
      </c>
      <c r="N1609">
        <v>0</v>
      </c>
    </row>
    <row r="1610" spans="1:14" x14ac:dyDescent="0.25">
      <c r="A1610">
        <v>1683.892474</v>
      </c>
      <c r="B1610" s="1">
        <f>DATE(2014,12,9) + TIME(21,25,9)</f>
        <v>41982.892465277779</v>
      </c>
      <c r="C1610">
        <v>80</v>
      </c>
      <c r="D1610">
        <v>77.681838988999999</v>
      </c>
      <c r="E1610">
        <v>40</v>
      </c>
      <c r="F1610">
        <v>39.983943939</v>
      </c>
      <c r="G1610">
        <v>1330.1407471</v>
      </c>
      <c r="H1610">
        <v>1329.5428466999999</v>
      </c>
      <c r="I1610">
        <v>1333.7954102000001</v>
      </c>
      <c r="J1610">
        <v>1332.5247803</v>
      </c>
      <c r="K1610">
        <v>0</v>
      </c>
      <c r="L1610">
        <v>550</v>
      </c>
      <c r="M1610">
        <v>550</v>
      </c>
      <c r="N1610">
        <v>0</v>
      </c>
    </row>
    <row r="1611" spans="1:14" x14ac:dyDescent="0.25">
      <c r="A1611">
        <v>1685.8312530000001</v>
      </c>
      <c r="B1611" s="1">
        <f>DATE(2014,12,11) + TIME(19,57,0)</f>
        <v>41984.831250000003</v>
      </c>
      <c r="C1611">
        <v>80</v>
      </c>
      <c r="D1611">
        <v>77.558807372999993</v>
      </c>
      <c r="E1611">
        <v>40</v>
      </c>
      <c r="F1611">
        <v>39.982772826999998</v>
      </c>
      <c r="G1611">
        <v>1330.109375</v>
      </c>
      <c r="H1611">
        <v>1329.5004882999999</v>
      </c>
      <c r="I1611">
        <v>1333.7957764</v>
      </c>
      <c r="J1611">
        <v>1332.5231934000001</v>
      </c>
      <c r="K1611">
        <v>0</v>
      </c>
      <c r="L1611">
        <v>550</v>
      </c>
      <c r="M1611">
        <v>550</v>
      </c>
      <c r="N1611">
        <v>0</v>
      </c>
    </row>
    <row r="1612" spans="1:14" x14ac:dyDescent="0.25">
      <c r="A1612">
        <v>1687.8070580000001</v>
      </c>
      <c r="B1612" s="1">
        <f>DATE(2014,12,13) + TIME(19,22,9)</f>
        <v>41986.80704861111</v>
      </c>
      <c r="C1612">
        <v>80</v>
      </c>
      <c r="D1612">
        <v>77.430412292</v>
      </c>
      <c r="E1612">
        <v>40</v>
      </c>
      <c r="F1612">
        <v>39.981807709000002</v>
      </c>
      <c r="G1612">
        <v>1330.0782471</v>
      </c>
      <c r="H1612">
        <v>1329.4584961</v>
      </c>
      <c r="I1612">
        <v>1333.7961425999999</v>
      </c>
      <c r="J1612">
        <v>1332.5216064000001</v>
      </c>
      <c r="K1612">
        <v>0</v>
      </c>
      <c r="L1612">
        <v>550</v>
      </c>
      <c r="M1612">
        <v>550</v>
      </c>
      <c r="N1612">
        <v>0</v>
      </c>
    </row>
    <row r="1613" spans="1:14" x14ac:dyDescent="0.25">
      <c r="A1613">
        <v>1689.834155</v>
      </c>
      <c r="B1613" s="1">
        <f>DATE(2014,12,15) + TIME(20,1,10)</f>
        <v>41988.834143518521</v>
      </c>
      <c r="C1613">
        <v>80</v>
      </c>
      <c r="D1613">
        <v>77.296020507999998</v>
      </c>
      <c r="E1613">
        <v>40</v>
      </c>
      <c r="F1613">
        <v>39.981010437000002</v>
      </c>
      <c r="G1613">
        <v>1330.0472411999999</v>
      </c>
      <c r="H1613">
        <v>1329.4165039</v>
      </c>
      <c r="I1613">
        <v>1333.7963867000001</v>
      </c>
      <c r="J1613">
        <v>1332.5201416</v>
      </c>
      <c r="K1613">
        <v>0</v>
      </c>
      <c r="L1613">
        <v>550</v>
      </c>
      <c r="M1613">
        <v>550</v>
      </c>
      <c r="N1613">
        <v>0</v>
      </c>
    </row>
    <row r="1614" spans="1:14" x14ac:dyDescent="0.25">
      <c r="A1614">
        <v>1691.9276769999999</v>
      </c>
      <c r="B1614" s="1">
        <f>DATE(2014,12,17) + TIME(22,15,51)</f>
        <v>41990.927673611113</v>
      </c>
      <c r="C1614">
        <v>80</v>
      </c>
      <c r="D1614">
        <v>77.154777526999993</v>
      </c>
      <c r="E1614">
        <v>40</v>
      </c>
      <c r="F1614">
        <v>39.980339049999998</v>
      </c>
      <c r="G1614">
        <v>1330.0161132999999</v>
      </c>
      <c r="H1614">
        <v>1329.3745117000001</v>
      </c>
      <c r="I1614">
        <v>1333.7967529</v>
      </c>
      <c r="J1614">
        <v>1332.5186768000001</v>
      </c>
      <c r="K1614">
        <v>0</v>
      </c>
      <c r="L1614">
        <v>550</v>
      </c>
      <c r="M1614">
        <v>550</v>
      </c>
      <c r="N1614">
        <v>0</v>
      </c>
    </row>
    <row r="1615" spans="1:14" x14ac:dyDescent="0.25">
      <c r="A1615">
        <v>1694.1044340000001</v>
      </c>
      <c r="B1615" s="1">
        <f>DATE(2014,12,20) + TIME(2,30,23)</f>
        <v>41993.104432870372</v>
      </c>
      <c r="C1615">
        <v>80</v>
      </c>
      <c r="D1615">
        <v>77.005592346</v>
      </c>
      <c r="E1615">
        <v>40</v>
      </c>
      <c r="F1615">
        <v>39.979766845999997</v>
      </c>
      <c r="G1615">
        <v>1329.9848632999999</v>
      </c>
      <c r="H1615">
        <v>1329.3323975000001</v>
      </c>
      <c r="I1615">
        <v>1333.7969971</v>
      </c>
      <c r="J1615">
        <v>1332.5173339999999</v>
      </c>
      <c r="K1615">
        <v>0</v>
      </c>
      <c r="L1615">
        <v>550</v>
      </c>
      <c r="M1615">
        <v>550</v>
      </c>
      <c r="N1615">
        <v>0</v>
      </c>
    </row>
    <row r="1616" spans="1:14" x14ac:dyDescent="0.25">
      <c r="A1616">
        <v>1696.3614970000001</v>
      </c>
      <c r="B1616" s="1">
        <f>DATE(2014,12,22) + TIME(8,40,33)</f>
        <v>41995.361493055556</v>
      </c>
      <c r="C1616">
        <v>80</v>
      </c>
      <c r="D1616">
        <v>76.848037719999994</v>
      </c>
      <c r="E1616">
        <v>40</v>
      </c>
      <c r="F1616">
        <v>39.979274750000002</v>
      </c>
      <c r="G1616">
        <v>1329.953125</v>
      </c>
      <c r="H1616">
        <v>1329.2897949000001</v>
      </c>
      <c r="I1616">
        <v>1333.7973632999999</v>
      </c>
      <c r="J1616">
        <v>1332.5158690999999</v>
      </c>
      <c r="K1616">
        <v>0</v>
      </c>
      <c r="L1616">
        <v>550</v>
      </c>
      <c r="M1616">
        <v>550</v>
      </c>
      <c r="N1616">
        <v>0</v>
      </c>
    </row>
    <row r="1617" spans="1:14" x14ac:dyDescent="0.25">
      <c r="A1617">
        <v>1698.6654510000001</v>
      </c>
      <c r="B1617" s="1">
        <f>DATE(2014,12,24) + TIME(15,58,14)</f>
        <v>41997.665439814817</v>
      </c>
      <c r="C1617">
        <v>80</v>
      </c>
      <c r="D1617">
        <v>76.683120728000006</v>
      </c>
      <c r="E1617">
        <v>40</v>
      </c>
      <c r="F1617">
        <v>39.978855133000003</v>
      </c>
      <c r="G1617">
        <v>1329.9211425999999</v>
      </c>
      <c r="H1617">
        <v>1329.2470702999999</v>
      </c>
      <c r="I1617">
        <v>1333.7976074000001</v>
      </c>
      <c r="J1617">
        <v>1332.5145264</v>
      </c>
      <c r="K1617">
        <v>0</v>
      </c>
      <c r="L1617">
        <v>550</v>
      </c>
      <c r="M1617">
        <v>550</v>
      </c>
      <c r="N1617">
        <v>0</v>
      </c>
    </row>
    <row r="1618" spans="1:14" x14ac:dyDescent="0.25">
      <c r="A1618">
        <v>1701.031203</v>
      </c>
      <c r="B1618" s="1">
        <f>DATE(2014,12,27) + TIME(0,44,55)</f>
        <v>42000.031192129631</v>
      </c>
      <c r="C1618">
        <v>80</v>
      </c>
      <c r="D1618">
        <v>76.510375976999995</v>
      </c>
      <c r="E1618">
        <v>40</v>
      </c>
      <c r="F1618">
        <v>39.978492737000003</v>
      </c>
      <c r="G1618">
        <v>1329.8892822</v>
      </c>
      <c r="H1618">
        <v>1329.2042236</v>
      </c>
      <c r="I1618">
        <v>1333.7979736</v>
      </c>
      <c r="J1618">
        <v>1332.5131836</v>
      </c>
      <c r="K1618">
        <v>0</v>
      </c>
      <c r="L1618">
        <v>550</v>
      </c>
      <c r="M1618">
        <v>550</v>
      </c>
      <c r="N1618">
        <v>0</v>
      </c>
    </row>
    <row r="1619" spans="1:14" x14ac:dyDescent="0.25">
      <c r="A1619">
        <v>1703.4745829999999</v>
      </c>
      <c r="B1619" s="1">
        <f>DATE(2014,12,29) + TIME(11,23,23)</f>
        <v>42002.47457175926</v>
      </c>
      <c r="C1619">
        <v>80</v>
      </c>
      <c r="D1619">
        <v>76.329025268999999</v>
      </c>
      <c r="E1619">
        <v>40</v>
      </c>
      <c r="F1619">
        <v>39.978172301999997</v>
      </c>
      <c r="G1619">
        <v>1329.8572998</v>
      </c>
      <c r="H1619">
        <v>1329.161499</v>
      </c>
      <c r="I1619">
        <v>1333.7982178</v>
      </c>
      <c r="J1619">
        <v>1332.5119629000001</v>
      </c>
      <c r="K1619">
        <v>0</v>
      </c>
      <c r="L1619">
        <v>550</v>
      </c>
      <c r="M1619">
        <v>550</v>
      </c>
      <c r="N1619">
        <v>0</v>
      </c>
    </row>
    <row r="1620" spans="1:14" x14ac:dyDescent="0.25">
      <c r="A1620">
        <v>1706</v>
      </c>
      <c r="B1620" s="1">
        <f>DATE(2015,1,1) + TIME(0,0,0)</f>
        <v>42005</v>
      </c>
      <c r="C1620">
        <v>80</v>
      </c>
      <c r="D1620">
        <v>76.138511657999999</v>
      </c>
      <c r="E1620">
        <v>40</v>
      </c>
      <c r="F1620">
        <v>39.9778862</v>
      </c>
      <c r="G1620">
        <v>1329.8251952999999</v>
      </c>
      <c r="H1620">
        <v>1329.1186522999999</v>
      </c>
      <c r="I1620">
        <v>1333.7984618999999</v>
      </c>
      <c r="J1620">
        <v>1332.5107422000001</v>
      </c>
      <c r="K1620">
        <v>0</v>
      </c>
      <c r="L1620">
        <v>550</v>
      </c>
      <c r="M1620">
        <v>550</v>
      </c>
      <c r="N1620">
        <v>0</v>
      </c>
    </row>
    <row r="1621" spans="1:14" x14ac:dyDescent="0.25">
      <c r="A1621">
        <v>1708.5386209999999</v>
      </c>
      <c r="B1621" s="1">
        <f>DATE(2015,1,3) + TIME(12,55,36)</f>
        <v>42007.538611111115</v>
      </c>
      <c r="C1621">
        <v>80</v>
      </c>
      <c r="D1621">
        <v>75.941383361999996</v>
      </c>
      <c r="E1621">
        <v>40</v>
      </c>
      <c r="F1621">
        <v>39.977630615000002</v>
      </c>
      <c r="G1621">
        <v>1329.7928466999999</v>
      </c>
      <c r="H1621">
        <v>1329.0756836</v>
      </c>
      <c r="I1621">
        <v>1333.7987060999999</v>
      </c>
      <c r="J1621">
        <v>1332.5095214999999</v>
      </c>
      <c r="K1621">
        <v>0</v>
      </c>
      <c r="L1621">
        <v>550</v>
      </c>
      <c r="M1621">
        <v>550</v>
      </c>
      <c r="N1621">
        <v>0</v>
      </c>
    </row>
    <row r="1622" spans="1:14" x14ac:dyDescent="0.25">
      <c r="A1622">
        <v>1711.2815330000001</v>
      </c>
      <c r="B1622" s="1">
        <f>DATE(2015,1,6) + TIME(6,45,24)</f>
        <v>42010.281527777777</v>
      </c>
      <c r="C1622">
        <v>80</v>
      </c>
      <c r="D1622">
        <v>75.730773925999998</v>
      </c>
      <c r="E1622">
        <v>40</v>
      </c>
      <c r="F1622">
        <v>39.977386475000003</v>
      </c>
      <c r="G1622">
        <v>1329.7609863</v>
      </c>
      <c r="H1622">
        <v>1329.0332031</v>
      </c>
      <c r="I1622">
        <v>1333.7989502</v>
      </c>
      <c r="J1622">
        <v>1332.5084228999999</v>
      </c>
      <c r="K1622">
        <v>0</v>
      </c>
      <c r="L1622">
        <v>550</v>
      </c>
      <c r="M1622">
        <v>550</v>
      </c>
      <c r="N1622">
        <v>0</v>
      </c>
    </row>
    <row r="1623" spans="1:14" x14ac:dyDescent="0.25">
      <c r="A1623">
        <v>1714.0572299999999</v>
      </c>
      <c r="B1623" s="1">
        <f>DATE(2015,1,9) + TIME(1,22,24)</f>
        <v>42013.057222222225</v>
      </c>
      <c r="C1623">
        <v>80</v>
      </c>
      <c r="D1623">
        <v>75.510658264</v>
      </c>
      <c r="E1623">
        <v>40</v>
      </c>
      <c r="F1623">
        <v>39.977161406999997</v>
      </c>
      <c r="G1623">
        <v>1329.7280272999999</v>
      </c>
      <c r="H1623">
        <v>1328.989624</v>
      </c>
      <c r="I1623">
        <v>1333.7991943</v>
      </c>
      <c r="J1623">
        <v>1332.5073242000001</v>
      </c>
      <c r="K1623">
        <v>0</v>
      </c>
      <c r="L1623">
        <v>550</v>
      </c>
      <c r="M1623">
        <v>550</v>
      </c>
      <c r="N1623">
        <v>0</v>
      </c>
    </row>
    <row r="1624" spans="1:14" x14ac:dyDescent="0.25">
      <c r="A1624">
        <v>1716.885397</v>
      </c>
      <c r="B1624" s="1">
        <f>DATE(2015,1,11) + TIME(21,14,58)</f>
        <v>42015.885393518518</v>
      </c>
      <c r="C1624">
        <v>80</v>
      </c>
      <c r="D1624">
        <v>75.281936646000005</v>
      </c>
      <c r="E1624">
        <v>40</v>
      </c>
      <c r="F1624">
        <v>39.976951599000003</v>
      </c>
      <c r="G1624">
        <v>1329.6953125</v>
      </c>
      <c r="H1624">
        <v>1328.9462891000001</v>
      </c>
      <c r="I1624">
        <v>1333.7994385</v>
      </c>
      <c r="J1624">
        <v>1332.5062256000001</v>
      </c>
      <c r="K1624">
        <v>0</v>
      </c>
      <c r="L1624">
        <v>550</v>
      </c>
      <c r="M1624">
        <v>550</v>
      </c>
      <c r="N1624">
        <v>0</v>
      </c>
    </row>
    <row r="1625" spans="1:14" x14ac:dyDescent="0.25">
      <c r="A1625">
        <v>1719.787206</v>
      </c>
      <c r="B1625" s="1">
        <f>DATE(2015,1,14) + TIME(18,53,34)</f>
        <v>42018.787199074075</v>
      </c>
      <c r="C1625">
        <v>80</v>
      </c>
      <c r="D1625">
        <v>75.044326781999999</v>
      </c>
      <c r="E1625">
        <v>40</v>
      </c>
      <c r="F1625">
        <v>39.976749419999997</v>
      </c>
      <c r="G1625">
        <v>1329.6628418</v>
      </c>
      <c r="H1625">
        <v>1328.9031981999999</v>
      </c>
      <c r="I1625">
        <v>1333.7996826000001</v>
      </c>
      <c r="J1625">
        <v>1332.505249</v>
      </c>
      <c r="K1625">
        <v>0</v>
      </c>
      <c r="L1625">
        <v>550</v>
      </c>
      <c r="M1625">
        <v>550</v>
      </c>
      <c r="N1625">
        <v>0</v>
      </c>
    </row>
    <row r="1626" spans="1:14" x14ac:dyDescent="0.25">
      <c r="A1626">
        <v>1722.7856119999999</v>
      </c>
      <c r="B1626" s="1">
        <f>DATE(2015,1,17) + TIME(18,51,16)</f>
        <v>42021.785601851851</v>
      </c>
      <c r="C1626">
        <v>80</v>
      </c>
      <c r="D1626">
        <v>74.796569824000002</v>
      </c>
      <c r="E1626">
        <v>40</v>
      </c>
      <c r="F1626">
        <v>39.976554870999998</v>
      </c>
      <c r="G1626">
        <v>1329.6303711</v>
      </c>
      <c r="H1626">
        <v>1328.8602295000001</v>
      </c>
      <c r="I1626">
        <v>1333.7998047000001</v>
      </c>
      <c r="J1626">
        <v>1332.5043945</v>
      </c>
      <c r="K1626">
        <v>0</v>
      </c>
      <c r="L1626">
        <v>550</v>
      </c>
      <c r="M1626">
        <v>550</v>
      </c>
      <c r="N1626">
        <v>0</v>
      </c>
    </row>
    <row r="1627" spans="1:14" x14ac:dyDescent="0.25">
      <c r="A1627">
        <v>1725.906444</v>
      </c>
      <c r="B1627" s="1">
        <f>DATE(2015,1,20) + TIME(21,45,16)</f>
        <v>42024.906435185185</v>
      </c>
      <c r="C1627">
        <v>80</v>
      </c>
      <c r="D1627">
        <v>74.537216186999999</v>
      </c>
      <c r="E1627">
        <v>40</v>
      </c>
      <c r="F1627">
        <v>39.976360321000001</v>
      </c>
      <c r="G1627">
        <v>1329.5980225000001</v>
      </c>
      <c r="H1627">
        <v>1328.8173827999999</v>
      </c>
      <c r="I1627">
        <v>1333.8000488</v>
      </c>
      <c r="J1627">
        <v>1332.503418</v>
      </c>
      <c r="K1627">
        <v>0</v>
      </c>
      <c r="L1627">
        <v>550</v>
      </c>
      <c r="M1627">
        <v>550</v>
      </c>
      <c r="N1627">
        <v>0</v>
      </c>
    </row>
    <row r="1628" spans="1:14" x14ac:dyDescent="0.25">
      <c r="A1628">
        <v>1729.0703140000001</v>
      </c>
      <c r="B1628" s="1">
        <f>DATE(2015,1,24) + TIME(1,41,15)</f>
        <v>42028.0703125</v>
      </c>
      <c r="C1628">
        <v>80</v>
      </c>
      <c r="D1628">
        <v>74.268608092999997</v>
      </c>
      <c r="E1628">
        <v>40</v>
      </c>
      <c r="F1628">
        <v>39.976173400999997</v>
      </c>
      <c r="G1628">
        <v>1329.5653076000001</v>
      </c>
      <c r="H1628">
        <v>1328.7742920000001</v>
      </c>
      <c r="I1628">
        <v>1333.8001709</v>
      </c>
      <c r="J1628">
        <v>1332.5025635</v>
      </c>
      <c r="K1628">
        <v>0</v>
      </c>
      <c r="L1628">
        <v>550</v>
      </c>
      <c r="M1628">
        <v>550</v>
      </c>
      <c r="N1628">
        <v>0</v>
      </c>
    </row>
    <row r="1629" spans="1:14" x14ac:dyDescent="0.25">
      <c r="A1629">
        <v>1732.290246</v>
      </c>
      <c r="B1629" s="1">
        <f>DATE(2015,1,27) + TIME(6,57,57)</f>
        <v>42031.290243055555</v>
      </c>
      <c r="C1629">
        <v>80</v>
      </c>
      <c r="D1629">
        <v>73.991851807000003</v>
      </c>
      <c r="E1629">
        <v>40</v>
      </c>
      <c r="F1629">
        <v>39.975990295000003</v>
      </c>
      <c r="G1629">
        <v>1329.5329589999999</v>
      </c>
      <c r="H1629">
        <v>1328.7316894999999</v>
      </c>
      <c r="I1629">
        <v>1333.800293</v>
      </c>
      <c r="J1629">
        <v>1332.5018310999999</v>
      </c>
      <c r="K1629">
        <v>0</v>
      </c>
      <c r="L1629">
        <v>550</v>
      </c>
      <c r="M1629">
        <v>550</v>
      </c>
      <c r="N1629">
        <v>0</v>
      </c>
    </row>
    <row r="1630" spans="1:14" x14ac:dyDescent="0.25">
      <c r="A1630">
        <v>1735.5882369999999</v>
      </c>
      <c r="B1630" s="1">
        <f>DATE(2015,1,30) + TIME(14,7,3)</f>
        <v>42034.588229166664</v>
      </c>
      <c r="C1630">
        <v>80</v>
      </c>
      <c r="D1630">
        <v>73.706649780000006</v>
      </c>
      <c r="E1630">
        <v>40</v>
      </c>
      <c r="F1630">
        <v>39.975803374999998</v>
      </c>
      <c r="G1630">
        <v>1329.5008545000001</v>
      </c>
      <c r="H1630">
        <v>1328.6894531</v>
      </c>
      <c r="I1630">
        <v>1333.8004149999999</v>
      </c>
      <c r="J1630">
        <v>1332.5010986</v>
      </c>
      <c r="K1630">
        <v>0</v>
      </c>
      <c r="L1630">
        <v>550</v>
      </c>
      <c r="M1630">
        <v>550</v>
      </c>
      <c r="N1630">
        <v>0</v>
      </c>
    </row>
    <row r="1631" spans="1:14" x14ac:dyDescent="0.25">
      <c r="A1631">
        <v>1737</v>
      </c>
      <c r="B1631" s="1">
        <f>DATE(2015,2,1) + TIME(0,0,0)</f>
        <v>42036</v>
      </c>
      <c r="C1631">
        <v>80</v>
      </c>
      <c r="D1631">
        <v>73.525238036999994</v>
      </c>
      <c r="E1631">
        <v>40</v>
      </c>
      <c r="F1631">
        <v>39.975730896000002</v>
      </c>
      <c r="G1631">
        <v>1329.4694824000001</v>
      </c>
      <c r="H1631">
        <v>1328.6492920000001</v>
      </c>
      <c r="I1631">
        <v>1333.8005370999999</v>
      </c>
      <c r="J1631">
        <v>1332.5002440999999</v>
      </c>
      <c r="K1631">
        <v>0</v>
      </c>
      <c r="L1631">
        <v>550</v>
      </c>
      <c r="M1631">
        <v>550</v>
      </c>
      <c r="N1631">
        <v>0</v>
      </c>
    </row>
    <row r="1632" spans="1:14" x14ac:dyDescent="0.25">
      <c r="A1632">
        <v>1740.3997039999999</v>
      </c>
      <c r="B1632" s="1">
        <f>DATE(2015,2,4) + TIME(9,35,34)</f>
        <v>42039.399699074071</v>
      </c>
      <c r="C1632">
        <v>80</v>
      </c>
      <c r="D1632">
        <v>73.260406493999994</v>
      </c>
      <c r="E1632">
        <v>40</v>
      </c>
      <c r="F1632">
        <v>39.975547790999997</v>
      </c>
      <c r="G1632">
        <v>1329.4523925999999</v>
      </c>
      <c r="H1632">
        <v>1328.6237793</v>
      </c>
      <c r="I1632">
        <v>1333.8006591999999</v>
      </c>
      <c r="J1632">
        <v>1332.5</v>
      </c>
      <c r="K1632">
        <v>0</v>
      </c>
      <c r="L1632">
        <v>550</v>
      </c>
      <c r="M1632">
        <v>550</v>
      </c>
      <c r="N1632">
        <v>0</v>
      </c>
    </row>
    <row r="1633" spans="1:14" x14ac:dyDescent="0.25">
      <c r="A1633">
        <v>1743.990393</v>
      </c>
      <c r="B1633" s="1">
        <f>DATE(2015,2,7) + TIME(23,46,9)</f>
        <v>42042.990381944444</v>
      </c>
      <c r="C1633">
        <v>80</v>
      </c>
      <c r="D1633">
        <v>72.965118407999995</v>
      </c>
      <c r="E1633">
        <v>40</v>
      </c>
      <c r="F1633">
        <v>39.975357056</v>
      </c>
      <c r="G1633">
        <v>1329.4227295000001</v>
      </c>
      <c r="H1633">
        <v>1328.5858154</v>
      </c>
      <c r="I1633">
        <v>1333.8006591999999</v>
      </c>
      <c r="J1633">
        <v>1332.4993896000001</v>
      </c>
      <c r="K1633">
        <v>0</v>
      </c>
      <c r="L1633">
        <v>550</v>
      </c>
      <c r="M1633">
        <v>550</v>
      </c>
      <c r="N1633">
        <v>0</v>
      </c>
    </row>
    <row r="1634" spans="1:14" x14ac:dyDescent="0.25">
      <c r="A1634">
        <v>1747.6974210000001</v>
      </c>
      <c r="B1634" s="1">
        <f>DATE(2015,2,11) + TIME(16,44,17)</f>
        <v>42046.697418981479</v>
      </c>
      <c r="C1634">
        <v>80</v>
      </c>
      <c r="D1634">
        <v>72.648620605000005</v>
      </c>
      <c r="E1634">
        <v>40</v>
      </c>
      <c r="F1634">
        <v>39.975166321000003</v>
      </c>
      <c r="G1634">
        <v>1329.3917236</v>
      </c>
      <c r="H1634">
        <v>1328.5457764</v>
      </c>
      <c r="I1634">
        <v>1333.8006591999999</v>
      </c>
      <c r="J1634">
        <v>1332.4989014</v>
      </c>
      <c r="K1634">
        <v>0</v>
      </c>
      <c r="L1634">
        <v>550</v>
      </c>
      <c r="M1634">
        <v>550</v>
      </c>
      <c r="N1634">
        <v>0</v>
      </c>
    </row>
    <row r="1635" spans="1:14" x14ac:dyDescent="0.25">
      <c r="A1635">
        <v>1751.479965</v>
      </c>
      <c r="B1635" s="1">
        <f>DATE(2015,2,15) + TIME(11,31,8)</f>
        <v>42050.479953703703</v>
      </c>
      <c r="C1635">
        <v>80</v>
      </c>
      <c r="D1635">
        <v>72.317924500000004</v>
      </c>
      <c r="E1635">
        <v>40</v>
      </c>
      <c r="F1635">
        <v>39.974975585999999</v>
      </c>
      <c r="G1635">
        <v>1329.3602295000001</v>
      </c>
      <c r="H1635">
        <v>1328.5046387</v>
      </c>
      <c r="I1635">
        <v>1333.8006591999999</v>
      </c>
      <c r="J1635">
        <v>1332.4982910000001</v>
      </c>
      <c r="K1635">
        <v>0</v>
      </c>
      <c r="L1635">
        <v>550</v>
      </c>
      <c r="M1635">
        <v>550</v>
      </c>
      <c r="N1635">
        <v>0</v>
      </c>
    </row>
    <row r="1636" spans="1:14" x14ac:dyDescent="0.25">
      <c r="A1636">
        <v>1755.3688</v>
      </c>
      <c r="B1636" s="1">
        <f>DATE(2015,2,19) + TIME(8,51,4)</f>
        <v>42054.368796296294</v>
      </c>
      <c r="C1636">
        <v>80</v>
      </c>
      <c r="D1636">
        <v>71.975791931000003</v>
      </c>
      <c r="E1636">
        <v>40</v>
      </c>
      <c r="F1636">
        <v>39.974784851000003</v>
      </c>
      <c r="G1636">
        <v>1329.3286132999999</v>
      </c>
      <c r="H1636">
        <v>1328.463501</v>
      </c>
      <c r="I1636">
        <v>1333.8006591999999</v>
      </c>
      <c r="J1636">
        <v>1332.4978027</v>
      </c>
      <c r="K1636">
        <v>0</v>
      </c>
      <c r="L1636">
        <v>550</v>
      </c>
      <c r="M1636">
        <v>550</v>
      </c>
      <c r="N1636">
        <v>0</v>
      </c>
    </row>
    <row r="1637" spans="1:14" x14ac:dyDescent="0.25">
      <c r="A1637">
        <v>1759.3978400000001</v>
      </c>
      <c r="B1637" s="1">
        <f>DATE(2015,2,23) + TIME(9,32,53)</f>
        <v>42058.397835648146</v>
      </c>
      <c r="C1637">
        <v>80</v>
      </c>
      <c r="D1637">
        <v>71.621849060000002</v>
      </c>
      <c r="E1637">
        <v>40</v>
      </c>
      <c r="F1637">
        <v>39.974590302000003</v>
      </c>
      <c r="G1637">
        <v>1329.2971190999999</v>
      </c>
      <c r="H1637">
        <v>1328.4223632999999</v>
      </c>
      <c r="I1637">
        <v>1333.8005370999999</v>
      </c>
      <c r="J1637">
        <v>1332.4973144999999</v>
      </c>
      <c r="K1637">
        <v>0</v>
      </c>
      <c r="L1637">
        <v>550</v>
      </c>
      <c r="M1637">
        <v>550</v>
      </c>
      <c r="N1637">
        <v>0</v>
      </c>
    </row>
    <row r="1638" spans="1:14" x14ac:dyDescent="0.25">
      <c r="A1638">
        <v>1763.477007</v>
      </c>
      <c r="B1638" s="1">
        <f>DATE(2015,2,27) + TIME(11,26,53)</f>
        <v>42062.477002314816</v>
      </c>
      <c r="C1638">
        <v>80</v>
      </c>
      <c r="D1638">
        <v>71.258567810000002</v>
      </c>
      <c r="E1638">
        <v>40</v>
      </c>
      <c r="F1638">
        <v>39.974395752</v>
      </c>
      <c r="G1638">
        <v>1329.265625</v>
      </c>
      <c r="H1638">
        <v>1328.3812256000001</v>
      </c>
      <c r="I1638">
        <v>1333.8005370999999</v>
      </c>
      <c r="J1638">
        <v>1332.4969481999999</v>
      </c>
      <c r="K1638">
        <v>0</v>
      </c>
      <c r="L1638">
        <v>550</v>
      </c>
      <c r="M1638">
        <v>550</v>
      </c>
      <c r="N1638">
        <v>0</v>
      </c>
    </row>
    <row r="1639" spans="1:14" x14ac:dyDescent="0.25">
      <c r="A1639">
        <v>1765</v>
      </c>
      <c r="B1639" s="1">
        <f>DATE(2015,3,1) + TIME(0,0,0)</f>
        <v>42064</v>
      </c>
      <c r="C1639">
        <v>80</v>
      </c>
      <c r="D1639">
        <v>71.035217285000002</v>
      </c>
      <c r="E1639">
        <v>40</v>
      </c>
      <c r="F1639">
        <v>39.974323273000003</v>
      </c>
      <c r="G1639">
        <v>1329.2347411999999</v>
      </c>
      <c r="H1639">
        <v>1328.3424072</v>
      </c>
      <c r="I1639">
        <v>1333.800293</v>
      </c>
      <c r="J1639">
        <v>1332.4964600000001</v>
      </c>
      <c r="K1639">
        <v>0</v>
      </c>
      <c r="L1639">
        <v>550</v>
      </c>
      <c r="M1639">
        <v>550</v>
      </c>
      <c r="N1639">
        <v>0</v>
      </c>
    </row>
    <row r="1640" spans="1:14" x14ac:dyDescent="0.25">
      <c r="A1640">
        <v>1769.1442790000001</v>
      </c>
      <c r="B1640" s="1">
        <f>DATE(2015,3,5) + TIME(3,27,45)</f>
        <v>42068.144270833334</v>
      </c>
      <c r="C1640">
        <v>80</v>
      </c>
      <c r="D1640">
        <v>70.717010497999993</v>
      </c>
      <c r="E1640">
        <v>40</v>
      </c>
      <c r="F1640">
        <v>39.974132537999999</v>
      </c>
      <c r="G1640">
        <v>1329.2196045000001</v>
      </c>
      <c r="H1640">
        <v>1328.3187256000001</v>
      </c>
      <c r="I1640">
        <v>1333.8004149999999</v>
      </c>
      <c r="J1640">
        <v>1332.4963379000001</v>
      </c>
      <c r="K1640">
        <v>0</v>
      </c>
      <c r="L1640">
        <v>550</v>
      </c>
      <c r="M1640">
        <v>550</v>
      </c>
      <c r="N1640">
        <v>0</v>
      </c>
    </row>
    <row r="1641" spans="1:14" x14ac:dyDescent="0.25">
      <c r="A1641">
        <v>1773.4290860000001</v>
      </c>
      <c r="B1641" s="1">
        <f>DATE(2015,3,9) + TIME(10,17,53)</f>
        <v>42072.429085648146</v>
      </c>
      <c r="C1641">
        <v>80</v>
      </c>
      <c r="D1641">
        <v>70.357978821000003</v>
      </c>
      <c r="E1641">
        <v>40</v>
      </c>
      <c r="F1641">
        <v>39.973937988000003</v>
      </c>
      <c r="G1641">
        <v>1329.1914062000001</v>
      </c>
      <c r="H1641">
        <v>1328.2833252</v>
      </c>
      <c r="I1641">
        <v>1333.8001709</v>
      </c>
      <c r="J1641">
        <v>1332.4960937999999</v>
      </c>
      <c r="K1641">
        <v>0</v>
      </c>
      <c r="L1641">
        <v>550</v>
      </c>
      <c r="M1641">
        <v>550</v>
      </c>
      <c r="N1641">
        <v>0</v>
      </c>
    </row>
    <row r="1642" spans="1:14" x14ac:dyDescent="0.25">
      <c r="A1642">
        <v>1777.857368</v>
      </c>
      <c r="B1642" s="1">
        <f>DATE(2015,3,13) + TIME(20,34,36)</f>
        <v>42076.857361111113</v>
      </c>
      <c r="C1642">
        <v>80</v>
      </c>
      <c r="D1642">
        <v>69.976150512999993</v>
      </c>
      <c r="E1642">
        <v>40</v>
      </c>
      <c r="F1642">
        <v>39.973739623999997</v>
      </c>
      <c r="G1642">
        <v>1329.1622314000001</v>
      </c>
      <c r="H1642">
        <v>1328.2457274999999</v>
      </c>
      <c r="I1642">
        <v>1333.7999268000001</v>
      </c>
      <c r="J1642">
        <v>1332.4957274999999</v>
      </c>
      <c r="K1642">
        <v>0</v>
      </c>
      <c r="L1642">
        <v>550</v>
      </c>
      <c r="M1642">
        <v>550</v>
      </c>
      <c r="N1642">
        <v>0</v>
      </c>
    </row>
    <row r="1643" spans="1:14" x14ac:dyDescent="0.25">
      <c r="A1643">
        <v>1782.4684930000001</v>
      </c>
      <c r="B1643" s="1">
        <f>DATE(2015,3,18) + TIME(11,14,37)</f>
        <v>42081.4684837963</v>
      </c>
      <c r="C1643">
        <v>80</v>
      </c>
      <c r="D1643">
        <v>69.576889038000004</v>
      </c>
      <c r="E1643">
        <v>40</v>
      </c>
      <c r="F1643">
        <v>39.973541259999998</v>
      </c>
      <c r="G1643">
        <v>1329.1325684000001</v>
      </c>
      <c r="H1643">
        <v>1328.2072754000001</v>
      </c>
      <c r="I1643">
        <v>1333.7996826000001</v>
      </c>
      <c r="J1643">
        <v>1332.4954834</v>
      </c>
      <c r="K1643">
        <v>0</v>
      </c>
      <c r="L1643">
        <v>550</v>
      </c>
      <c r="M1643">
        <v>550</v>
      </c>
      <c r="N1643">
        <v>0</v>
      </c>
    </row>
    <row r="1644" spans="1:14" x14ac:dyDescent="0.25">
      <c r="A1644">
        <v>1787.2866140000001</v>
      </c>
      <c r="B1644" s="1">
        <f>DATE(2015,3,23) + TIME(6,52,43)</f>
        <v>42086.286608796298</v>
      </c>
      <c r="C1644">
        <v>80</v>
      </c>
      <c r="D1644">
        <v>69.161140442000004</v>
      </c>
      <c r="E1644">
        <v>40</v>
      </c>
      <c r="F1644">
        <v>39.973335265999999</v>
      </c>
      <c r="G1644">
        <v>1329.1026611</v>
      </c>
      <c r="H1644">
        <v>1328.168457</v>
      </c>
      <c r="I1644">
        <v>1333.7994385</v>
      </c>
      <c r="J1644">
        <v>1332.4952393000001</v>
      </c>
      <c r="K1644">
        <v>0</v>
      </c>
      <c r="L1644">
        <v>550</v>
      </c>
      <c r="M1644">
        <v>550</v>
      </c>
      <c r="N1644">
        <v>0</v>
      </c>
    </row>
    <row r="1645" spans="1:14" x14ac:dyDescent="0.25">
      <c r="A1645">
        <v>1792.2409540000001</v>
      </c>
      <c r="B1645" s="1">
        <f>DATE(2015,3,28) + TIME(5,46,58)</f>
        <v>42091.240949074076</v>
      </c>
      <c r="C1645">
        <v>80</v>
      </c>
      <c r="D1645">
        <v>68.730873107999997</v>
      </c>
      <c r="E1645">
        <v>40</v>
      </c>
      <c r="F1645">
        <v>39.973125457999998</v>
      </c>
      <c r="G1645">
        <v>1329.0725098</v>
      </c>
      <c r="H1645">
        <v>1328.1293945</v>
      </c>
      <c r="I1645">
        <v>1333.7990723</v>
      </c>
      <c r="J1645">
        <v>1332.4951172000001</v>
      </c>
      <c r="K1645">
        <v>0</v>
      </c>
      <c r="L1645">
        <v>550</v>
      </c>
      <c r="M1645">
        <v>550</v>
      </c>
      <c r="N1645">
        <v>0</v>
      </c>
    </row>
    <row r="1646" spans="1:14" x14ac:dyDescent="0.25">
      <c r="A1646">
        <v>1796</v>
      </c>
      <c r="B1646" s="1">
        <f>DATE(2015,4,1) + TIME(0,0,0)</f>
        <v>42095</v>
      </c>
      <c r="C1646">
        <v>80</v>
      </c>
      <c r="D1646">
        <v>68.335250853999995</v>
      </c>
      <c r="E1646">
        <v>40</v>
      </c>
      <c r="F1646">
        <v>39.97297287</v>
      </c>
      <c r="G1646">
        <v>1329.0424805</v>
      </c>
      <c r="H1646">
        <v>1328.0909423999999</v>
      </c>
      <c r="I1646">
        <v>1333.7987060999999</v>
      </c>
      <c r="J1646">
        <v>1332.4948730000001</v>
      </c>
      <c r="K1646">
        <v>0</v>
      </c>
      <c r="L1646">
        <v>550</v>
      </c>
      <c r="M1646">
        <v>550</v>
      </c>
      <c r="N16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2022-06-27T09:00:51Z</dcterms:created>
  <dcterms:modified xsi:type="dcterms:W3CDTF">2022-06-27T09:01:21Z</dcterms:modified>
</cp:coreProperties>
</file>